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43243BBE-5B55-4239-975A-B4B3146A16B2}" xr6:coauthVersionLast="36" xr6:coauthVersionMax="36" xr10:uidLastSave="{00000000-0000-0000-0000-000000000000}"/>
  <bookViews>
    <workbookView xWindow="-120" yWindow="-120" windowWidth="29040" windowHeight="159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3" r:id="rId30"/>
    <sheet name="SEFA NOTES" sheetId="173" r:id="rId31"/>
    <sheet name="SF&amp;QC Sec-1" sheetId="174" r:id="rId32"/>
    <sheet name="SF&amp;QC Sec-2" sheetId="175" r:id="rId33"/>
    <sheet name="SF&amp;QC Sec-3" sheetId="176" r:id="rId34"/>
    <sheet name="SF&amp;QC Sec-3 (2)" sheetId="185" r:id="rId35"/>
    <sheet name="SF&amp;QC Sec-3 (3)" sheetId="18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34">'SF&amp;QC Sec-3 (2)'!$A$1:$K$48</definedName>
    <definedName name="_xlnm.Print_Area" localSheetId="35">'SF&amp;QC Sec-3 (3)'!$A$1:$K$48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B4" i="185"/>
  <c r="F16" i="179" l="1"/>
  <c r="F14" i="179"/>
  <c r="F22" i="183" l="1"/>
  <c r="J15" i="183" l="1"/>
  <c r="H15" i="183"/>
  <c r="G15" i="183"/>
  <c r="F15" i="183"/>
  <c r="E15" i="183"/>
  <c r="J27" i="184"/>
  <c r="H27" i="184"/>
  <c r="G27" i="184"/>
  <c r="F27" i="184"/>
  <c r="E27" i="184"/>
  <c r="I25" i="184"/>
  <c r="L25" i="184" s="1"/>
  <c r="L26" i="184"/>
  <c r="L23" i="184"/>
  <c r="L22" i="184"/>
  <c r="L21" i="184"/>
  <c r="J23" i="179"/>
  <c r="J25" i="179" s="1"/>
  <c r="H23" i="179"/>
  <c r="H25" i="179" s="1"/>
  <c r="G23" i="179"/>
  <c r="G25" i="179" s="1"/>
  <c r="E23" i="179"/>
  <c r="E25" i="179" s="1"/>
  <c r="L21" i="179"/>
  <c r="I27" i="184" l="1"/>
  <c r="I15" i="183"/>
  <c r="L27" i="184"/>
  <c r="L20" i="183"/>
  <c r="J22" i="183" l="1"/>
  <c r="J24" i="183" s="1"/>
  <c r="I22" i="183"/>
  <c r="H22" i="183"/>
  <c r="H24" i="183" s="1"/>
  <c r="G22" i="183"/>
  <c r="G24" i="183" s="1"/>
  <c r="E22" i="183"/>
  <c r="E24" i="183" s="1"/>
  <c r="L14" i="184"/>
  <c r="L13" i="184"/>
  <c r="B4" i="184"/>
  <c r="L19" i="183"/>
  <c r="L22" i="183" s="1"/>
  <c r="L13" i="183"/>
  <c r="B4" i="183"/>
  <c r="I16" i="179"/>
  <c r="I23" i="179" s="1"/>
  <c r="I25" i="179" s="1"/>
  <c r="I24" i="183" s="1"/>
  <c r="F23" i="179"/>
  <c r="F25" i="179" s="1"/>
  <c r="F24" i="183" s="1"/>
  <c r="L15" i="183" l="1"/>
  <c r="D35" i="17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17" i="179" l="1"/>
  <c r="L16" i="179"/>
  <c r="L15" i="179"/>
  <c r="L14" i="179"/>
  <c r="L13" i="179"/>
  <c r="L23" i="179" l="1"/>
  <c r="L25" i="179" s="1"/>
  <c r="L24" i="183" s="1"/>
  <c r="D14"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2" i="186"/>
  <c r="B2" i="185"/>
  <c r="B2" i="179"/>
  <c r="B2" i="184"/>
  <c r="B2" i="183"/>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c r="B7729" i="106"/>
  <c r="D7729" i="106" s="1"/>
  <c r="B7734" i="106"/>
  <c r="B7726" i="106"/>
  <c r="B30" i="36"/>
  <c r="B33" i="36" s="1"/>
  <c r="B43" i="36" s="1"/>
  <c r="B56" i="36" s="1"/>
  <c r="B66" i="36" s="1"/>
  <c r="B70" i="36" s="1"/>
  <c r="B74" i="36" s="1"/>
  <c r="L127" i="29"/>
  <c r="L129" i="29" s="1"/>
  <c r="L139" i="29"/>
  <c r="L149" i="29"/>
  <c r="I7" i="145"/>
  <c r="I6" i="145"/>
  <c r="D78" i="36"/>
  <c r="K185" i="29"/>
  <c r="B2836" i="106" s="1"/>
  <c r="D2836" i="106"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9" i="36"/>
  <c r="D40"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D7" i="118"/>
  <c r="D8" i="118"/>
  <c r="D9" i="118"/>
  <c r="H29" i="118"/>
  <c r="D11" i="37"/>
  <c r="N22" i="3" l="1"/>
  <c r="B283" i="106" s="1"/>
  <c r="D283" i="106" s="1"/>
  <c r="L22" i="37"/>
  <c r="D24" i="37"/>
  <c r="B4270" i="106" s="1"/>
  <c r="D4270" i="106" s="1"/>
  <c r="H28" i="118"/>
  <c r="K28" i="118" s="1"/>
  <c r="O27" i="118" s="1"/>
  <c r="O29" i="118" s="1"/>
  <c r="J22" i="37"/>
  <c r="D69" i="36"/>
  <c r="D22" i="37"/>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L342" i="29"/>
  <c r="I24" i="12"/>
  <c r="L312" i="29"/>
  <c r="F21" i="8"/>
  <c r="K24" i="12"/>
  <c r="B1329" i="106"/>
  <c r="D1329" i="106" s="1"/>
  <c r="F61" i="34"/>
  <c r="J90" i="28"/>
  <c r="B79" i="36"/>
  <c r="B77" i="36"/>
  <c r="F16" i="11"/>
  <c r="B2031" i="106" s="1"/>
  <c r="D2031"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M23" i="3" l="1"/>
  <c r="B273" i="106"/>
  <c r="D273" i="106" s="1"/>
  <c r="L16" i="11"/>
  <c r="B2061" i="106" s="1"/>
  <c r="D2061" i="106" s="1"/>
  <c r="B2914" i="106"/>
  <c r="D2914" i="106" s="1"/>
  <c r="L34" i="3"/>
  <c r="L114" i="29"/>
  <c r="D7255" i="106"/>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B2916" i="106"/>
  <c r="D2916" i="106" s="1"/>
  <c r="L41" i="3"/>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F18" i="5" l="1"/>
  <c r="B5562" i="106" s="1"/>
  <c r="D5562" i="106" s="1"/>
  <c r="B5558" i="106"/>
  <c r="D5558" i="106" s="1"/>
  <c r="B7682" i="106"/>
  <c r="D7682" i="106" s="1"/>
  <c r="B4920" i="106"/>
  <c r="D4920" i="106" s="1"/>
  <c r="B6808" i="106"/>
  <c r="D6808" i="106" s="1"/>
  <c r="F98" i="34"/>
  <c r="B5107" i="106"/>
  <c r="D5107" i="106" s="1"/>
  <c r="K79" i="29"/>
  <c r="B2974" i="106" s="1"/>
  <c r="D2974" i="106" s="1"/>
  <c r="B2950" i="106"/>
  <c r="D2950" i="106" s="1"/>
  <c r="G76" i="4"/>
  <c r="B3260" i="106" s="1"/>
  <c r="D3260" i="106" s="1"/>
  <c r="B3259" i="106"/>
  <c r="D3259" i="106" s="1"/>
  <c r="B712" i="106"/>
  <c r="D712" i="106" s="1"/>
  <c r="K18" i="29"/>
  <c r="B1100" i="106" s="1"/>
  <c r="D1100" i="106" s="1"/>
  <c r="B2813" i="106"/>
  <c r="D2813" i="106" s="1"/>
  <c r="K166" i="29"/>
  <c r="B2819" i="106" s="1"/>
  <c r="D2819" i="106" s="1"/>
  <c r="B839" i="106"/>
  <c r="D839" i="106" s="1"/>
  <c r="B2960" i="106"/>
  <c r="D2960" i="106" s="1"/>
  <c r="B7174" i="106"/>
  <c r="D7174" i="106" s="1"/>
  <c r="B6096" i="106"/>
  <c r="D6096" i="106" s="1"/>
  <c r="B916" i="106"/>
  <c r="D916" i="106" s="1"/>
  <c r="B3530" i="106"/>
  <c r="D3530" i="106" s="1"/>
  <c r="B6654" i="106"/>
  <c r="D6654" i="106" s="1"/>
  <c r="B6341" i="106"/>
  <c r="D6341" i="106" s="1"/>
  <c r="B6259" i="106"/>
  <c r="D6259" i="106" s="1"/>
  <c r="B1006" i="106"/>
  <c r="D1006" i="106" s="1"/>
  <c r="B1423" i="106"/>
  <c r="D1423" i="106" s="1"/>
  <c r="K246" i="29"/>
  <c r="B1487" i="106" s="1"/>
  <c r="D1487" i="106" s="1"/>
  <c r="G221" i="5"/>
  <c r="B5847" i="106" s="1"/>
  <c r="D5847" i="106" s="1"/>
  <c r="B5844" i="106"/>
  <c r="D5844" i="106" s="1"/>
  <c r="B7122" i="106"/>
  <c r="D7122" i="106" s="1"/>
  <c r="G330" i="29"/>
  <c r="B6292" i="106"/>
  <c r="D6292" i="106" s="1"/>
  <c r="K87" i="29"/>
  <c r="B6986" i="106" s="1"/>
  <c r="D6986" i="106" s="1"/>
  <c r="B6985" i="106"/>
  <c r="D6985" i="106" s="1"/>
  <c r="B2720" i="106"/>
  <c r="D2720" i="106" s="1"/>
  <c r="B3257" i="106"/>
  <c r="D3257" i="106" s="1"/>
  <c r="B5124" i="106"/>
  <c r="D5124" i="106" s="1"/>
  <c r="B6832" i="106"/>
  <c r="D6832" i="106" s="1"/>
  <c r="B6180" i="106"/>
  <c r="D6180" i="106" s="1"/>
  <c r="B6886" i="106"/>
  <c r="D6886" i="106" s="1"/>
  <c r="K25" i="29"/>
  <c r="B5177" i="106"/>
  <c r="D5177" i="106" s="1"/>
  <c r="F42" i="29"/>
  <c r="B895" i="106"/>
  <c r="D895" i="106" s="1"/>
  <c r="B4339" i="106"/>
  <c r="D4339" i="106" s="1"/>
  <c r="B4410" i="106"/>
  <c r="D4410" i="106" s="1"/>
  <c r="K193" i="29"/>
  <c r="B3012" i="106" s="1"/>
  <c r="D3012" i="106" s="1"/>
  <c r="B2994" i="106"/>
  <c r="D2994" i="106" s="1"/>
  <c r="B6707" i="106"/>
  <c r="D6707" i="106" s="1"/>
  <c r="B6915" i="106"/>
  <c r="D6915" i="106" s="1"/>
  <c r="B5609" i="106"/>
  <c r="D5609" i="106" s="1"/>
  <c r="B4394" i="106"/>
  <c r="D4394" i="106" s="1"/>
  <c r="B4354" i="106"/>
  <c r="D4354" i="106" s="1"/>
  <c r="B846" i="106"/>
  <c r="D846" i="106" s="1"/>
  <c r="B7081" i="106"/>
  <c r="D7081" i="106" s="1"/>
  <c r="K248" i="29"/>
  <c r="B7082" i="106" s="1"/>
  <c r="D7082" i="106" s="1"/>
  <c r="B4215" i="106"/>
  <c r="D4215" i="106" s="1"/>
  <c r="B6144" i="106"/>
  <c r="D6144" i="106" s="1"/>
  <c r="B6763" i="106"/>
  <c r="D6763" i="106" s="1"/>
  <c r="B6189" i="106"/>
  <c r="D6189" i="106" s="1"/>
  <c r="B620" i="106"/>
  <c r="D620" i="106" s="1"/>
  <c r="B4377" i="106"/>
  <c r="D4377" i="106" s="1"/>
  <c r="G108" i="5"/>
  <c r="B5737" i="106" s="1"/>
  <c r="D5737" i="106" s="1"/>
  <c r="B5734" i="106"/>
  <c r="D5734" i="106" s="1"/>
  <c r="B5735" i="106"/>
  <c r="D5735" i="106" s="1"/>
  <c r="B5338" i="106"/>
  <c r="D5338" i="106" s="1"/>
  <c r="B5231" i="106"/>
  <c r="D5231" i="106" s="1"/>
  <c r="B7670" i="106"/>
  <c r="D7670" i="106" s="1"/>
  <c r="B6342" i="106"/>
  <c r="D6342" i="106" s="1"/>
  <c r="B5073" i="106"/>
  <c r="D5073" i="106" s="1"/>
  <c r="B7113" i="106"/>
  <c r="D7113" i="106" s="1"/>
  <c r="J53" i="29"/>
  <c r="B6943" i="106" s="1"/>
  <c r="D6943" i="106" s="1"/>
  <c r="B6927" i="106"/>
  <c r="D6927" i="106" s="1"/>
  <c r="B6725" i="106"/>
  <c r="D6725" i="106" s="1"/>
  <c r="B5312" i="106"/>
  <c r="D5312" i="106" s="1"/>
  <c r="F160" i="34"/>
  <c r="B979" i="106"/>
  <c r="D979" i="106" s="1"/>
  <c r="B6118" i="106"/>
  <c r="D6118" i="106" s="1"/>
  <c r="B7179" i="106"/>
  <c r="D7179" i="106" s="1"/>
  <c r="B1044" i="106"/>
  <c r="D1044" i="106" s="1"/>
  <c r="B1434" i="106"/>
  <c r="D1434" i="106" s="1"/>
  <c r="K269" i="29"/>
  <c r="B1498" i="106" s="1"/>
  <c r="D1498" i="106" s="1"/>
  <c r="B4799" i="106"/>
  <c r="D4799" i="106" s="1"/>
  <c r="E72" i="29"/>
  <c r="B869" i="106" s="1"/>
  <c r="D869" i="106" s="1"/>
  <c r="B862" i="106"/>
  <c r="D862" i="106" s="1"/>
  <c r="B6307" i="106"/>
  <c r="D6307" i="106" s="1"/>
  <c r="B5059" i="106"/>
  <c r="D5059" i="106" s="1"/>
  <c r="B5105" i="106"/>
  <c r="D5105" i="106" s="1"/>
  <c r="B5439" i="106"/>
  <c r="D5439" i="106" s="1"/>
  <c r="B7226" i="106"/>
  <c r="D7226" i="106" s="1"/>
  <c r="I350" i="29"/>
  <c r="B4392" i="106"/>
  <c r="D4392" i="106" s="1"/>
  <c r="B7702" i="106"/>
  <c r="D7702" i="106" s="1"/>
  <c r="B6618" i="106"/>
  <c r="D6618" i="106" s="1"/>
  <c r="G252" i="5"/>
  <c r="B6837" i="106" s="1"/>
  <c r="D6837" i="106" s="1"/>
  <c r="B838" i="106"/>
  <c r="D838" i="106" s="1"/>
  <c r="K225" i="29"/>
  <c r="B1460" i="106" s="1"/>
  <c r="D1460" i="106" s="1"/>
  <c r="B1396" i="106"/>
  <c r="D1396" i="106" s="1"/>
  <c r="B4200" i="106"/>
  <c r="D4200" i="106" s="1"/>
  <c r="K135" i="29"/>
  <c r="B2987" i="106" s="1"/>
  <c r="D2987" i="106" s="1"/>
  <c r="B3490" i="106"/>
  <c r="D3490" i="106" s="1"/>
  <c r="B6170" i="106"/>
  <c r="D6170" i="106" s="1"/>
  <c r="B6656" i="106"/>
  <c r="D6656" i="106" s="1"/>
  <c r="B4328" i="106"/>
  <c r="D4328" i="106" s="1"/>
  <c r="B6366" i="106"/>
  <c r="D6366" i="106" s="1"/>
  <c r="B925" i="106"/>
  <c r="D925" i="106" s="1"/>
  <c r="B6365" i="106"/>
  <c r="D6365" i="106" s="1"/>
  <c r="B5822" i="106"/>
  <c r="D5822" i="106" s="1"/>
  <c r="E39" i="4"/>
  <c r="B6287" i="106" s="1"/>
  <c r="D6287" i="106" s="1"/>
  <c r="B6246" i="106"/>
  <c r="D6246" i="106" s="1"/>
  <c r="B6084" i="106"/>
  <c r="D6084" i="106" s="1"/>
  <c r="B5384" i="106"/>
  <c r="D5384" i="106" s="1"/>
  <c r="B1051" i="106"/>
  <c r="D1051" i="106" s="1"/>
  <c r="K109" i="29"/>
  <c r="B1149" i="106" s="1"/>
  <c r="D1149" i="106" s="1"/>
  <c r="B6334" i="106"/>
  <c r="D6334" i="106" s="1"/>
  <c r="B3485" i="106"/>
  <c r="D3485" i="106" s="1"/>
  <c r="B7136" i="106"/>
  <c r="D7136" i="106" s="1"/>
  <c r="K321" i="29"/>
  <c r="B7144" i="106" s="1"/>
  <c r="D7144" i="106" s="1"/>
  <c r="B6722" i="106"/>
  <c r="D6722" i="106" s="1"/>
  <c r="B206" i="106"/>
  <c r="D206" i="106" s="1"/>
  <c r="B5113" i="106"/>
  <c r="D5113" i="106" s="1"/>
  <c r="F101" i="34"/>
  <c r="C108" i="5"/>
  <c r="B5120" i="106" s="1"/>
  <c r="D5120" i="106" s="1"/>
  <c r="B6328" i="106"/>
  <c r="D6328" i="106" s="1"/>
  <c r="B6766" i="106"/>
  <c r="D6766" i="106" s="1"/>
  <c r="B5791" i="106"/>
  <c r="D5791" i="106" s="1"/>
  <c r="B5586" i="106"/>
  <c r="D5586" i="106" s="1"/>
  <c r="B1046" i="106"/>
  <c r="D1046" i="106" s="1"/>
  <c r="B6173" i="106"/>
  <c r="D6173" i="106" s="1"/>
  <c r="B6242" i="106"/>
  <c r="D6242" i="106" s="1"/>
  <c r="B4333" i="106"/>
  <c r="D4333" i="106" s="1"/>
  <c r="B4210" i="106"/>
  <c r="D4210" i="106" s="1"/>
  <c r="K206" i="29"/>
  <c r="B6750" i="106"/>
  <c r="D6750" i="106" s="1"/>
  <c r="B4922" i="106"/>
  <c r="D4922" i="106" s="1"/>
  <c r="F87" i="34"/>
  <c r="B6312" i="106"/>
  <c r="D6312" i="106" s="1"/>
  <c r="B7637" i="106"/>
  <c r="B5498" i="106"/>
  <c r="D5498" i="106" s="1"/>
  <c r="B4879" i="106"/>
  <c r="D4879" i="106" s="1"/>
  <c r="B6699" i="106"/>
  <c r="D6699" i="106" s="1"/>
  <c r="B996" i="106"/>
  <c r="D996" i="106" s="1"/>
  <c r="B6776" i="106"/>
  <c r="D6776" i="106" s="1"/>
  <c r="B930" i="106"/>
  <c r="D930" i="106" s="1"/>
  <c r="C67" i="5"/>
  <c r="B5090" i="106" s="1"/>
  <c r="D5090" i="106" s="1"/>
  <c r="B5089" i="106"/>
  <c r="D5089" i="106" s="1"/>
  <c r="B2954" i="106"/>
  <c r="D2954" i="106" s="1"/>
  <c r="K83" i="29"/>
  <c r="B2978" i="106" s="1"/>
  <c r="D2978" i="106" s="1"/>
  <c r="B6669" i="106"/>
  <c r="D6669" i="106" s="1"/>
  <c r="B6719" i="106"/>
  <c r="D6719" i="106" s="1"/>
  <c r="B5985" i="106"/>
  <c r="D5985" i="106" s="1"/>
  <c r="B12" i="7"/>
  <c r="K12" i="5"/>
  <c r="B5224" i="106"/>
  <c r="D5224" i="106" s="1"/>
  <c r="C175" i="5"/>
  <c r="B5225" i="106" s="1"/>
  <c r="D5225" i="106" s="1"/>
  <c r="B7678" i="106"/>
  <c r="D7678" i="106" s="1"/>
  <c r="B5074" i="106"/>
  <c r="D5074" i="106" s="1"/>
  <c r="B6760" i="106"/>
  <c r="D6760" i="106" s="1"/>
  <c r="B6335" i="106"/>
  <c r="D6335" i="106" s="1"/>
  <c r="B6087" i="106"/>
  <c r="D6087" i="106" s="1"/>
  <c r="B6249" i="106"/>
  <c r="D6249" i="106" s="1"/>
  <c r="B973" i="106"/>
  <c r="D973" i="106" s="1"/>
  <c r="B6717" i="106"/>
  <c r="D6717" i="106" s="1"/>
  <c r="B4361" i="106"/>
  <c r="D4361" i="106" s="1"/>
  <c r="B3251" i="106"/>
  <c r="D3251" i="106" s="1"/>
  <c r="B5573" i="106"/>
  <c r="D5573" i="106" s="1"/>
  <c r="F91" i="34"/>
  <c r="B86" i="106"/>
  <c r="D86" i="106" s="1"/>
  <c r="B6349" i="106"/>
  <c r="D6349" i="106" s="1"/>
  <c r="B5344" i="106"/>
  <c r="D5344" i="106" s="1"/>
  <c r="B7651" i="106"/>
  <c r="D7651" i="106" s="1"/>
  <c r="K329" i="29"/>
  <c r="B7705" i="106" s="1"/>
  <c r="D7705" i="106" s="1"/>
  <c r="B7697" i="106"/>
  <c r="D7697" i="106" s="1"/>
  <c r="B6152" i="106"/>
  <c r="D6152" i="106" s="1"/>
  <c r="B5432" i="106"/>
  <c r="D5432" i="106" s="1"/>
  <c r="B5575" i="106"/>
  <c r="D5575" i="106" s="1"/>
  <c r="F92" i="34"/>
  <c r="B7677" i="106"/>
  <c r="D7677" i="106" s="1"/>
  <c r="B6852" i="106"/>
  <c r="D6852" i="106" s="1"/>
  <c r="B4321" i="106"/>
  <c r="D4321" i="106" s="1"/>
  <c r="B7043" i="106"/>
  <c r="D7043" i="106" s="1"/>
  <c r="B3625" i="106"/>
  <c r="D3625" i="106" s="1"/>
  <c r="B5333" i="106"/>
  <c r="D5333" i="106" s="1"/>
  <c r="B6168" i="106"/>
  <c r="D6168" i="106" s="1"/>
  <c r="B6255" i="106"/>
  <c r="D6255" i="106" s="1"/>
  <c r="B3482" i="106"/>
  <c r="D3482" i="106" s="1"/>
  <c r="K125" i="29"/>
  <c r="B3488" i="106" s="1"/>
  <c r="D3488" i="106" s="1"/>
  <c r="B4947" i="106"/>
  <c r="D4947" i="106" s="1"/>
  <c r="B6756" i="106"/>
  <c r="D6756" i="106" s="1"/>
  <c r="B7111" i="106"/>
  <c r="D7111" i="106" s="1"/>
  <c r="B5853" i="106"/>
  <c r="D5853" i="106" s="1"/>
  <c r="B4421" i="106"/>
  <c r="D4421" i="106" s="1"/>
  <c r="B6231" i="106"/>
  <c r="D6231" i="106" s="1"/>
  <c r="B3234" i="106"/>
  <c r="D3234" i="106" s="1"/>
  <c r="K195" i="29"/>
  <c r="B2839" i="106" s="1"/>
  <c r="D2839" i="106" s="1"/>
  <c r="B2824" i="106"/>
  <c r="D2824" i="106" s="1"/>
  <c r="B5697" i="106"/>
  <c r="D5697" i="106" s="1"/>
  <c r="B4346" i="106"/>
  <c r="D4346" i="106" s="1"/>
  <c r="B6322" i="106"/>
  <c r="D6322" i="106" s="1"/>
  <c r="B2808" i="106"/>
  <c r="D2808" i="106" s="1"/>
  <c r="K145" i="29"/>
  <c r="B2811" i="106" s="1"/>
  <c r="D2811" i="106" s="1"/>
  <c r="B6140" i="106"/>
  <c r="D6140" i="106" s="1"/>
  <c r="B791" i="106"/>
  <c r="D791" i="106" s="1"/>
  <c r="B5395" i="106"/>
  <c r="D5395" i="106" s="1"/>
  <c r="B915" i="106"/>
  <c r="D915" i="106" s="1"/>
  <c r="B6393" i="106"/>
  <c r="D6393" i="106" s="1"/>
  <c r="B5525" i="106"/>
  <c r="D5525" i="106" s="1"/>
  <c r="B2957" i="106"/>
  <c r="D2957" i="106" s="1"/>
  <c r="B2959" i="106"/>
  <c r="D2959" i="106" s="1"/>
  <c r="B7161" i="106"/>
  <c r="D7161" i="106" s="1"/>
  <c r="B5100" i="106"/>
  <c r="D5100" i="106" s="1"/>
  <c r="B6344" i="106"/>
  <c r="D6344" i="106" s="1"/>
  <c r="K307" i="29"/>
  <c r="B4099" i="106" s="1"/>
  <c r="D4099" i="106" s="1"/>
  <c r="B7108" i="106"/>
  <c r="D7108" i="106" s="1"/>
  <c r="B6302" i="106"/>
  <c r="D6302" i="106" s="1"/>
  <c r="J18" i="5"/>
  <c r="B6306" i="106" s="1"/>
  <c r="D6306" i="106" s="1"/>
  <c r="B7195" i="106"/>
  <c r="D7195" i="106" s="1"/>
  <c r="B6293" i="106"/>
  <c r="D6293" i="106" s="1"/>
  <c r="B1251" i="106"/>
  <c r="D1251" i="106" s="1"/>
  <c r="G127" i="29"/>
  <c r="K107" i="29"/>
  <c r="B2795" i="106" s="1"/>
  <c r="D2795" i="106" s="1"/>
  <c r="B2791" i="106"/>
  <c r="D2791" i="106" s="1"/>
  <c r="B798" i="106"/>
  <c r="D798" i="106" s="1"/>
  <c r="K252" i="29"/>
  <c r="B7090" i="106" s="1"/>
  <c r="D7090" i="106" s="1"/>
  <c r="B7089" i="106"/>
  <c r="D7089" i="106" s="1"/>
  <c r="B7669" i="106"/>
  <c r="D7669" i="106" s="1"/>
  <c r="B3295" i="106"/>
  <c r="D3295" i="106" s="1"/>
  <c r="E40" i="4"/>
  <c r="B6288" i="106" s="1"/>
  <c r="D6288" i="106" s="1"/>
  <c r="B6248" i="106"/>
  <c r="D6248" i="106" s="1"/>
  <c r="B3585" i="106"/>
  <c r="D3585" i="106" s="1"/>
  <c r="B6159" i="106"/>
  <c r="D6159" i="106" s="1"/>
  <c r="B5013" i="106"/>
  <c r="D5013" i="106" s="1"/>
  <c r="B2721" i="106"/>
  <c r="D2721" i="106" s="1"/>
  <c r="K332" i="29"/>
  <c r="B7785" i="106"/>
  <c r="D7785" i="106" s="1"/>
  <c r="H334" i="29"/>
  <c r="B7789" i="106" s="1"/>
  <c r="D7789" i="106" s="1"/>
  <c r="B857" i="106"/>
  <c r="D857" i="106" s="1"/>
  <c r="B2989" i="106"/>
  <c r="D2989" i="106" s="1"/>
  <c r="E194" i="29"/>
  <c r="K188" i="29"/>
  <c r="B7665" i="106"/>
  <c r="D7665" i="106" s="1"/>
  <c r="B6868" i="106"/>
  <c r="D6868" i="106" s="1"/>
  <c r="B6146" i="106"/>
  <c r="D6146" i="106" s="1"/>
  <c r="B1543" i="106"/>
  <c r="D1543" i="106" s="1"/>
  <c r="G303" i="29"/>
  <c r="B7163" i="106"/>
  <c r="D7163" i="106" s="1"/>
  <c r="K324" i="29"/>
  <c r="B7171" i="106" s="1"/>
  <c r="D7171" i="106" s="1"/>
  <c r="B3578" i="106"/>
  <c r="D3578" i="106" s="1"/>
  <c r="F136" i="34"/>
  <c r="B6642" i="106"/>
  <c r="D6642" i="106" s="1"/>
  <c r="B6257" i="106"/>
  <c r="D6257" i="106" s="1"/>
  <c r="B6979" i="106"/>
  <c r="D6979" i="106" s="1"/>
  <c r="B6172" i="106"/>
  <c r="D6172" i="106" s="1"/>
  <c r="B4882" i="106"/>
  <c r="D4882" i="106" s="1"/>
  <c r="B6316" i="106"/>
  <c r="D6316" i="106" s="1"/>
  <c r="J67" i="5"/>
  <c r="B6318" i="106" s="1"/>
  <c r="D6318" i="106" s="1"/>
  <c r="B6659" i="106"/>
  <c r="D6659" i="106" s="1"/>
  <c r="B2887" i="106"/>
  <c r="D2887" i="106" s="1"/>
  <c r="B6721" i="106"/>
  <c r="D6721" i="106" s="1"/>
  <c r="B747" i="106"/>
  <c r="D747" i="106" s="1"/>
  <c r="K68" i="29"/>
  <c r="B5068" i="106"/>
  <c r="D5068" i="106" s="1"/>
  <c r="B776" i="106"/>
  <c r="D776" i="106" s="1"/>
  <c r="B4805" i="106"/>
  <c r="D4805" i="106" s="1"/>
  <c r="B4417" i="106"/>
  <c r="D4417" i="106" s="1"/>
  <c r="B4855" i="106"/>
  <c r="D4855" i="106" s="1"/>
  <c r="J57" i="29"/>
  <c r="B6949" i="106" s="1"/>
  <c r="D6949" i="106" s="1"/>
  <c r="B6945" i="106"/>
  <c r="D6945" i="106" s="1"/>
  <c r="B6819" i="106"/>
  <c r="D6819" i="106" s="1"/>
  <c r="B6813" i="106"/>
  <c r="D6813" i="106" s="1"/>
  <c r="B849" i="106"/>
  <c r="D849" i="106" s="1"/>
  <c r="B1522" i="106"/>
  <c r="D1522" i="106" s="1"/>
  <c r="K302" i="29"/>
  <c r="B1558" i="106" s="1"/>
  <c r="D1558" i="106" s="1"/>
  <c r="K327" i="29"/>
  <c r="B7198" i="106" s="1"/>
  <c r="D7198" i="106" s="1"/>
  <c r="B7190" i="106"/>
  <c r="D7190" i="106" s="1"/>
  <c r="F33" i="34"/>
  <c r="B5494" i="106"/>
  <c r="D5494" i="106" s="1"/>
  <c r="D57" i="29"/>
  <c r="B795" i="106" s="1"/>
  <c r="D795" i="106" s="1"/>
  <c r="B793" i="106"/>
  <c r="D793" i="106" s="1"/>
  <c r="B2956" i="106"/>
  <c r="D2956" i="106" s="1"/>
  <c r="B5243" i="106"/>
  <c r="D5243" i="106" s="1"/>
  <c r="B7685" i="106"/>
  <c r="D7685" i="106" s="1"/>
  <c r="B7262" i="106"/>
  <c r="B7170" i="106"/>
  <c r="D7170" i="106" s="1"/>
  <c r="B7815" i="106"/>
  <c r="D7815" i="106" s="1"/>
  <c r="B6251" i="106"/>
  <c r="D6251" i="106" s="1"/>
  <c r="B6822" i="106"/>
  <c r="D6822" i="106" s="1"/>
  <c r="B3376" i="106"/>
  <c r="D3376" i="106" s="1"/>
  <c r="B6795" i="106"/>
  <c r="D6795" i="106" s="1"/>
  <c r="B6958" i="106"/>
  <c r="D6958" i="106" s="1"/>
  <c r="B1244" i="106"/>
  <c r="D1244" i="106" s="1"/>
  <c r="B4338" i="106"/>
  <c r="D4338" i="106" s="1"/>
  <c r="B4883" i="106"/>
  <c r="D4883" i="106" s="1"/>
  <c r="B5740" i="106"/>
  <c r="D5740" i="106" s="1"/>
  <c r="J330" i="29"/>
  <c r="B7125" i="106"/>
  <c r="D7125" i="106" s="1"/>
  <c r="B1007" i="106"/>
  <c r="D1007" i="106" s="1"/>
  <c r="G141" i="5"/>
  <c r="B5749" i="106"/>
  <c r="D5749" i="106" s="1"/>
  <c r="B2951" i="106"/>
  <c r="D2951" i="106" s="1"/>
  <c r="K80" i="29"/>
  <c r="B2975" i="106" s="1"/>
  <c r="D2975" i="106" s="1"/>
  <c r="K19" i="29"/>
  <c r="B3381" i="106" s="1"/>
  <c r="D3381" i="106" s="1"/>
  <c r="B3367" i="106"/>
  <c r="D3367" i="106" s="1"/>
  <c r="B6399" i="106"/>
  <c r="D6399" i="106" s="1"/>
  <c r="B6936" i="106"/>
  <c r="D6936" i="106" s="1"/>
  <c r="F116" i="34"/>
  <c r="B5060" i="106"/>
  <c r="D5060" i="106" s="1"/>
  <c r="B6166" i="106"/>
  <c r="D6166" i="106" s="1"/>
  <c r="B4852" i="106"/>
  <c r="D4852" i="106" s="1"/>
  <c r="F170" i="34"/>
  <c r="B995" i="106"/>
  <c r="D995" i="106" s="1"/>
  <c r="H33" i="29"/>
  <c r="B1010" i="106" s="1"/>
  <c r="D1010" i="106" s="1"/>
  <c r="B7237" i="106"/>
  <c r="D7237" i="106" s="1"/>
  <c r="K355" i="29"/>
  <c r="B7793" i="106"/>
  <c r="D7793" i="106" s="1"/>
  <c r="F135" i="34"/>
  <c r="B6634" i="106"/>
  <c r="D6634" i="106" s="1"/>
  <c r="B7028" i="106"/>
  <c r="D7028" i="106" s="1"/>
  <c r="B5855" i="106"/>
  <c r="D5855" i="106" s="1"/>
  <c r="B1350" i="106"/>
  <c r="D1350" i="106" s="1"/>
  <c r="C155" i="5"/>
  <c r="B5175" i="106"/>
  <c r="D5175" i="106" s="1"/>
  <c r="B6675" i="106"/>
  <c r="D6675" i="106" s="1"/>
  <c r="B156" i="106"/>
  <c r="D156" i="106" s="1"/>
  <c r="B5058" i="106"/>
  <c r="D5058" i="106" s="1"/>
  <c r="B7666" i="106"/>
  <c r="D7666" i="106" s="1"/>
  <c r="B5929" i="106"/>
  <c r="D5929" i="106" s="1"/>
  <c r="E100" i="29"/>
  <c r="B7011" i="106" s="1"/>
  <c r="D7011" i="106" s="1"/>
  <c r="K99" i="29"/>
  <c r="B7010" i="106" s="1"/>
  <c r="D7010" i="106" s="1"/>
  <c r="B7008" i="106"/>
  <c r="D7008" i="106" s="1"/>
  <c r="B7165" i="106"/>
  <c r="D7165" i="106" s="1"/>
  <c r="B4876" i="106"/>
  <c r="D4876" i="106" s="1"/>
  <c r="B6324" i="106"/>
  <c r="D6324" i="106" s="1"/>
  <c r="B730" i="106"/>
  <c r="D730" i="106" s="1"/>
  <c r="K46" i="29"/>
  <c r="B1118" i="106" s="1"/>
  <c r="D1118" i="106" s="1"/>
  <c r="B1002" i="106"/>
  <c r="D1002" i="106" s="1"/>
  <c r="K13" i="3"/>
  <c r="B3552" i="106" s="1"/>
  <c r="D3552" i="106" s="1"/>
  <c r="B3548" i="106"/>
  <c r="D3548" i="106" s="1"/>
  <c r="B6358" i="106"/>
  <c r="D6358" i="106" s="1"/>
  <c r="B6697" i="106"/>
  <c r="D6697" i="106" s="1"/>
  <c r="B6777" i="106"/>
  <c r="D6777" i="106" s="1"/>
  <c r="F150" i="34"/>
  <c r="B5135" i="106"/>
  <c r="D5135" i="106" s="1"/>
  <c r="B5278" i="106"/>
  <c r="D5278" i="106" s="1"/>
  <c r="F128" i="34"/>
  <c r="B723" i="106"/>
  <c r="D723" i="106" s="1"/>
  <c r="K38" i="29"/>
  <c r="B1111" i="106" s="1"/>
  <c r="D1111" i="106" s="1"/>
  <c r="B6392" i="106"/>
  <c r="D6392" i="106" s="1"/>
  <c r="B4804" i="106"/>
  <c r="D4804" i="106" s="1"/>
  <c r="F181" i="5"/>
  <c r="B5658" i="106" s="1"/>
  <c r="D5658" i="106" s="1"/>
  <c r="B152" i="106"/>
  <c r="D152" i="106" s="1"/>
  <c r="B2999" i="106"/>
  <c r="D2999" i="106" s="1"/>
  <c r="B6085" i="106"/>
  <c r="D6085" i="106" s="1"/>
  <c r="B3648" i="106"/>
  <c r="D3648" i="106" s="1"/>
  <c r="B6905" i="106"/>
  <c r="D6905" i="106" s="1"/>
  <c r="J42" i="29"/>
  <c r="B1531" i="106"/>
  <c r="D1531" i="106" s="1"/>
  <c r="E303" i="29"/>
  <c r="B4886" i="106"/>
  <c r="D4886" i="106" s="1"/>
  <c r="J252" i="5"/>
  <c r="B6620" i="106"/>
  <c r="D6620" i="106" s="1"/>
  <c r="B6360" i="106"/>
  <c r="D6360" i="106" s="1"/>
  <c r="E38" i="4"/>
  <c r="B6286" i="106" s="1"/>
  <c r="D6286" i="106" s="1"/>
  <c r="B6243" i="106"/>
  <c r="D6243" i="106" s="1"/>
  <c r="F100" i="34"/>
  <c r="B5111" i="106"/>
  <c r="D5111" i="106" s="1"/>
  <c r="B7184" i="106"/>
  <c r="D7184" i="106" s="1"/>
  <c r="B7252" i="106"/>
  <c r="D7252" i="106" s="1"/>
  <c r="B7766" i="106"/>
  <c r="D7766" i="106" s="1"/>
  <c r="B6106" i="106"/>
  <c r="D6106" i="106" s="1"/>
  <c r="B786" i="106"/>
  <c r="D786" i="106" s="1"/>
  <c r="D47" i="29"/>
  <c r="B789" i="106" s="1"/>
  <c r="D789" i="106" s="1"/>
  <c r="B7173" i="106"/>
  <c r="D7173" i="106" s="1"/>
  <c r="B7661" i="106"/>
  <c r="D7661" i="106" s="1"/>
  <c r="B4335" i="106"/>
  <c r="D4335" i="106" s="1"/>
  <c r="B6381" i="106"/>
  <c r="D6381" i="106" s="1"/>
  <c r="B6646" i="106"/>
  <c r="D6646" i="106" s="1"/>
  <c r="B6681" i="106"/>
  <c r="D6681" i="106" s="1"/>
  <c r="B6775" i="106"/>
  <c r="D6775" i="106" s="1"/>
  <c r="B2723" i="106"/>
  <c r="D2723" i="106" s="1"/>
  <c r="B6181" i="106"/>
  <c r="D6181" i="106" s="1"/>
  <c r="B5137" i="106"/>
  <c r="D5137" i="106" s="1"/>
  <c r="B6184" i="106"/>
  <c r="D6184" i="106" s="1"/>
  <c r="B3275" i="106"/>
  <c r="D3275" i="106" s="1"/>
  <c r="B4364" i="106"/>
  <c r="D4364" i="106" s="1"/>
  <c r="E175" i="5"/>
  <c r="B4372" i="106" s="1"/>
  <c r="D4372" i="106" s="1"/>
  <c r="B5517" i="106"/>
  <c r="D5517" i="106" s="1"/>
  <c r="B6796" i="106"/>
  <c r="D6796" i="106" s="1"/>
  <c r="B4334" i="106"/>
  <c r="D4334" i="106" s="1"/>
  <c r="B6120" i="106"/>
  <c r="D6120" i="106" s="1"/>
  <c r="B5743" i="106"/>
  <c r="D5743" i="106" s="1"/>
  <c r="B2758" i="106"/>
  <c r="D2758" i="106" s="1"/>
  <c r="B6304" i="106"/>
  <c r="D6304" i="106" s="1"/>
  <c r="B6233" i="106"/>
  <c r="D6233" i="106" s="1"/>
  <c r="B751" i="106"/>
  <c r="D751" i="106" s="1"/>
  <c r="K71" i="29"/>
  <c r="B1139" i="106" s="1"/>
  <c r="D1139" i="106" s="1"/>
  <c r="B7140" i="106"/>
  <c r="D7140" i="106" s="1"/>
  <c r="B7238" i="106"/>
  <c r="D7238" i="106" s="1"/>
  <c r="K361" i="29"/>
  <c r="B7239" i="106" s="1"/>
  <c r="D7239" i="106" s="1"/>
  <c r="K306" i="29"/>
  <c r="E310" i="29"/>
  <c r="B7114" i="106" s="1"/>
  <c r="D7114" i="106" s="1"/>
  <c r="B7105" i="106"/>
  <c r="D7105" i="106" s="1"/>
  <c r="K224" i="29"/>
  <c r="F71" i="34" s="1"/>
  <c r="B1409" i="106"/>
  <c r="D1409" i="106" s="1"/>
  <c r="B794" i="106"/>
  <c r="D794" i="106" s="1"/>
  <c r="F122" i="34"/>
  <c r="C181" i="5"/>
  <c r="B5230" i="106"/>
  <c r="D5230" i="106" s="1"/>
  <c r="B3617" i="106"/>
  <c r="D3617" i="106" s="1"/>
  <c r="C350" i="29"/>
  <c r="K348" i="29"/>
  <c r="B432" i="106"/>
  <c r="D432" i="106" s="1"/>
  <c r="B6798" i="106"/>
  <c r="D6798" i="106" s="1"/>
  <c r="B1311" i="106"/>
  <c r="D1311" i="106" s="1"/>
  <c r="K164" i="29"/>
  <c r="B1325" i="106" s="1"/>
  <c r="D1325" i="106" s="1"/>
  <c r="B3000" i="106"/>
  <c r="D3000" i="106" s="1"/>
  <c r="K67" i="5"/>
  <c r="B5995" i="106" s="1"/>
  <c r="D5995" i="106" s="1"/>
  <c r="B5993" i="106"/>
  <c r="D5993" i="106" s="1"/>
  <c r="B2792" i="106"/>
  <c r="D2792" i="106" s="1"/>
  <c r="K108" i="29"/>
  <c r="B2796" i="106" s="1"/>
  <c r="D2796" i="106" s="1"/>
  <c r="B5077" i="106"/>
  <c r="D5077" i="106" s="1"/>
  <c r="B7079" i="106"/>
  <c r="D7079" i="106" s="1"/>
  <c r="K226" i="29"/>
  <c r="B7080" i="106" s="1"/>
  <c r="D7080" i="106" s="1"/>
  <c r="B6171" i="106"/>
  <c r="D6171" i="106" s="1"/>
  <c r="B6857" i="106"/>
  <c r="D6857" i="106" s="1"/>
  <c r="B6097" i="106"/>
  <c r="D6097" i="106" s="1"/>
  <c r="B763" i="106"/>
  <c r="D763" i="106" s="1"/>
  <c r="D33" i="29"/>
  <c r="B778" i="106" s="1"/>
  <c r="D778" i="106" s="1"/>
  <c r="B4189" i="106"/>
  <c r="D4189" i="106" s="1"/>
  <c r="F165" i="34"/>
  <c r="B6337" i="106"/>
  <c r="D6337" i="106" s="1"/>
  <c r="B7148" i="106"/>
  <c r="D7148" i="106" s="1"/>
  <c r="B4362" i="106"/>
  <c r="D4362" i="106" s="1"/>
  <c r="F169" i="34"/>
  <c r="D17" i="171"/>
  <c r="K88" i="29"/>
  <c r="B6988" i="106" s="1"/>
  <c r="D6988" i="106" s="1"/>
  <c r="B6987" i="106"/>
  <c r="D6987" i="106" s="1"/>
  <c r="F350" i="29"/>
  <c r="B3638" i="106"/>
  <c r="D3638" i="106" s="1"/>
  <c r="B988" i="106"/>
  <c r="D988" i="106" s="1"/>
  <c r="B6091" i="106"/>
  <c r="D6091" i="106" s="1"/>
  <c r="B6258" i="106"/>
  <c r="D6258" i="106" s="1"/>
  <c r="B4407" i="106"/>
  <c r="D4407" i="106" s="1"/>
  <c r="B5917" i="106"/>
  <c r="D5917" i="106" s="1"/>
  <c r="B4352" i="106"/>
  <c r="D4352" i="106" s="1"/>
  <c r="H184" i="29"/>
  <c r="B1370" i="106" s="1"/>
  <c r="D1370" i="106" s="1"/>
  <c r="B1366" i="106"/>
  <c r="D1366" i="106" s="1"/>
  <c r="B6114" i="106"/>
  <c r="D6114" i="106" s="1"/>
  <c r="B7128" i="106"/>
  <c r="D7128" i="106" s="1"/>
  <c r="B5742" i="106"/>
  <c r="D5742" i="106" s="1"/>
  <c r="G122" i="5"/>
  <c r="B5748" i="106" s="1"/>
  <c r="D5748" i="106" s="1"/>
  <c r="B6658" i="106"/>
  <c r="D6658" i="106" s="1"/>
  <c r="B7683" i="106"/>
  <c r="D7683" i="106" s="1"/>
  <c r="J34" i="3"/>
  <c r="B6191" i="106" s="1"/>
  <c r="D6191" i="106" s="1"/>
  <c r="B6131" i="106"/>
  <c r="D6131" i="106" s="1"/>
  <c r="B5997" i="106"/>
  <c r="D5997" i="106" s="1"/>
  <c r="D209" i="5"/>
  <c r="B4412" i="106" s="1"/>
  <c r="D4412" i="106" s="1"/>
  <c r="B5440" i="106"/>
  <c r="D5440" i="106" s="1"/>
  <c r="B1240" i="106"/>
  <c r="D1240" i="106" s="1"/>
  <c r="B3579" i="106"/>
  <c r="D3579" i="106" s="1"/>
  <c r="B4341" i="106"/>
  <c r="D4341" i="106" s="1"/>
  <c r="B6119" i="106"/>
  <c r="D6119" i="106" s="1"/>
  <c r="B6713" i="106"/>
  <c r="D6713" i="106" s="1"/>
  <c r="B6130" i="106"/>
  <c r="D6130" i="106" s="1"/>
  <c r="H34" i="3"/>
  <c r="B211" i="106" s="1"/>
  <c r="D211" i="106" s="1"/>
  <c r="B7750" i="106"/>
  <c r="D7750" i="106" s="1"/>
  <c r="B6083" i="106"/>
  <c r="D6083" i="106" s="1"/>
  <c r="B4884" i="106"/>
  <c r="D4884" i="106" s="1"/>
  <c r="B7250" i="106"/>
  <c r="D7250" i="106" s="1"/>
  <c r="B7060" i="106"/>
  <c r="D7060" i="106" s="1"/>
  <c r="J184" i="29"/>
  <c r="B6695" i="106"/>
  <c r="D6695" i="106" s="1"/>
  <c r="B65" i="106"/>
  <c r="D65" i="106" s="1"/>
  <c r="B6867" i="106"/>
  <c r="D6867" i="106" s="1"/>
  <c r="B7035" i="106"/>
  <c r="D7035" i="106" s="1"/>
  <c r="B6952" i="106"/>
  <c r="D6952" i="106" s="1"/>
  <c r="B500" i="106"/>
  <c r="D500" i="106" s="1"/>
  <c r="D350" i="29"/>
  <c r="B3624" i="106"/>
  <c r="D3624" i="106" s="1"/>
  <c r="B5665" i="106"/>
  <c r="D5665" i="106" s="1"/>
  <c r="B6391" i="106"/>
  <c r="D6391" i="106" s="1"/>
  <c r="B6163" i="106"/>
  <c r="D6163" i="106" s="1"/>
  <c r="B2806" i="106"/>
  <c r="D2806" i="106" s="1"/>
  <c r="B732" i="106"/>
  <c r="D732" i="106" s="1"/>
  <c r="C53" i="29"/>
  <c r="B734" i="106" s="1"/>
  <c r="D734" i="106" s="1"/>
  <c r="K49" i="29"/>
  <c r="B6650" i="106"/>
  <c r="D6650" i="106" s="1"/>
  <c r="F137" i="34"/>
  <c r="B5519" i="106"/>
  <c r="D5519" i="106" s="1"/>
  <c r="E67" i="5"/>
  <c r="B5521" i="106" s="1"/>
  <c r="D5521" i="106" s="1"/>
  <c r="B4180" i="106"/>
  <c r="D4180" i="106" s="1"/>
  <c r="B5604" i="106"/>
  <c r="D5604" i="106" s="1"/>
  <c r="B4375" i="106"/>
  <c r="D4375" i="106" s="1"/>
  <c r="B6804" i="106"/>
  <c r="D6804" i="106" s="1"/>
  <c r="B5920" i="106"/>
  <c r="D5920" i="106" s="1"/>
  <c r="B5079" i="106"/>
  <c r="D5079" i="106" s="1"/>
  <c r="B652" i="106"/>
  <c r="D652" i="106" s="1"/>
  <c r="B6123" i="106"/>
  <c r="D6123" i="106" s="1"/>
  <c r="D72" i="36"/>
  <c r="B2757" i="106"/>
  <c r="D2757" i="106" s="1"/>
  <c r="B6333" i="106"/>
  <c r="D6333" i="106" s="1"/>
  <c r="B4179" i="106"/>
  <c r="D4179" i="106" s="1"/>
  <c r="B922" i="106"/>
  <c r="D922" i="106" s="1"/>
  <c r="D73" i="36"/>
  <c r="B6290" i="106"/>
  <c r="D6290" i="106" s="1"/>
  <c r="B2992" i="106"/>
  <c r="D2992" i="106" s="1"/>
  <c r="K191" i="29"/>
  <c r="B3010" i="106" s="1"/>
  <c r="D3010" i="106" s="1"/>
  <c r="B5152" i="106"/>
  <c r="D5152" i="106" s="1"/>
  <c r="B6102" i="106"/>
  <c r="D6102" i="106" s="1"/>
  <c r="B6662" i="106"/>
  <c r="D6662" i="106" s="1"/>
  <c r="B6712" i="106"/>
  <c r="D6712" i="106" s="1"/>
  <c r="F143" i="34"/>
  <c r="D238" i="29"/>
  <c r="B1411" i="106"/>
  <c r="D1411" i="106" s="1"/>
  <c r="K232" i="29"/>
  <c r="B1475" i="106" s="1"/>
  <c r="D1475" i="106" s="1"/>
  <c r="B5523" i="106"/>
  <c r="D5523" i="106" s="1"/>
  <c r="H330" i="29"/>
  <c r="B7123" i="106"/>
  <c r="D7123" i="106" s="1"/>
  <c r="K354" i="29"/>
  <c r="B7236" i="106"/>
  <c r="D7236" i="106" s="1"/>
  <c r="B7791" i="106"/>
  <c r="D7791" i="106" s="1"/>
  <c r="H357" i="29"/>
  <c r="B6624" i="106"/>
  <c r="D6624" i="106" s="1"/>
  <c r="B4875" i="106"/>
  <c r="D4875" i="106" s="1"/>
  <c r="B7014" i="106"/>
  <c r="D7014" i="106" s="1"/>
  <c r="B6969" i="106"/>
  <c r="D6969" i="106" s="1"/>
  <c r="K220" i="29"/>
  <c r="F69" i="34" s="1"/>
  <c r="B7077" i="106"/>
  <c r="D7077" i="106" s="1"/>
  <c r="B893" i="106"/>
  <c r="D893" i="106" s="1"/>
  <c r="B1026" i="106"/>
  <c r="D1026" i="106" s="1"/>
  <c r="B6094" i="106"/>
  <c r="D6094" i="106" s="1"/>
  <c r="B5765" i="106"/>
  <c r="D5765" i="106" s="1"/>
  <c r="B208" i="106"/>
  <c r="D208" i="106" s="1"/>
  <c r="B5989" i="106"/>
  <c r="D5989" i="106" s="1"/>
  <c r="B1430" i="106"/>
  <c r="D1430" i="106" s="1"/>
  <c r="K265" i="29"/>
  <c r="B1494" i="106" s="1"/>
  <c r="D1494" i="106" s="1"/>
  <c r="B6110" i="106"/>
  <c r="D6110" i="106" s="1"/>
  <c r="K73" i="29"/>
  <c r="B754" i="106"/>
  <c r="D754" i="106" s="1"/>
  <c r="B6708" i="106"/>
  <c r="D6708" i="106" s="1"/>
  <c r="B6782" i="106"/>
  <c r="D6782" i="106" s="1"/>
  <c r="B718" i="106"/>
  <c r="D718" i="106" s="1"/>
  <c r="K14" i="29"/>
  <c r="B1106" i="106" s="1"/>
  <c r="D1106" i="106" s="1"/>
  <c r="G47" i="29"/>
  <c r="B963" i="106" s="1"/>
  <c r="D963" i="106" s="1"/>
  <c r="B960" i="106"/>
  <c r="D960" i="106" s="1"/>
  <c r="B2947" i="106"/>
  <c r="D2947" i="106" s="1"/>
  <c r="K101" i="29"/>
  <c r="B7015" i="106" s="1"/>
  <c r="D7015" i="106" s="1"/>
  <c r="G181" i="5"/>
  <c r="B5784" i="106" s="1"/>
  <c r="D5784" i="106" s="1"/>
  <c r="B4810" i="106"/>
  <c r="D4810" i="106" s="1"/>
  <c r="B7151" i="106"/>
  <c r="D7151" i="106" s="1"/>
  <c r="B5705" i="106"/>
  <c r="D5705" i="106" s="1"/>
  <c r="B4370" i="106"/>
  <c r="D4370" i="106" s="1"/>
  <c r="B6664" i="106"/>
  <c r="D6664" i="106" s="1"/>
  <c r="B1257" i="106"/>
  <c r="D1257" i="106" s="1"/>
  <c r="B6117" i="106"/>
  <c r="D6117" i="106" s="1"/>
  <c r="B6742" i="106"/>
  <c r="D6742" i="106" s="1"/>
  <c r="B6326" i="106"/>
  <c r="D6326" i="106" s="1"/>
  <c r="B5142" i="106"/>
  <c r="D5142" i="106" s="1"/>
  <c r="B6103" i="106"/>
  <c r="D6103" i="106" s="1"/>
  <c r="B6907" i="106"/>
  <c r="D6907" i="106" s="1"/>
  <c r="C252" i="5"/>
  <c r="B6833" i="106" s="1"/>
  <c r="D6833" i="106" s="1"/>
  <c r="B6614" i="106"/>
  <c r="D6614" i="106" s="1"/>
  <c r="F24" i="34"/>
  <c r="B5574" i="106"/>
  <c r="D5574" i="106" s="1"/>
  <c r="B6914" i="106"/>
  <c r="D6914" i="106" s="1"/>
  <c r="B4336" i="106"/>
  <c r="D4336" i="106" s="1"/>
  <c r="B5061" i="106"/>
  <c r="D5061" i="106" s="1"/>
  <c r="B4" i="7"/>
  <c r="C12" i="5"/>
  <c r="B4446" i="106"/>
  <c r="D4446" i="106" s="1"/>
  <c r="B18" i="7"/>
  <c r="B5065" i="106"/>
  <c r="D5065" i="106" s="1"/>
  <c r="B828" i="106"/>
  <c r="D828" i="106" s="1"/>
  <c r="K337" i="29"/>
  <c r="B7208" i="106"/>
  <c r="D7208" i="106" s="1"/>
  <c r="H340" i="29"/>
  <c r="B7214" i="106" s="1"/>
  <c r="D7214" i="106" s="1"/>
  <c r="B5103" i="106"/>
  <c r="D5103" i="106" s="1"/>
  <c r="F96" i="34"/>
  <c r="C93" i="5"/>
  <c r="B5112" i="106" s="1"/>
  <c r="D5112" i="106" s="1"/>
  <c r="B880" i="106"/>
  <c r="D880" i="106" s="1"/>
  <c r="B3377" i="106"/>
  <c r="D3377" i="106" s="1"/>
  <c r="B749" i="106"/>
  <c r="D749" i="106" s="1"/>
  <c r="K70" i="29"/>
  <c r="B7155" i="106"/>
  <c r="D7155" i="106" s="1"/>
  <c r="B6959" i="106"/>
  <c r="D6959" i="106" s="1"/>
  <c r="B7753" i="106"/>
  <c r="D7753" i="106" s="1"/>
  <c r="K56" i="29"/>
  <c r="B736" i="106"/>
  <c r="D736" i="106" s="1"/>
  <c r="B6327" i="106"/>
  <c r="D6327" i="106" s="1"/>
  <c r="B870" i="106"/>
  <c r="D870" i="106" s="1"/>
  <c r="B7698" i="106"/>
  <c r="D7698" i="106" s="1"/>
  <c r="B6731" i="106"/>
  <c r="D6731" i="106" s="1"/>
  <c r="B6099" i="106"/>
  <c r="D6099" i="106" s="1"/>
  <c r="B6100" i="106"/>
  <c r="D6100" i="106" s="1"/>
  <c r="G184" i="29"/>
  <c r="B1360" i="106"/>
  <c r="D1360" i="106" s="1"/>
  <c r="B7143" i="106"/>
  <c r="D7143" i="106" s="1"/>
  <c r="B3580" i="106"/>
  <c r="D3580" i="106" s="1"/>
  <c r="B7102" i="106"/>
  <c r="D7102" i="106" s="1"/>
  <c r="B833" i="106"/>
  <c r="D833" i="106" s="1"/>
  <c r="B7149" i="106"/>
  <c r="D7149" i="106" s="1"/>
  <c r="B928" i="106"/>
  <c r="D928" i="106" s="1"/>
  <c r="B729" i="106"/>
  <c r="D729" i="106" s="1"/>
  <c r="K45" i="29"/>
  <c r="B1117" i="106" s="1"/>
  <c r="D1117" i="106" s="1"/>
  <c r="B198" i="106"/>
  <c r="D198" i="106" s="1"/>
  <c r="B5559" i="106"/>
  <c r="D5559" i="106" s="1"/>
  <c r="B3486" i="106"/>
  <c r="D3486" i="106" s="1"/>
  <c r="B2801" i="106"/>
  <c r="D2801" i="106" s="1"/>
  <c r="B775" i="106"/>
  <c r="D775" i="106" s="1"/>
  <c r="C40" i="5"/>
  <c r="B5087" i="106" s="1"/>
  <c r="D5087" i="106" s="1"/>
  <c r="B5072" i="106"/>
  <c r="D5072" i="106" s="1"/>
  <c r="B321" i="106"/>
  <c r="D321" i="106" s="1"/>
  <c r="I48" i="4"/>
  <c r="B2106" i="106" s="1"/>
  <c r="D2106" i="106" s="1"/>
  <c r="B3577" i="106"/>
  <c r="D3577" i="106" s="1"/>
  <c r="B6157" i="106"/>
  <c r="D6157" i="106" s="1"/>
  <c r="B5695" i="106"/>
  <c r="D5695" i="106" s="1"/>
  <c r="B6332" i="106"/>
  <c r="D6332" i="106" s="1"/>
  <c r="B4853" i="106"/>
  <c r="D4853" i="106" s="1"/>
  <c r="B6875" i="106"/>
  <c r="D6875" i="106" s="1"/>
  <c r="B7689" i="106"/>
  <c r="D7689" i="106" s="1"/>
  <c r="B6865" i="106"/>
  <c r="D6865" i="106" s="1"/>
  <c r="B6741" i="106"/>
  <c r="D6741" i="106" s="1"/>
  <c r="B6701" i="106"/>
  <c r="D6701" i="106" s="1"/>
  <c r="B7176" i="106"/>
  <c r="D7176" i="106" s="1"/>
  <c r="B5524" i="106"/>
  <c r="D5524" i="106" s="1"/>
  <c r="B4359" i="106"/>
  <c r="D4359" i="106" s="1"/>
  <c r="B7675" i="106"/>
  <c r="D7675" i="106" s="1"/>
  <c r="B3375" i="106"/>
  <c r="D3375" i="106" s="1"/>
  <c r="B4310" i="106"/>
  <c r="D4310" i="106" s="1"/>
  <c r="B6331" i="106"/>
  <c r="D6331" i="106" s="1"/>
  <c r="B5872" i="106"/>
  <c r="D5872" i="106" s="1"/>
  <c r="B7087" i="106"/>
  <c r="D7087" i="106" s="1"/>
  <c r="K251" i="29"/>
  <c r="B7088" i="106" s="1"/>
  <c r="D7088" i="106" s="1"/>
  <c r="F99" i="34"/>
  <c r="B5110" i="106"/>
  <c r="D5110" i="106" s="1"/>
  <c r="B6971" i="106"/>
  <c r="D6971" i="106" s="1"/>
  <c r="B5331" i="106"/>
  <c r="D5331" i="106" s="1"/>
  <c r="B7654" i="106"/>
  <c r="D7654" i="106" s="1"/>
  <c r="B6294" i="106"/>
  <c r="D6294" i="106" s="1"/>
  <c r="B6960" i="106"/>
  <c r="D6960" i="106" s="1"/>
  <c r="B7141" i="106"/>
  <c r="D7141" i="106" s="1"/>
  <c r="B6767" i="106"/>
  <c r="D6767" i="106" s="1"/>
  <c r="B892" i="106"/>
  <c r="D892" i="106" s="1"/>
  <c r="G67" i="5"/>
  <c r="B5733" i="106" s="1"/>
  <c r="D5733" i="106" s="1"/>
  <c r="B5731" i="106"/>
  <c r="D5731" i="106" s="1"/>
  <c r="B6670" i="106"/>
  <c r="D6670" i="106" s="1"/>
  <c r="B6944" i="106"/>
  <c r="D6944" i="106" s="1"/>
  <c r="I57" i="29"/>
  <c r="B6948" i="106" s="1"/>
  <c r="D6948" i="106" s="1"/>
  <c r="B6811" i="106"/>
  <c r="D6811" i="106" s="1"/>
  <c r="B324" i="106"/>
  <c r="D324" i="106" s="1"/>
  <c r="K292" i="29"/>
  <c r="B1514" i="106" s="1"/>
  <c r="D1514" i="106" s="1"/>
  <c r="B1451" i="106"/>
  <c r="D1451" i="106" s="1"/>
  <c r="G217" i="5"/>
  <c r="B5829" i="106" s="1"/>
  <c r="D5829" i="106" s="1"/>
  <c r="B5817" i="106"/>
  <c r="D5817" i="106" s="1"/>
  <c r="B6744" i="106"/>
  <c r="D6744" i="106" s="1"/>
  <c r="B6377" i="106"/>
  <c r="D6377" i="106" s="1"/>
  <c r="B1631" i="106"/>
  <c r="D1631" i="106" s="1"/>
  <c r="B4420" i="106"/>
  <c r="D4420" i="106" s="1"/>
  <c r="B6812" i="106"/>
  <c r="D6812" i="106" s="1"/>
  <c r="E42" i="29"/>
  <c r="B837" i="106"/>
  <c r="D837" i="106" s="1"/>
  <c r="B954" i="106"/>
  <c r="D954" i="106" s="1"/>
  <c r="B6754" i="106"/>
  <c r="D6754" i="106" s="1"/>
  <c r="B7228" i="106"/>
  <c r="D7228" i="106" s="1"/>
  <c r="B4353" i="106"/>
  <c r="D4353" i="106" s="1"/>
  <c r="B3084" i="106"/>
  <c r="D3084" i="106" s="1"/>
  <c r="B6370" i="106"/>
  <c r="D6370" i="106" s="1"/>
  <c r="B4342" i="106"/>
  <c r="D4342" i="106" s="1"/>
  <c r="K349" i="29"/>
  <c r="B3669" i="106" s="1"/>
  <c r="D3669" i="106" s="1"/>
  <c r="B3618" i="106"/>
  <c r="D3618" i="106" s="1"/>
  <c r="B7652" i="106"/>
  <c r="D7652" i="106" s="1"/>
  <c r="B5591" i="106"/>
  <c r="D5591" i="106" s="1"/>
  <c r="B5888" i="106"/>
  <c r="D5888" i="106" s="1"/>
  <c r="B5602" i="106"/>
  <c r="D5602" i="106" s="1"/>
  <c r="B5516" i="106"/>
  <c r="D5516" i="106" s="1"/>
  <c r="B1344" i="106"/>
  <c r="D1344" i="106" s="1"/>
  <c r="B7093" i="106"/>
  <c r="D7093" i="106" s="1"/>
  <c r="K254" i="29"/>
  <c r="B7094" i="106" s="1"/>
  <c r="D7094" i="106" s="1"/>
  <c r="B6323" i="106"/>
  <c r="D6323" i="106" s="1"/>
  <c r="B7009" i="106"/>
  <c r="D7009" i="106" s="1"/>
  <c r="B1438" i="106"/>
  <c r="D1438" i="106" s="1"/>
  <c r="K273" i="29"/>
  <c r="B1502" i="106" s="1"/>
  <c r="D1502" i="106" s="1"/>
  <c r="B5241" i="106"/>
  <c r="D5241" i="106" s="1"/>
  <c r="B944" i="106"/>
  <c r="D944" i="106" s="1"/>
  <c r="B5798" i="106"/>
  <c r="D5798" i="106" s="1"/>
  <c r="B104" i="106"/>
  <c r="D104" i="106" s="1"/>
  <c r="B5654" i="106"/>
  <c r="D5654" i="106" s="1"/>
  <c r="F175" i="5"/>
  <c r="B5655" i="106" s="1"/>
  <c r="D5655" i="106" s="1"/>
  <c r="K247" i="29"/>
  <c r="B2726" i="106" s="1"/>
  <c r="D2726" i="106" s="1"/>
  <c r="B2725" i="106"/>
  <c r="D2725" i="106" s="1"/>
  <c r="B7704" i="106"/>
  <c r="D7704" i="106" s="1"/>
  <c r="B6295" i="106"/>
  <c r="D6295" i="106" s="1"/>
  <c r="B6160" i="106"/>
  <c r="D6160" i="106" s="1"/>
  <c r="B1041" i="106"/>
  <c r="D1041" i="106" s="1"/>
  <c r="B7030" i="106"/>
  <c r="D7030" i="106" s="1"/>
  <c r="B4358" i="106"/>
  <c r="D4358" i="106" s="1"/>
  <c r="F168" i="34"/>
  <c r="B5332" i="106"/>
  <c r="D5332" i="106" s="1"/>
  <c r="B15" i="7"/>
  <c r="B6860" i="106"/>
  <c r="D6860" i="106" s="1"/>
  <c r="B6116" i="106"/>
  <c r="D6116" i="106" s="1"/>
  <c r="B3492" i="106"/>
  <c r="D3492" i="106" s="1"/>
  <c r="B7251" i="106"/>
  <c r="D7251" i="106" s="1"/>
  <c r="K9" i="29"/>
  <c r="C57" i="29"/>
  <c r="B737" i="106" s="1"/>
  <c r="D737" i="106" s="1"/>
  <c r="K55" i="29"/>
  <c r="B735" i="106"/>
  <c r="D735" i="106" s="1"/>
  <c r="K253" i="29"/>
  <c r="B7092" i="106" s="1"/>
  <c r="D7092" i="106" s="1"/>
  <c r="B7091" i="106"/>
  <c r="D7091" i="106" s="1"/>
  <c r="B1402" i="106"/>
  <c r="D1402" i="106" s="1"/>
  <c r="K227" i="29"/>
  <c r="B1466" i="106" s="1"/>
  <c r="D1466" i="106" s="1"/>
  <c r="B5196" i="106"/>
  <c r="D5196" i="106" s="1"/>
  <c r="B5727" i="106"/>
  <c r="D5727" i="106" s="1"/>
  <c r="B806" i="106"/>
  <c r="D806" i="106" s="1"/>
  <c r="B5567" i="106"/>
  <c r="D5567" i="106" s="1"/>
  <c r="F19" i="34"/>
  <c r="B164" i="106"/>
  <c r="D164" i="106" s="1"/>
  <c r="B6158" i="106"/>
  <c r="D6158" i="106" s="1"/>
  <c r="B6234" i="106"/>
  <c r="D6234" i="106" s="1"/>
  <c r="B5696" i="106"/>
  <c r="D5696" i="106" s="1"/>
  <c r="B7029" i="106"/>
  <c r="D7029" i="106" s="1"/>
  <c r="B863" i="106"/>
  <c r="D863" i="106" s="1"/>
  <c r="B4948" i="106"/>
  <c r="D4948" i="106" s="1"/>
  <c r="B6137" i="106"/>
  <c r="D6137" i="106" s="1"/>
  <c r="B6882" i="106"/>
  <c r="D6882" i="106" s="1"/>
  <c r="K23" i="29"/>
  <c r="B7110" i="106"/>
  <c r="D7110" i="106" s="1"/>
  <c r="K308" i="29"/>
  <c r="B4100" i="106" s="1"/>
  <c r="D4100" i="106" s="1"/>
  <c r="B5921" i="106"/>
  <c r="D5921" i="106" s="1"/>
  <c r="B4190" i="106"/>
  <c r="D4190" i="106" s="1"/>
  <c r="B864" i="106"/>
  <c r="D864" i="106" s="1"/>
  <c r="B1012" i="106"/>
  <c r="D1012" i="106" s="1"/>
  <c r="B5115" i="106"/>
  <c r="D5115" i="106" s="1"/>
  <c r="F102" i="34"/>
  <c r="B4814" i="106"/>
  <c r="D4814" i="106" s="1"/>
  <c r="K126" i="29"/>
  <c r="B1277" i="106" s="1"/>
  <c r="D1277" i="106" s="1"/>
  <c r="B1254" i="106"/>
  <c r="D1254" i="106" s="1"/>
  <c r="D175" i="5"/>
  <c r="B5423" i="106" s="1"/>
  <c r="D5423" i="106" s="1"/>
  <c r="B5422" i="106"/>
  <c r="D5422" i="106" s="1"/>
  <c r="B6854" i="106"/>
  <c r="D6854" i="106" s="1"/>
  <c r="B6710" i="106"/>
  <c r="D6710" i="106" s="1"/>
  <c r="B5755" i="106"/>
  <c r="D5755" i="106" s="1"/>
  <c r="B1016" i="106"/>
  <c r="D1016" i="106" s="1"/>
  <c r="B6369" i="106"/>
  <c r="D6369" i="106" s="1"/>
  <c r="D67" i="5"/>
  <c r="B5342" i="106" s="1"/>
  <c r="D5342" i="106" s="1"/>
  <c r="B5340" i="106"/>
  <c r="D5340" i="106" s="1"/>
  <c r="D42" i="29"/>
  <c r="B785" i="106" s="1"/>
  <c r="D785" i="106" s="1"/>
  <c r="B779" i="106"/>
  <c r="D779" i="106" s="1"/>
  <c r="B7636" i="106"/>
  <c r="F118" i="34"/>
  <c r="B6388" i="106"/>
  <c r="D6388" i="106" s="1"/>
  <c r="B3581" i="106"/>
  <c r="D3581" i="106" s="1"/>
  <c r="B6156" i="106"/>
  <c r="D6156" i="106" s="1"/>
  <c r="B886" i="106"/>
  <c r="D886" i="106" s="1"/>
  <c r="I12" i="5"/>
  <c r="B5916" i="106"/>
  <c r="D5916" i="106" s="1"/>
  <c r="B10" i="7"/>
  <c r="K90" i="29"/>
  <c r="B6992" i="106" s="1"/>
  <c r="D6992" i="106" s="1"/>
  <c r="B6991" i="106"/>
  <c r="D6991" i="106" s="1"/>
  <c r="B7259" i="106"/>
  <c r="D7259" i="106" s="1"/>
  <c r="B6829" i="106"/>
  <c r="D6829" i="106" s="1"/>
  <c r="B5335" i="106"/>
  <c r="D5335" i="106" s="1"/>
  <c r="D18" i="5"/>
  <c r="B5339" i="106" s="1"/>
  <c r="D5339" i="106" s="1"/>
  <c r="B6329" i="106"/>
  <c r="D6329" i="106" s="1"/>
  <c r="E350" i="29"/>
  <c r="B3631" i="106"/>
  <c r="D3631" i="106" s="1"/>
  <c r="B7703" i="106"/>
  <c r="D7703" i="106" s="1"/>
  <c r="K205" i="29"/>
  <c r="B7068" i="106" s="1"/>
  <c r="D7068" i="106" s="1"/>
  <c r="B7067" i="106"/>
  <c r="D7067" i="106" s="1"/>
  <c r="K50" i="29"/>
  <c r="B733" i="106"/>
  <c r="D733" i="106" s="1"/>
  <c r="B6864" i="106"/>
  <c r="D6864" i="106" s="1"/>
  <c r="B5659" i="106"/>
  <c r="D5659" i="106" s="1"/>
  <c r="F188" i="5"/>
  <c r="K82" i="29"/>
  <c r="B2977" i="106" s="1"/>
  <c r="D2977" i="106" s="1"/>
  <c r="B2953" i="106"/>
  <c r="D2953" i="106" s="1"/>
  <c r="B5330" i="106"/>
  <c r="D5330" i="106" s="1"/>
  <c r="B6355" i="106"/>
  <c r="D6355" i="106" s="1"/>
  <c r="H127" i="29"/>
  <c r="B1260" i="106"/>
  <c r="D1260" i="106" s="1"/>
  <c r="B6765" i="106"/>
  <c r="D6765" i="106" s="1"/>
  <c r="B6714" i="106"/>
  <c r="D6714" i="106" s="1"/>
  <c r="B1316" i="106"/>
  <c r="D1316" i="106" s="1"/>
  <c r="B6683" i="106"/>
  <c r="D6683" i="106" s="1"/>
  <c r="B2997" i="106"/>
  <c r="D2997" i="106" s="1"/>
  <c r="B5619" i="106"/>
  <c r="D5619" i="106" s="1"/>
  <c r="B6824" i="106"/>
  <c r="D6824" i="106" s="1"/>
  <c r="B5092" i="106"/>
  <c r="D5092" i="106" s="1"/>
  <c r="B6082" i="106"/>
  <c r="D6082" i="106" s="1"/>
  <c r="B6155" i="106"/>
  <c r="D6155" i="106" s="1"/>
  <c r="B6177" i="106"/>
  <c r="D6177" i="106" s="1"/>
  <c r="B6954" i="106"/>
  <c r="D6954" i="106" s="1"/>
  <c r="B6354" i="106"/>
  <c r="D6354" i="106" s="1"/>
  <c r="B5086" i="106"/>
  <c r="D5086" i="106" s="1"/>
  <c r="B6709" i="106"/>
  <c r="D6709" i="106" s="1"/>
  <c r="B7267" i="106"/>
  <c r="B5139" i="106"/>
  <c r="D5139" i="106" s="1"/>
  <c r="B1237" i="106"/>
  <c r="D1237" i="106" s="1"/>
  <c r="B6179" i="106"/>
  <c r="D6179" i="106" s="1"/>
  <c r="B790" i="106"/>
  <c r="D790" i="106" s="1"/>
  <c r="D53" i="29"/>
  <c r="B792" i="106" s="1"/>
  <c r="D792" i="106" s="1"/>
  <c r="B1025" i="106"/>
  <c r="D1025" i="106" s="1"/>
  <c r="H57" i="29"/>
  <c r="B1027" i="106" s="1"/>
  <c r="D1027" i="106" s="1"/>
  <c r="B4419" i="106"/>
  <c r="D4419" i="106" s="1"/>
  <c r="B4228" i="106"/>
  <c r="D4228" i="106" s="1"/>
  <c r="B7653" i="106"/>
  <c r="D7653" i="106" s="1"/>
  <c r="B5345" i="106"/>
  <c r="D5345" i="106" s="1"/>
  <c r="F21" i="34"/>
  <c r="B5569" i="106"/>
  <c r="D5569" i="106" s="1"/>
  <c r="B7700" i="106"/>
  <c r="D7700" i="106" s="1"/>
  <c r="B5167" i="106"/>
  <c r="D5167" i="106" s="1"/>
  <c r="F108" i="34"/>
  <c r="K218" i="29"/>
  <c r="B7075" i="106"/>
  <c r="D7075" i="106" s="1"/>
  <c r="B4878" i="106"/>
  <c r="D4878" i="106" s="1"/>
  <c r="B5779" i="106"/>
  <c r="D5779" i="106" s="1"/>
  <c r="G175" i="5"/>
  <c r="B5780" i="106" s="1"/>
  <c r="D5780" i="106" s="1"/>
  <c r="B1019" i="106"/>
  <c r="D1019" i="106" s="1"/>
  <c r="B5153" i="106"/>
  <c r="D5153" i="106" s="1"/>
  <c r="B6665" i="106"/>
  <c r="D6665" i="106" s="1"/>
  <c r="B7137" i="106"/>
  <c r="D7137" i="106" s="1"/>
  <c r="F159" i="34"/>
  <c r="B7765" i="106"/>
  <c r="D7765" i="106" s="1"/>
  <c r="D34" i="36"/>
  <c r="H24" i="118"/>
  <c r="C13" i="3"/>
  <c r="B77" i="106" s="1"/>
  <c r="D77" i="106" s="1"/>
  <c r="B3411" i="106"/>
  <c r="D3411" i="106" s="1"/>
  <c r="B6001" i="106"/>
  <c r="D6001" i="106" s="1"/>
  <c r="B6361" i="106"/>
  <c r="D6361" i="106" s="1"/>
  <c r="B6406" i="106"/>
  <c r="D6406" i="106" s="1"/>
  <c r="B6311" i="106"/>
  <c r="D6311" i="106" s="1"/>
  <c r="B6637" i="106"/>
  <c r="D6637" i="106" s="1"/>
  <c r="F25" i="34"/>
  <c r="B5576" i="106"/>
  <c r="D5576" i="106" s="1"/>
  <c r="B6104" i="106"/>
  <c r="D6104" i="106" s="1"/>
  <c r="B134" i="106"/>
  <c r="D134" i="106" s="1"/>
  <c r="E330" i="29"/>
  <c r="B7120" i="106"/>
  <c r="D7120" i="106" s="1"/>
  <c r="K189" i="29"/>
  <c r="B3008" i="106" s="1"/>
  <c r="D3008" i="106" s="1"/>
  <c r="B2990" i="106"/>
  <c r="D2990" i="106" s="1"/>
  <c r="B6935" i="106"/>
  <c r="D6935" i="106" s="1"/>
  <c r="B6694" i="106"/>
  <c r="D6694" i="106" s="1"/>
  <c r="K326" i="29"/>
  <c r="B7189" i="106" s="1"/>
  <c r="D7189" i="106" s="1"/>
  <c r="B7181" i="106"/>
  <c r="D7181" i="106" s="1"/>
  <c r="B7658" i="106"/>
  <c r="D7658" i="106" s="1"/>
  <c r="B1023" i="106"/>
  <c r="D1023" i="106" s="1"/>
  <c r="B3055" i="106"/>
  <c r="D3055" i="106" s="1"/>
  <c r="K10" i="29"/>
  <c r="B3062" i="106" s="1"/>
  <c r="D3062" i="106" s="1"/>
  <c r="B6343" i="106"/>
  <c r="D6343" i="106" s="1"/>
  <c r="B6779" i="106"/>
  <c r="D6779" i="106" s="1"/>
  <c r="C18" i="5"/>
  <c r="B5071" i="106" s="1"/>
  <c r="D5071" i="106" s="1"/>
  <c r="B5067" i="106"/>
  <c r="D5067" i="106" s="1"/>
  <c r="B6129" i="106"/>
  <c r="D6129" i="106" s="1"/>
  <c r="G34" i="3"/>
  <c r="B188" i="106" s="1"/>
  <c r="D188" i="106" s="1"/>
  <c r="B202" i="106"/>
  <c r="D202" i="106" s="1"/>
  <c r="B7257" i="106"/>
  <c r="D7257" i="106" s="1"/>
  <c r="K11" i="29"/>
  <c r="B3228" i="106"/>
  <c r="D3228" i="106" s="1"/>
  <c r="B6317" i="106"/>
  <c r="D6317" i="106" s="1"/>
  <c r="B920" i="106"/>
  <c r="D920" i="106" s="1"/>
  <c r="F72" i="29"/>
  <c r="B927" i="106" s="1"/>
  <c r="D927" i="106" s="1"/>
  <c r="B6303" i="106"/>
  <c r="D6303" i="106" s="1"/>
  <c r="B5022" i="106"/>
  <c r="D5022" i="106" s="1"/>
  <c r="C76" i="4"/>
  <c r="B3231" i="106" s="1"/>
  <c r="D3231" i="106" s="1"/>
  <c r="B5274" i="106"/>
  <c r="D5274" i="106" s="1"/>
  <c r="C217" i="5"/>
  <c r="B5286" i="106" s="1"/>
  <c r="D5286" i="106" s="1"/>
  <c r="B5114" i="106"/>
  <c r="D5114" i="106" s="1"/>
  <c r="B6692" i="106"/>
  <c r="D6692" i="106" s="1"/>
  <c r="B4192" i="106"/>
  <c r="D4192" i="106" s="1"/>
  <c r="B6850" i="106"/>
  <c r="D6850" i="106" s="1"/>
  <c r="B1673" i="106"/>
  <c r="D1673" i="106" s="1"/>
  <c r="B6148" i="106"/>
  <c r="D6148" i="106" s="1"/>
  <c r="B4771" i="106"/>
  <c r="D4771" i="106" s="1"/>
  <c r="B7156" i="106"/>
  <c r="D7156" i="106" s="1"/>
  <c r="B6638" i="106"/>
  <c r="D6638" i="106" s="1"/>
  <c r="B2840" i="106"/>
  <c r="D2840" i="106" s="1"/>
  <c r="B6167" i="106"/>
  <c r="D6167" i="106" s="1"/>
  <c r="K175" i="5"/>
  <c r="B4951" i="106" s="1"/>
  <c r="D4951" i="106" s="1"/>
  <c r="B4368" i="106"/>
  <c r="D4368" i="106" s="1"/>
  <c r="B7745" i="106"/>
  <c r="D7745" i="106" s="1"/>
  <c r="K364" i="29"/>
  <c r="B7746" i="106" s="1"/>
  <c r="D7746" i="106" s="1"/>
  <c r="B2829" i="106"/>
  <c r="D2829" i="106" s="1"/>
  <c r="B618" i="106"/>
  <c r="D618" i="106" s="1"/>
  <c r="B7811" i="106"/>
  <c r="D7811" i="106" s="1"/>
  <c r="B3583" i="106"/>
  <c r="B1313" i="106"/>
  <c r="D1313" i="106" s="1"/>
  <c r="K167" i="29"/>
  <c r="B1327" i="106" s="1"/>
  <c r="D1327" i="106" s="1"/>
  <c r="B6321" i="106"/>
  <c r="D6321" i="106" s="1"/>
  <c r="B501" i="106"/>
  <c r="D501" i="106" s="1"/>
  <c r="B726" i="106"/>
  <c r="D726" i="106" s="1"/>
  <c r="K41" i="29"/>
  <c r="B1114" i="106" s="1"/>
  <c r="D1114" i="106" s="1"/>
  <c r="E137" i="29"/>
  <c r="E139" i="29" s="1"/>
  <c r="B4203" i="106" s="1"/>
  <c r="D4203" i="106" s="1"/>
  <c r="K133" i="29"/>
  <c r="B7774" i="106"/>
  <c r="D7774" i="106" s="1"/>
  <c r="G155" i="5"/>
  <c r="B4357" i="106" s="1"/>
  <c r="D4357" i="106" s="1"/>
  <c r="B6380" i="106"/>
  <c r="D6380" i="106" s="1"/>
  <c r="K199" i="29"/>
  <c r="B1383" i="106" s="1"/>
  <c r="D1383" i="106" s="1"/>
  <c r="B1371" i="106"/>
  <c r="D1371" i="106" s="1"/>
  <c r="H204" i="29"/>
  <c r="B6136" i="106"/>
  <c r="D6136" i="106" s="1"/>
  <c r="B6931" i="106"/>
  <c r="D6931" i="106" s="1"/>
  <c r="B2760" i="106"/>
  <c r="D2760" i="106" s="1"/>
  <c r="B6164" i="106"/>
  <c r="D6164" i="106" s="1"/>
  <c r="B2812" i="106"/>
  <c r="D2812" i="106" s="1"/>
  <c r="K165" i="29"/>
  <c r="B2818" i="106" s="1"/>
  <c r="D2818" i="106" s="1"/>
  <c r="B6702" i="106"/>
  <c r="D6702" i="106" s="1"/>
  <c r="B2802" i="106"/>
  <c r="D2802" i="106" s="1"/>
  <c r="K37" i="29"/>
  <c r="B1110" i="106" s="1"/>
  <c r="D1110" i="106" s="1"/>
  <c r="B722" i="106"/>
  <c r="D722" i="106" s="1"/>
  <c r="B6310" i="106"/>
  <c r="D6310" i="106" s="1"/>
  <c r="K228" i="29"/>
  <c r="B3392" i="106" s="1"/>
  <c r="D3392" i="106" s="1"/>
  <c r="B3389" i="106"/>
  <c r="D3389" i="106" s="1"/>
  <c r="B6132" i="106"/>
  <c r="D6132" i="106" s="1"/>
  <c r="K34" i="3"/>
  <c r="B3565" i="106" s="1"/>
  <c r="D3565" i="106" s="1"/>
  <c r="B4369" i="106"/>
  <c r="D4369" i="106" s="1"/>
  <c r="D35" i="36"/>
  <c r="B3414" i="106"/>
  <c r="D3414" i="106" s="1"/>
  <c r="D13" i="3"/>
  <c r="B109" i="106" s="1"/>
  <c r="D109" i="106" s="1"/>
  <c r="B7638" i="106"/>
  <c r="B7687" i="106"/>
  <c r="D7687" i="106" s="1"/>
  <c r="B5374" i="106"/>
  <c r="D5374" i="106" s="1"/>
  <c r="D181" i="5"/>
  <c r="B5425" i="106" s="1"/>
  <c r="D5425" i="106" s="1"/>
  <c r="B5424" i="106"/>
  <c r="D5424" i="106" s="1"/>
  <c r="B4355" i="106"/>
  <c r="D4355" i="106" s="1"/>
  <c r="B5375" i="106"/>
  <c r="D5375" i="106" s="1"/>
  <c r="B1659" i="106"/>
  <c r="D1659" i="106" s="1"/>
  <c r="B6680" i="106"/>
  <c r="D6680" i="106" s="1"/>
  <c r="B6185" i="106"/>
  <c r="D6185" i="106" s="1"/>
  <c r="B6919" i="106"/>
  <c r="D6919" i="106" s="1"/>
  <c r="J47" i="29"/>
  <c r="B6925" i="106" s="1"/>
  <c r="D6925" i="106" s="1"/>
  <c r="B6291" i="106"/>
  <c r="D6291" i="106" s="1"/>
  <c r="B4868" i="106"/>
  <c r="D4868" i="106" s="1"/>
  <c r="B6652" i="106"/>
  <c r="D6652" i="106" s="1"/>
  <c r="B6906" i="106"/>
  <c r="D6906" i="106" s="1"/>
  <c r="B5098" i="106"/>
  <c r="D5098" i="106" s="1"/>
  <c r="B804" i="106"/>
  <c r="D804" i="106" s="1"/>
  <c r="D72" i="29"/>
  <c r="B811" i="106" s="1"/>
  <c r="D811" i="106" s="1"/>
  <c r="H42" i="29"/>
  <c r="B1011" i="106"/>
  <c r="D1011" i="106" s="1"/>
  <c r="B5187" i="106"/>
  <c r="D5187" i="106" s="1"/>
  <c r="F113" i="34"/>
  <c r="B5732" i="106"/>
  <c r="D5732" i="106" s="1"/>
  <c r="K158" i="29"/>
  <c r="B7780" i="106" s="1"/>
  <c r="D7780" i="106" s="1"/>
  <c r="B7779" i="106"/>
  <c r="D7779" i="106" s="1"/>
  <c r="B4864" i="106"/>
  <c r="D4864" i="106" s="1"/>
  <c r="B5078" i="106"/>
  <c r="D5078" i="106" s="1"/>
  <c r="B6955" i="106"/>
  <c r="D6955" i="106" s="1"/>
  <c r="B5148" i="106"/>
  <c r="D5148" i="106" s="1"/>
  <c r="C141" i="5"/>
  <c r="B7062" i="106"/>
  <c r="D7062" i="106" s="1"/>
  <c r="B4919" i="106"/>
  <c r="D4919" i="106" s="1"/>
  <c r="B1422" i="106"/>
  <c r="D1422" i="106" s="1"/>
  <c r="K245" i="29"/>
  <c r="D257" i="29"/>
  <c r="B1424" i="106" s="1"/>
  <c r="D1424" i="106" s="1"/>
  <c r="B5350" i="106"/>
  <c r="D5350" i="106" s="1"/>
  <c r="B961" i="106"/>
  <c r="D961" i="106" s="1"/>
  <c r="E76" i="4"/>
  <c r="B3276" i="106" s="1"/>
  <c r="D3276" i="106" s="1"/>
  <c r="B2817" i="106"/>
  <c r="D2817" i="106" s="1"/>
  <c r="B4191" i="106"/>
  <c r="D4191" i="106" s="1"/>
  <c r="B7812" i="106"/>
  <c r="D7812" i="106" s="1"/>
  <c r="B6753" i="106"/>
  <c r="D6753" i="106" s="1"/>
  <c r="F147" i="34"/>
  <c r="B6748" i="106"/>
  <c r="D6748" i="106" s="1"/>
  <c r="B7045" i="106"/>
  <c r="D7045" i="106" s="1"/>
  <c r="K252" i="5"/>
  <c r="B6621" i="106"/>
  <c r="D6621" i="106" s="1"/>
  <c r="H41" i="4"/>
  <c r="B6289" i="106" s="1"/>
  <c r="D6289" i="106" s="1"/>
  <c r="B6250" i="106"/>
  <c r="D6250" i="106" s="1"/>
  <c r="B7754" i="106"/>
  <c r="D7754" i="106" s="1"/>
  <c r="J44" i="4"/>
  <c r="B3562" i="106"/>
  <c r="D3562" i="106" s="1"/>
  <c r="B6252" i="106"/>
  <c r="D6252" i="106" s="1"/>
  <c r="B3655" i="106"/>
  <c r="D3655" i="106" s="1"/>
  <c r="B5496" i="106"/>
  <c r="D5496" i="106" s="1"/>
  <c r="B6809" i="106"/>
  <c r="D6809" i="106" s="1"/>
  <c r="F154" i="34"/>
  <c r="B130" i="106"/>
  <c r="D130" i="106" s="1"/>
  <c r="F90" i="34"/>
  <c r="B6314" i="106"/>
  <c r="D6314" i="106" s="1"/>
  <c r="B6735" i="106"/>
  <c r="D6735" i="106" s="1"/>
  <c r="I42" i="29"/>
  <c r="B6904" i="106"/>
  <c r="D6904" i="106" s="1"/>
  <c r="B6236" i="106"/>
  <c r="D6236" i="106" s="1"/>
  <c r="B1033" i="106"/>
  <c r="D1033" i="106" s="1"/>
  <c r="B5927" i="106"/>
  <c r="D5927" i="106" s="1"/>
  <c r="I108" i="5"/>
  <c r="B5930" i="106" s="1"/>
  <c r="D5930" i="106" s="1"/>
  <c r="B1015" i="106"/>
  <c r="D1015" i="106" s="1"/>
  <c r="B7248" i="106"/>
  <c r="D7248" i="106" s="1"/>
  <c r="K81" i="29"/>
  <c r="B2976" i="106" s="1"/>
  <c r="D2976" i="106" s="1"/>
  <c r="B2952" i="106"/>
  <c r="D2952" i="106" s="1"/>
  <c r="B3236" i="106"/>
  <c r="D3236" i="106" s="1"/>
  <c r="B841" i="106"/>
  <c r="D841" i="106" s="1"/>
  <c r="B6967" i="106"/>
  <c r="D6967" i="106" s="1"/>
  <c r="B6946" i="106"/>
  <c r="D6946" i="106" s="1"/>
  <c r="B6730" i="106"/>
  <c r="D6730" i="106" s="1"/>
  <c r="B3230" i="106"/>
  <c r="D3230" i="106" s="1"/>
  <c r="B3417" i="106"/>
  <c r="D3417" i="106" s="1"/>
  <c r="D36" i="36"/>
  <c r="E13" i="3"/>
  <c r="B131" i="106" s="1"/>
  <c r="D131" i="106" s="1"/>
  <c r="B619" i="106"/>
  <c r="D619" i="106" s="1"/>
  <c r="B7240" i="106"/>
  <c r="D7240" i="106" s="1"/>
  <c r="K363" i="29"/>
  <c r="B7241" i="106" s="1"/>
  <c r="D7241" i="106" s="1"/>
  <c r="B5393" i="106"/>
  <c r="D5393" i="106" s="1"/>
  <c r="C132" i="5"/>
  <c r="B5133" i="106"/>
  <c r="D5133" i="106" s="1"/>
  <c r="B7134" i="106"/>
  <c r="D7134" i="106" s="1"/>
  <c r="B6772" i="106"/>
  <c r="D6772" i="106" s="1"/>
  <c r="K26" i="29"/>
  <c r="B6888" i="106"/>
  <c r="D6888" i="106" s="1"/>
  <c r="B5553" i="106"/>
  <c r="D5553" i="106" s="1"/>
  <c r="B7" i="7"/>
  <c r="F12" i="5"/>
  <c r="B5557" i="106" s="1"/>
  <c r="D5557" i="106" s="1"/>
  <c r="B3561" i="106"/>
  <c r="D3561" i="106" s="1"/>
  <c r="F67" i="5"/>
  <c r="B5582" i="106" s="1"/>
  <c r="D5582" i="106" s="1"/>
  <c r="B5580" i="106"/>
  <c r="D5580" i="106" s="1"/>
  <c r="B5566" i="106"/>
  <c r="D5566" i="106" s="1"/>
  <c r="F86" i="34"/>
  <c r="B4366" i="106"/>
  <c r="D4366" i="106" s="1"/>
  <c r="I175" i="5"/>
  <c r="B7095" i="106"/>
  <c r="D7095" i="106" s="1"/>
  <c r="K255" i="29"/>
  <c r="B7096" i="106" s="1"/>
  <c r="D7096" i="106" s="1"/>
  <c r="B5108" i="106"/>
  <c r="D5108" i="106" s="1"/>
  <c r="B5075" i="106"/>
  <c r="D5075" i="106" s="1"/>
  <c r="F44" i="4"/>
  <c r="B7751" i="106"/>
  <c r="D7751" i="106" s="1"/>
  <c r="J127" i="29"/>
  <c r="B7025" i="106"/>
  <c r="D7025" i="106" s="1"/>
  <c r="B5081" i="106"/>
  <c r="D5081" i="106" s="1"/>
  <c r="B855" i="106"/>
  <c r="D855" i="106" s="1"/>
  <c r="B5581" i="106"/>
  <c r="D5581" i="106" s="1"/>
  <c r="B6635" i="106"/>
  <c r="D6635" i="106" s="1"/>
  <c r="G114" i="5"/>
  <c r="B5738" i="106"/>
  <c r="D5738" i="106" s="1"/>
  <c r="B6141" i="106"/>
  <c r="D6141" i="106" s="1"/>
  <c r="B5275" i="106"/>
  <c r="D5275" i="106" s="1"/>
  <c r="B5818" i="106"/>
  <c r="D5818" i="106" s="1"/>
  <c r="B6700" i="106"/>
  <c r="D6700" i="106" s="1"/>
  <c r="B6241" i="106"/>
  <c r="D6241" i="106" s="1"/>
  <c r="B6818" i="106"/>
  <c r="D6818" i="106" s="1"/>
  <c r="B6723" i="106"/>
  <c r="D6723" i="106" s="1"/>
  <c r="B6817" i="106"/>
  <c r="D6817" i="106" s="1"/>
  <c r="F155" i="34"/>
  <c r="B4802" i="106"/>
  <c r="D4802" i="106" s="1"/>
  <c r="B949" i="106"/>
  <c r="D949" i="106" s="1"/>
  <c r="B7193" i="106"/>
  <c r="D7193" i="106" s="1"/>
  <c r="B774" i="106"/>
  <c r="D774" i="106" s="1"/>
  <c r="E34" i="3"/>
  <c r="B139" i="106" s="1"/>
  <c r="D139" i="106" s="1"/>
  <c r="B6127" i="106"/>
  <c r="D6127" i="106" s="1"/>
  <c r="B5362" i="106"/>
  <c r="D5362" i="106" s="1"/>
  <c r="B6691" i="106"/>
  <c r="D6691" i="106" s="1"/>
  <c r="B845" i="106"/>
  <c r="D845" i="106" s="1"/>
  <c r="B6933" i="106"/>
  <c r="D6933" i="106" s="1"/>
  <c r="K216" i="29"/>
  <c r="B7073" i="106"/>
  <c r="D7073" i="106" s="1"/>
  <c r="B7671" i="106"/>
  <c r="D7671" i="106" s="1"/>
  <c r="B3483" i="106"/>
  <c r="D3483" i="106" s="1"/>
  <c r="B5337" i="106"/>
  <c r="D5337" i="106" s="1"/>
  <c r="B6749" i="106"/>
  <c r="D6749" i="106" s="1"/>
  <c r="K134" i="29"/>
  <c r="B2986" i="106" s="1"/>
  <c r="D2986" i="106" s="1"/>
  <c r="B4199" i="106"/>
  <c r="D4199" i="106" s="1"/>
  <c r="B5885" i="106"/>
  <c r="D5885" i="106" s="1"/>
  <c r="B7138" i="106"/>
  <c r="D7138" i="106" s="1"/>
  <c r="B6188" i="106"/>
  <c r="D6188" i="106" s="1"/>
  <c r="B780" i="106"/>
  <c r="D780" i="106" s="1"/>
  <c r="K91" i="29"/>
  <c r="B6994" i="106" s="1"/>
  <c r="D6994" i="106" s="1"/>
  <c r="B6993" i="106"/>
  <c r="D6993" i="106" s="1"/>
  <c r="B787" i="106"/>
  <c r="D787" i="106" s="1"/>
  <c r="B6764" i="106"/>
  <c r="D6764" i="106" s="1"/>
  <c r="B6972" i="106"/>
  <c r="D6972" i="106" s="1"/>
  <c r="B3370" i="106"/>
  <c r="D3370" i="106" s="1"/>
  <c r="B6165" i="106"/>
  <c r="D6165" i="106" s="1"/>
  <c r="B179" i="106"/>
  <c r="D179" i="106" s="1"/>
  <c r="F47" i="29"/>
  <c r="B905" i="106" s="1"/>
  <c r="D905" i="106" s="1"/>
  <c r="B902" i="106"/>
  <c r="D902" i="106" s="1"/>
  <c r="B7253" i="106"/>
  <c r="D7253" i="106" s="1"/>
  <c r="B2981" i="106"/>
  <c r="D2981" i="106" s="1"/>
  <c r="K63" i="29"/>
  <c r="B742" i="106"/>
  <c r="D742" i="106" s="1"/>
  <c r="B6325" i="106"/>
  <c r="D6325" i="106" s="1"/>
  <c r="B6112" i="106"/>
  <c r="D6112" i="106" s="1"/>
  <c r="B6394" i="106"/>
  <c r="D6394" i="106" s="1"/>
  <c r="B4316" i="106"/>
  <c r="D4316" i="106" s="1"/>
  <c r="B6687" i="106"/>
  <c r="D6687" i="106" s="1"/>
  <c r="B6827" i="106"/>
  <c r="D6827" i="106" s="1"/>
  <c r="B5255" i="106"/>
  <c r="D5255" i="106" s="1"/>
  <c r="B3487" i="106"/>
  <c r="D3487" i="106" s="1"/>
  <c r="B6187" i="106"/>
  <c r="D6187" i="106" s="1"/>
  <c r="H310" i="29"/>
  <c r="B7115" i="106" s="1"/>
  <c r="D7115" i="106" s="1"/>
  <c r="B7106" i="106"/>
  <c r="D7106" i="106" s="1"/>
  <c r="B1525" i="106"/>
  <c r="D1525" i="106" s="1"/>
  <c r="D303" i="29"/>
  <c r="B6169" i="106"/>
  <c r="D6169" i="106" s="1"/>
  <c r="B6790" i="106"/>
  <c r="D6790" i="106" s="1"/>
  <c r="B3419" i="106"/>
  <c r="D3419" i="106" s="1"/>
  <c r="D37" i="36"/>
  <c r="F13" i="3"/>
  <c r="B157" i="106" s="1"/>
  <c r="D157" i="106" s="1"/>
  <c r="B835" i="106"/>
  <c r="D835" i="106" s="1"/>
  <c r="B764" i="106"/>
  <c r="D764" i="106" s="1"/>
  <c r="B3484" i="106"/>
  <c r="D3484" i="106" s="1"/>
  <c r="B1369" i="106"/>
  <c r="D1369" i="106" s="1"/>
  <c r="B7127" i="106"/>
  <c r="D7127" i="106" s="1"/>
  <c r="K320" i="29"/>
  <c r="B7135" i="106" s="1"/>
  <c r="D7135" i="106" s="1"/>
  <c r="B6134" i="106"/>
  <c r="D6134" i="106" s="1"/>
  <c r="B4874" i="106"/>
  <c r="D4874" i="106" s="1"/>
  <c r="B7657" i="106"/>
  <c r="D7657" i="106" s="1"/>
  <c r="K259" i="29"/>
  <c r="D261" i="29"/>
  <c r="B1427" i="106" s="1"/>
  <c r="D1427" i="106" s="1"/>
  <c r="B1425" i="106"/>
  <c r="D1425" i="106" s="1"/>
  <c r="B7146" i="106"/>
  <c r="D7146" i="106" s="1"/>
  <c r="E169" i="5"/>
  <c r="B5537" i="106" s="1"/>
  <c r="D5537" i="106" s="1"/>
  <c r="B6368" i="106"/>
  <c r="D6368" i="106" s="1"/>
  <c r="F85" i="34"/>
  <c r="B5565" i="106"/>
  <c r="D5565" i="106" s="1"/>
  <c r="B1031" i="106"/>
  <c r="D1031" i="106" s="1"/>
  <c r="D122" i="5"/>
  <c r="B5367" i="106" s="1"/>
  <c r="D5367" i="106" s="1"/>
  <c r="B5361" i="106"/>
  <c r="D5361" i="106" s="1"/>
  <c r="B6738" i="106"/>
  <c r="D6738" i="106" s="1"/>
  <c r="B5370" i="106"/>
  <c r="D5370" i="106" s="1"/>
  <c r="D141" i="5"/>
  <c r="B5383" i="106" s="1"/>
  <c r="D5383" i="106" s="1"/>
  <c r="B782" i="106"/>
  <c r="D782" i="106" s="1"/>
  <c r="B1534" i="106"/>
  <c r="D1534" i="106" s="1"/>
  <c r="B6908" i="106"/>
  <c r="D6908" i="106" s="1"/>
  <c r="B6175" i="106"/>
  <c r="D6175" i="106" s="1"/>
  <c r="B6968" i="106"/>
  <c r="D6968" i="106" s="1"/>
  <c r="B6773" i="106"/>
  <c r="D6773" i="106" s="1"/>
  <c r="B6174" i="106"/>
  <c r="D6174" i="106" s="1"/>
  <c r="B6092" i="106"/>
  <c r="D6092" i="106" s="1"/>
  <c r="K44" i="29"/>
  <c r="B728" i="106"/>
  <c r="D728" i="106" s="1"/>
  <c r="C47" i="29"/>
  <c r="B731" i="106" s="1"/>
  <c r="D731" i="106" s="1"/>
  <c r="B6844" i="106"/>
  <c r="D6844" i="106" s="1"/>
  <c r="I33" i="29"/>
  <c r="B6902" i="106" s="1"/>
  <c r="D6902" i="106" s="1"/>
  <c r="E18" i="5"/>
  <c r="B5518" i="106" s="1"/>
  <c r="D5518" i="106" s="1"/>
  <c r="B5514" i="106"/>
  <c r="D5514" i="106" s="1"/>
  <c r="B6873" i="106"/>
  <c r="D6873" i="106" s="1"/>
  <c r="B3639" i="106"/>
  <c r="D3639" i="106" s="1"/>
  <c r="B3059" i="106"/>
  <c r="D3059" i="106" s="1"/>
  <c r="B6855" i="106"/>
  <c r="D6855" i="106" s="1"/>
  <c r="B4382" i="106"/>
  <c r="D4382" i="106" s="1"/>
  <c r="B7659" i="106"/>
  <c r="D7659" i="106" s="1"/>
  <c r="B7692" i="106"/>
  <c r="D7692" i="106" s="1"/>
  <c r="G204" i="5"/>
  <c r="B5803" i="106" s="1"/>
  <c r="D5803" i="106" s="1"/>
  <c r="B5790" i="106"/>
  <c r="D5790" i="106" s="1"/>
  <c r="B1221" i="106"/>
  <c r="D1221" i="106" s="1"/>
  <c r="K124" i="29"/>
  <c r="B1276" i="106" s="1"/>
  <c r="D1276" i="106" s="1"/>
  <c r="B5094" i="106"/>
  <c r="D5094" i="106" s="1"/>
  <c r="B6632" i="106"/>
  <c r="D6632" i="106" s="1"/>
  <c r="B3646" i="106"/>
  <c r="D3646" i="106" s="1"/>
  <c r="K181" i="5"/>
  <c r="B6016" i="106" s="1"/>
  <c r="D6016" i="106" s="1"/>
  <c r="B4816" i="106"/>
  <c r="D4816" i="106" s="1"/>
  <c r="B5988" i="106"/>
  <c r="D5988" i="106" s="1"/>
  <c r="K18" i="5"/>
  <c r="B5992" i="106" s="1"/>
  <c r="D5992" i="106" s="1"/>
  <c r="B1014" i="106"/>
  <c r="D1014" i="106" s="1"/>
  <c r="B1354" i="106"/>
  <c r="D1354" i="106" s="1"/>
  <c r="F184" i="29"/>
  <c r="B7775" i="106"/>
  <c r="D7775" i="106" s="1"/>
  <c r="H137" i="29"/>
  <c r="B6928" i="106"/>
  <c r="D6928" i="106" s="1"/>
  <c r="B7232" i="106"/>
  <c r="D7232" i="106" s="1"/>
  <c r="B4380" i="106"/>
  <c r="D4380" i="106" s="1"/>
  <c r="H350" i="29"/>
  <c r="B3652" i="106"/>
  <c r="D3652" i="106" s="1"/>
  <c r="B108" i="106"/>
  <c r="D108" i="106" s="1"/>
  <c r="B7693" i="106"/>
  <c r="D7693" i="106" s="1"/>
  <c r="B1416" i="106"/>
  <c r="D1416" i="106" s="1"/>
  <c r="K237" i="29"/>
  <c r="B1480" i="106" s="1"/>
  <c r="D1480" i="106" s="1"/>
  <c r="K217" i="29"/>
  <c r="B3391" i="106" s="1"/>
  <c r="D3391" i="106" s="1"/>
  <c r="B3388" i="106"/>
  <c r="D3388" i="106" s="1"/>
  <c r="K32" i="29"/>
  <c r="B6900" i="106"/>
  <c r="D6900" i="106" s="1"/>
  <c r="I47" i="4"/>
  <c r="C44" i="4"/>
  <c r="B7748" i="106"/>
  <c r="D7748" i="106" s="1"/>
  <c r="B7233" i="106"/>
  <c r="D7233" i="106" s="1"/>
  <c r="B1265" i="106"/>
  <c r="D1265" i="106" s="1"/>
  <c r="B6821" i="106"/>
  <c r="D6821" i="106" s="1"/>
  <c r="B4808" i="106"/>
  <c r="D4808" i="106" s="1"/>
  <c r="B6098" i="106"/>
  <c r="D6098" i="106" s="1"/>
  <c r="B2794" i="106"/>
  <c r="D2794" i="106" s="1"/>
  <c r="B6862" i="106"/>
  <c r="D6862" i="106" s="1"/>
  <c r="B2766" i="106"/>
  <c r="D2766" i="106" s="1"/>
  <c r="B6643" i="106"/>
  <c r="D6643" i="106" s="1"/>
  <c r="K51" i="29"/>
  <c r="B2718" i="106"/>
  <c r="D2718" i="106" s="1"/>
  <c r="B7668" i="106"/>
  <c r="D7668" i="106" s="1"/>
  <c r="B2949" i="106"/>
  <c r="D2949" i="106" s="1"/>
  <c r="K78" i="29"/>
  <c r="E84" i="29"/>
  <c r="K182" i="29"/>
  <c r="B1335" i="106"/>
  <c r="D1335" i="106" s="1"/>
  <c r="C184" i="29"/>
  <c r="B7246" i="106"/>
  <c r="D7246" i="106" s="1"/>
  <c r="B1009" i="106"/>
  <c r="D1009" i="106" s="1"/>
  <c r="B6645" i="106"/>
  <c r="D6645" i="106" s="1"/>
  <c r="B7664" i="106"/>
  <c r="D7664" i="106" s="1"/>
  <c r="G209" i="5"/>
  <c r="B4414" i="106" s="1"/>
  <c r="D4414" i="106" s="1"/>
  <c r="B5799" i="106"/>
  <c r="D5799" i="106" s="1"/>
  <c r="B6648" i="106"/>
  <c r="D6648" i="106" s="1"/>
  <c r="F330" i="29"/>
  <c r="B7121" i="106"/>
  <c r="D7121" i="106" s="1"/>
  <c r="B1032" i="106"/>
  <c r="D1032" i="106" s="1"/>
  <c r="B7197" i="106"/>
  <c r="D7197" i="106" s="1"/>
  <c r="B6918" i="106"/>
  <c r="D6918" i="106" s="1"/>
  <c r="I47" i="29"/>
  <c r="B6924" i="106" s="1"/>
  <c r="D6924" i="106" s="1"/>
  <c r="E184" i="29"/>
  <c r="B1351" i="106" s="1"/>
  <c r="D1351" i="106" s="1"/>
  <c r="B1347" i="106"/>
  <c r="D1347" i="106" s="1"/>
  <c r="B5726" i="106"/>
  <c r="D5726" i="106" s="1"/>
  <c r="G18" i="5"/>
  <c r="B5730" i="106" s="1"/>
  <c r="D5730" i="106" s="1"/>
  <c r="B4797" i="106"/>
  <c r="D4797" i="106" s="1"/>
  <c r="B6718" i="106"/>
  <c r="D6718" i="106" s="1"/>
  <c r="B5887" i="106"/>
  <c r="D5887" i="106" s="1"/>
  <c r="H122" i="5"/>
  <c r="K282" i="29"/>
  <c r="D285" i="29"/>
  <c r="B3722" i="106" s="1"/>
  <c r="D3722" i="106" s="1"/>
  <c r="B7783" i="106"/>
  <c r="D7783" i="106" s="1"/>
  <c r="B6923" i="106"/>
  <c r="D6923" i="106" s="1"/>
  <c r="B5724" i="106"/>
  <c r="D5724" i="106" s="1"/>
  <c r="B3056" i="106"/>
  <c r="D3056" i="106" s="1"/>
  <c r="B5080" i="106"/>
  <c r="D5080" i="106" s="1"/>
  <c r="K250" i="29"/>
  <c r="B7086" i="106" s="1"/>
  <c r="D7086" i="106" s="1"/>
  <c r="B7085" i="106"/>
  <c r="D7085" i="106" s="1"/>
  <c r="B7684" i="106"/>
  <c r="D7684" i="106" s="1"/>
  <c r="B6138" i="106"/>
  <c r="D6138" i="106" s="1"/>
  <c r="B6395" i="106"/>
  <c r="D6395" i="106" s="1"/>
  <c r="B6733" i="106"/>
  <c r="D6733" i="106" s="1"/>
  <c r="B7810" i="106"/>
  <c r="D7810" i="106" s="1"/>
  <c r="B6630" i="106"/>
  <c r="D6630" i="106" s="1"/>
  <c r="K322" i="29"/>
  <c r="B7153" i="106" s="1"/>
  <c r="D7153" i="106" s="1"/>
  <c r="B7145" i="106"/>
  <c r="D7145" i="106" s="1"/>
  <c r="B3057" i="106"/>
  <c r="D3057" i="106" s="1"/>
  <c r="B7258" i="106"/>
  <c r="D7258" i="106" s="1"/>
  <c r="B2762" i="106"/>
  <c r="D2762" i="106" s="1"/>
  <c r="B7191" i="106"/>
  <c r="D7191" i="106" s="1"/>
  <c r="B909" i="106"/>
  <c r="D909" i="106" s="1"/>
  <c r="F57" i="29"/>
  <c r="B911" i="106" s="1"/>
  <c r="D911" i="106" s="1"/>
  <c r="B7667" i="106"/>
  <c r="D7667" i="106" s="1"/>
  <c r="B6089" i="106"/>
  <c r="D6089" i="106" s="1"/>
  <c r="B7154" i="106"/>
  <c r="D7154" i="106" s="1"/>
  <c r="K323" i="29"/>
  <c r="B7162" i="106" s="1"/>
  <c r="D7162" i="106" s="1"/>
  <c r="B6762" i="106"/>
  <c r="D6762" i="106" s="1"/>
  <c r="B1408" i="106"/>
  <c r="D1408" i="106" s="1"/>
  <c r="K223" i="29"/>
  <c r="B1472" i="106" s="1"/>
  <c r="D1472" i="106" s="1"/>
  <c r="K276" i="29"/>
  <c r="B1506" i="106" s="1"/>
  <c r="D1506" i="106" s="1"/>
  <c r="B1442" i="106"/>
  <c r="D1442" i="106" s="1"/>
  <c r="B3627" i="106"/>
  <c r="D3627" i="106" s="1"/>
  <c r="B1363" i="106"/>
  <c r="D1363" i="106" s="1"/>
  <c r="K325" i="29"/>
  <c r="B7180" i="106" s="1"/>
  <c r="D7180" i="106" s="1"/>
  <c r="B7172" i="106"/>
  <c r="D7172" i="106" s="1"/>
  <c r="B6805" i="106"/>
  <c r="D6805" i="106" s="1"/>
  <c r="B3273" i="106"/>
  <c r="D3273" i="106" s="1"/>
  <c r="B7673" i="106"/>
  <c r="D7673" i="106" s="1"/>
  <c r="B5511" i="106"/>
  <c r="D5511" i="106" s="1"/>
  <c r="B5556" i="106"/>
  <c r="D5556" i="106" s="1"/>
  <c r="F252" i="5"/>
  <c r="B6836" i="106" s="1"/>
  <c r="D6836" i="106" s="1"/>
  <c r="B6617" i="106"/>
  <c r="D6617" i="106" s="1"/>
  <c r="B7249" i="106"/>
  <c r="D7249" i="106" s="1"/>
  <c r="F134" i="34"/>
  <c r="B6626" i="106"/>
  <c r="D6626" i="106" s="1"/>
  <c r="D127" i="29"/>
  <c r="B1227" i="106"/>
  <c r="D1227" i="106" s="1"/>
  <c r="B1219" i="106"/>
  <c r="D1219" i="106" s="1"/>
  <c r="K122" i="29"/>
  <c r="C127" i="29"/>
  <c r="B6951" i="106"/>
  <c r="D6951" i="106" s="1"/>
  <c r="J65" i="29"/>
  <c r="B6962" i="106" s="1"/>
  <c r="D6962" i="106" s="1"/>
  <c r="B6616" i="106"/>
  <c r="D6616" i="106" s="1"/>
  <c r="E252" i="5"/>
  <c r="D44" i="4"/>
  <c r="B7749" i="106"/>
  <c r="D7749" i="106" s="1"/>
  <c r="B6105" i="106"/>
  <c r="D6105" i="106" s="1"/>
  <c r="B7660" i="106"/>
  <c r="D7660" i="106" s="1"/>
  <c r="B5343" i="106"/>
  <c r="D5343" i="106" s="1"/>
  <c r="D82" i="5"/>
  <c r="B5348" i="106" s="1"/>
  <c r="D5348" i="106" s="1"/>
  <c r="B6792" i="106"/>
  <c r="D6792" i="106" s="1"/>
  <c r="B7177" i="106"/>
  <c r="D7177" i="106" s="1"/>
  <c r="B3533" i="106"/>
  <c r="D3533" i="106" s="1"/>
  <c r="B6921" i="106"/>
  <c r="D6921" i="106" s="1"/>
  <c r="B4344" i="106"/>
  <c r="D4344" i="106" s="1"/>
  <c r="B4885" i="106"/>
  <c r="D4885" i="106" s="1"/>
  <c r="B7188" i="106"/>
  <c r="D7188" i="106" s="1"/>
  <c r="K130" i="29"/>
  <c r="B2797" i="106"/>
  <c r="D2797" i="106" s="1"/>
  <c r="D34" i="3"/>
  <c r="B122" i="106" s="1"/>
  <c r="D122" i="106" s="1"/>
  <c r="B6126" i="106"/>
  <c r="D6126" i="106" s="1"/>
  <c r="B6711" i="106"/>
  <c r="D6711" i="106" s="1"/>
  <c r="B5520" i="106"/>
  <c r="D5520" i="106" s="1"/>
  <c r="B5357" i="106"/>
  <c r="D5357" i="106" s="1"/>
  <c r="D114" i="5"/>
  <c r="B6305" i="106"/>
  <c r="D6305" i="106" s="1"/>
  <c r="B986" i="106"/>
  <c r="D986" i="106" s="1"/>
  <c r="J175" i="5"/>
  <c r="B6400" i="106" s="1"/>
  <c r="D6400" i="106" s="1"/>
  <c r="B6398" i="106"/>
  <c r="D6398" i="106" s="1"/>
  <c r="B6911" i="106"/>
  <c r="D6911" i="106" s="1"/>
  <c r="F114" i="34"/>
  <c r="B5194" i="106"/>
  <c r="D5194" i="106" s="1"/>
  <c r="B5069" i="106"/>
  <c r="D5069" i="106" s="1"/>
  <c r="B6641" i="106"/>
  <c r="D6641" i="106" s="1"/>
  <c r="F30" i="34"/>
  <c r="B4313" i="106"/>
  <c r="D4313" i="106" s="1"/>
  <c r="B6" i="7"/>
  <c r="B5509" i="106"/>
  <c r="D5509" i="106" s="1"/>
  <c r="E12" i="5"/>
  <c r="B5876" i="106"/>
  <c r="D5876" i="106" s="1"/>
  <c r="B6338" i="106"/>
  <c r="D6338" i="106" s="1"/>
  <c r="B6627" i="106"/>
  <c r="D6627" i="106" s="1"/>
  <c r="B3369" i="106"/>
  <c r="D3369" i="106" s="1"/>
  <c r="B6761" i="106"/>
  <c r="D6761" i="106" s="1"/>
  <c r="F148" i="34"/>
  <c r="B3161" i="106"/>
  <c r="D3161" i="106" s="1"/>
  <c r="H51" i="4"/>
  <c r="B3170" i="106" s="1"/>
  <c r="D3170" i="106" s="1"/>
  <c r="B97" i="106"/>
  <c r="D97" i="106" s="1"/>
  <c r="B6686" i="106"/>
  <c r="D6686" i="106" s="1"/>
  <c r="B5084" i="106"/>
  <c r="D5084" i="106" s="1"/>
  <c r="B6965" i="106"/>
  <c r="D6965" i="106" s="1"/>
  <c r="B4330" i="106"/>
  <c r="D4330" i="106" s="1"/>
  <c r="B6673" i="106"/>
  <c r="D6673" i="106" s="1"/>
  <c r="B975" i="106"/>
  <c r="D975" i="106" s="1"/>
  <c r="B4315" i="106"/>
  <c r="D4315" i="106" s="1"/>
  <c r="B5097" i="106"/>
  <c r="D5097" i="106" s="1"/>
  <c r="C82" i="5"/>
  <c r="B5247" i="106"/>
  <c r="D5247" i="106" s="1"/>
  <c r="C204" i="5"/>
  <c r="B5462" i="106"/>
  <c r="D5462" i="106" s="1"/>
  <c r="B3582" i="106"/>
  <c r="D3582" i="106" s="1"/>
  <c r="B5990" i="106"/>
  <c r="D5990" i="106" s="1"/>
  <c r="B7691" i="106"/>
  <c r="D7691" i="106" s="1"/>
  <c r="K59" i="29"/>
  <c r="E15" i="145" s="1"/>
  <c r="C65" i="29"/>
  <c r="B745" i="106" s="1"/>
  <c r="D745" i="106" s="1"/>
  <c r="B738" i="106"/>
  <c r="D738" i="106" s="1"/>
  <c r="B6375" i="106"/>
  <c r="D6375" i="106" s="1"/>
  <c r="F53" i="29"/>
  <c r="B908" i="106" s="1"/>
  <c r="D908" i="106" s="1"/>
  <c r="B906" i="106"/>
  <c r="D906" i="106" s="1"/>
  <c r="B7158" i="106"/>
  <c r="D7158" i="106" s="1"/>
  <c r="B7690" i="106"/>
  <c r="D7690" i="106" s="1"/>
  <c r="B4340" i="106"/>
  <c r="D4340" i="106" s="1"/>
  <c r="F131" i="34"/>
  <c r="G13" i="3"/>
  <c r="B180" i="106" s="1"/>
  <c r="D180" i="106" s="1"/>
  <c r="B3422" i="106"/>
  <c r="D3422" i="106" s="1"/>
  <c r="D38" i="36"/>
  <c r="B6781" i="106"/>
  <c r="D6781" i="106" s="1"/>
  <c r="B5168" i="106"/>
  <c r="D5168" i="106" s="1"/>
  <c r="F110" i="34"/>
  <c r="B6784" i="106"/>
  <c r="D6784" i="106" s="1"/>
  <c r="B7686" i="106"/>
  <c r="D7686" i="106" s="1"/>
  <c r="F141" i="34"/>
  <c r="B6682" i="106"/>
  <c r="D6682" i="106" s="1"/>
  <c r="B807" i="106"/>
  <c r="D807" i="106" s="1"/>
  <c r="B5093" i="106"/>
  <c r="D5093" i="106" s="1"/>
  <c r="H168" i="29"/>
  <c r="B1310" i="106"/>
  <c r="D1310" i="106" s="1"/>
  <c r="K163" i="29"/>
  <c r="B5358" i="106"/>
  <c r="D5358" i="106" s="1"/>
  <c r="K31" i="29"/>
  <c r="B6898" i="106"/>
  <c r="D6898" i="106" s="1"/>
  <c r="B6660" i="106"/>
  <c r="D6660" i="106" s="1"/>
  <c r="B3372" i="106"/>
  <c r="D3372" i="106" s="1"/>
  <c r="B6111" i="106"/>
  <c r="D6111" i="106" s="1"/>
  <c r="B5672" i="106"/>
  <c r="D5672" i="106" s="1"/>
  <c r="B1022" i="106"/>
  <c r="D1022" i="106" s="1"/>
  <c r="H53" i="29"/>
  <c r="B1024" i="106" s="1"/>
  <c r="D1024" i="106" s="1"/>
  <c r="B6245" i="106"/>
  <c r="D6245" i="106" s="1"/>
  <c r="B6803" i="106"/>
  <c r="D6803" i="106" s="1"/>
  <c r="B7694" i="106"/>
  <c r="D7694" i="106" s="1"/>
  <c r="B6313" i="106"/>
  <c r="D6313" i="106" s="1"/>
  <c r="F22" i="34"/>
  <c r="B844" i="106"/>
  <c r="D844" i="106" s="1"/>
  <c r="E47" i="29"/>
  <c r="B847" i="106" s="1"/>
  <c r="D847" i="106" s="1"/>
  <c r="B5617" i="106"/>
  <c r="D5617" i="106" s="1"/>
  <c r="B7676" i="106"/>
  <c r="D7676" i="106" s="1"/>
  <c r="F140" i="34"/>
  <c r="B6674" i="106"/>
  <c r="D6674" i="106" s="1"/>
  <c r="B5346" i="106"/>
  <c r="D5346" i="106" s="1"/>
  <c r="B4227" i="106"/>
  <c r="D4227" i="106" s="1"/>
  <c r="B4318" i="106"/>
  <c r="D4318" i="106" s="1"/>
  <c r="B7194" i="106"/>
  <c r="D7194" i="106" s="1"/>
  <c r="B4918" i="106"/>
  <c r="D4918" i="106" s="1"/>
  <c r="B4327" i="106"/>
  <c r="D4327" i="106" s="1"/>
  <c r="B6299" i="106"/>
  <c r="D6299" i="106" s="1"/>
  <c r="B6347" i="106"/>
  <c r="D6347" i="106" s="1"/>
  <c r="B6743" i="106"/>
  <c r="D6743" i="106" s="1"/>
  <c r="B3699" i="106"/>
  <c r="D3699" i="106" s="1"/>
  <c r="K53" i="4"/>
  <c r="B3703" i="106" s="1"/>
  <c r="D3703" i="106" s="1"/>
  <c r="B4916" i="106"/>
  <c r="D4916" i="106" s="1"/>
  <c r="B7147" i="106"/>
  <c r="D7147" i="106" s="1"/>
  <c r="K192" i="29"/>
  <c r="B3011" i="106" s="1"/>
  <c r="D3011" i="106" s="1"/>
  <c r="B2993" i="106"/>
  <c r="D2993" i="106" s="1"/>
  <c r="B6678" i="106"/>
  <c r="D6678" i="106" s="1"/>
  <c r="B5884" i="106"/>
  <c r="D5884" i="106" s="1"/>
  <c r="B5242" i="106"/>
  <c r="D5242" i="106" s="1"/>
  <c r="B6081" i="106"/>
  <c r="D6081" i="106" s="1"/>
  <c r="B6186" i="106"/>
  <c r="D6186" i="106" s="1"/>
  <c r="B6705" i="106"/>
  <c r="D6705" i="106" s="1"/>
  <c r="K157" i="29"/>
  <c r="B7778" i="106" s="1"/>
  <c r="D7778" i="106" s="1"/>
  <c r="H160" i="29"/>
  <c r="B7777" i="106"/>
  <c r="D7777" i="106" s="1"/>
  <c r="B4376" i="106"/>
  <c r="D4376" i="106" s="1"/>
  <c r="B890" i="106"/>
  <c r="D890" i="106" s="1"/>
  <c r="B3721" i="106"/>
  <c r="D3721" i="106" s="1"/>
  <c r="K283" i="29"/>
  <c r="B3723" i="106" s="1"/>
  <c r="D3723" i="106" s="1"/>
  <c r="B6088" i="106"/>
  <c r="D6088" i="106" s="1"/>
  <c r="B5994" i="106"/>
  <c r="D5994" i="106" s="1"/>
  <c r="B5563" i="106"/>
  <c r="D5563" i="106" s="1"/>
  <c r="F84" i="34"/>
  <c r="F63" i="5"/>
  <c r="B5579" i="106" s="1"/>
  <c r="D5579" i="106" s="1"/>
  <c r="B185" i="106"/>
  <c r="D185" i="106" s="1"/>
  <c r="B6909" i="106"/>
  <c r="D6909" i="106" s="1"/>
  <c r="B879" i="106"/>
  <c r="D879" i="106" s="1"/>
  <c r="F33" i="29"/>
  <c r="B894" i="106" s="1"/>
  <c r="D894" i="106" s="1"/>
  <c r="B1013" i="106"/>
  <c r="D1013" i="106" s="1"/>
  <c r="B6810" i="106"/>
  <c r="D6810" i="106" s="1"/>
  <c r="K24" i="29"/>
  <c r="B6884" i="106"/>
  <c r="D6884" i="106" s="1"/>
  <c r="B6831" i="106"/>
  <c r="D6831" i="106" s="1"/>
  <c r="B5754" i="106"/>
  <c r="D5754" i="106" s="1"/>
  <c r="G145" i="5"/>
  <c r="B5756" i="106" s="1"/>
  <c r="D5756" i="106" s="1"/>
  <c r="G12" i="5"/>
  <c r="B5721" i="106"/>
  <c r="D5721" i="106" s="1"/>
  <c r="B8" i="7"/>
  <c r="B4889" i="106"/>
  <c r="D4889" i="106" s="1"/>
  <c r="B781" i="106"/>
  <c r="D781" i="106" s="1"/>
  <c r="H147" i="29"/>
  <c r="B1268" i="106"/>
  <c r="D1268" i="106" s="1"/>
  <c r="K142" i="29"/>
  <c r="B5280" i="106"/>
  <c r="D5280" i="106" s="1"/>
  <c r="F130" i="34"/>
  <c r="B5560" i="106"/>
  <c r="D5560" i="106" s="1"/>
  <c r="B6350" i="106"/>
  <c r="D6350" i="106" s="1"/>
  <c r="B6724" i="106"/>
  <c r="D6724" i="106" s="1"/>
  <c r="C34" i="3"/>
  <c r="B91" i="106" s="1"/>
  <c r="D91" i="106" s="1"/>
  <c r="B6125" i="106"/>
  <c r="D6125" i="106" s="1"/>
  <c r="B900" i="106"/>
  <c r="D900" i="106" s="1"/>
  <c r="B6379" i="106"/>
  <c r="D6379" i="106" s="1"/>
  <c r="B1030" i="106"/>
  <c r="D1030" i="106" s="1"/>
  <c r="B4165" i="106"/>
  <c r="D4165" i="106" s="1"/>
  <c r="K284" i="29"/>
  <c r="B4166" i="106" s="1"/>
  <c r="D4166" i="106" s="1"/>
  <c r="B1232" i="106"/>
  <c r="D1232" i="106" s="1"/>
  <c r="B6390" i="106"/>
  <c r="D6390" i="106" s="1"/>
  <c r="B4337" i="106"/>
  <c r="D4337" i="106" s="1"/>
  <c r="B7175" i="106"/>
  <c r="D7175" i="106" s="1"/>
  <c r="B6820" i="106"/>
  <c r="D6820" i="106" s="1"/>
  <c r="B5880" i="106"/>
  <c r="D5880" i="106" s="1"/>
  <c r="H67" i="5"/>
  <c r="B5881" i="106" s="1"/>
  <c r="D5881" i="106" s="1"/>
  <c r="B2772" i="106"/>
  <c r="D2772" i="106" s="1"/>
  <c r="I44" i="4"/>
  <c r="B3317" i="106" s="1"/>
  <c r="D3317" i="106" s="1"/>
  <c r="B5739" i="106"/>
  <c r="D5739" i="106" s="1"/>
  <c r="B7039" i="106"/>
  <c r="D7039" i="106" s="1"/>
  <c r="B7132" i="106"/>
  <c r="D7132" i="106" s="1"/>
  <c r="B6876" i="106"/>
  <c r="D6876" i="106" s="1"/>
  <c r="K20" i="29"/>
  <c r="B6771" i="106"/>
  <c r="D6771" i="106" s="1"/>
  <c r="B6663" i="106"/>
  <c r="D6663" i="106" s="1"/>
  <c r="K143" i="29"/>
  <c r="B1284" i="106" s="1"/>
  <c r="D1284" i="106" s="1"/>
  <c r="B1269" i="106"/>
  <c r="D1269" i="106" s="1"/>
  <c r="B5883" i="106"/>
  <c r="D5883" i="106" s="1"/>
  <c r="B6828" i="106"/>
  <c r="D6828" i="106" s="1"/>
  <c r="F163" i="34"/>
  <c r="B5317" i="106"/>
  <c r="D5317" i="106" s="1"/>
  <c r="B6747" i="106"/>
  <c r="D6747" i="106" s="1"/>
  <c r="B7755" i="106"/>
  <c r="D7755" i="106" s="1"/>
  <c r="K44" i="4"/>
  <c r="B3584" i="106" s="1"/>
  <c r="D3584" i="106" s="1"/>
  <c r="B3373" i="106"/>
  <c r="D3373" i="106" s="1"/>
  <c r="B1645" i="106"/>
  <c r="D1645" i="106" s="1"/>
  <c r="B7769" i="106"/>
  <c r="D7769" i="106" s="1"/>
  <c r="B6121" i="106"/>
  <c r="D6121" i="106" s="1"/>
  <c r="B6300" i="106"/>
  <c r="D6300" i="106" s="1"/>
  <c r="B7196" i="106"/>
  <c r="D7196" i="106" s="1"/>
  <c r="B5594" i="106"/>
  <c r="D5594" i="106" s="1"/>
  <c r="B5858" i="106"/>
  <c r="D5858" i="106" s="1"/>
  <c r="B797" i="106"/>
  <c r="D797" i="106" s="1"/>
  <c r="I72" i="29"/>
  <c r="B6973" i="106" s="1"/>
  <c r="D6973" i="106" s="1"/>
  <c r="B6963" i="106"/>
  <c r="D6963" i="106" s="1"/>
  <c r="B7264" i="106"/>
  <c r="B834" i="106"/>
  <c r="D834" i="106" s="1"/>
  <c r="K86" i="29"/>
  <c r="B6984" i="106" s="1"/>
  <c r="D6984" i="106" s="1"/>
  <c r="B6983" i="106"/>
  <c r="D6983" i="106" s="1"/>
  <c r="B126" i="106"/>
  <c r="D126" i="106" s="1"/>
  <c r="B1236" i="106"/>
  <c r="D1236" i="106" s="1"/>
  <c r="B7130" i="106"/>
  <c r="D7130" i="106" s="1"/>
  <c r="B3620" i="106"/>
  <c r="D3620" i="106" s="1"/>
  <c r="K351" i="29"/>
  <c r="B3671" i="106" s="1"/>
  <c r="D3671" i="106" s="1"/>
  <c r="B2831" i="106"/>
  <c r="D2831" i="106" s="1"/>
  <c r="K201" i="29"/>
  <c r="B2841" i="106" s="1"/>
  <c r="D2841" i="106" s="1"/>
  <c r="F204" i="5"/>
  <c r="B5677" i="106" s="1"/>
  <c r="D5677" i="106" s="1"/>
  <c r="B5664" i="106"/>
  <c r="D5664" i="106" s="1"/>
  <c r="B7256" i="106"/>
  <c r="D7256" i="106" s="1"/>
  <c r="B6679" i="106"/>
  <c r="D6679" i="106" s="1"/>
  <c r="B4360" i="106"/>
  <c r="D4360" i="106" s="1"/>
  <c r="F129" i="34"/>
  <c r="B5279" i="106"/>
  <c r="D5279" i="106" s="1"/>
  <c r="F103" i="34"/>
  <c r="B4761" i="106"/>
  <c r="D4761" i="106" s="1"/>
  <c r="B6151" i="106"/>
  <c r="D6151" i="106" s="1"/>
  <c r="B5583" i="106"/>
  <c r="D5583" i="106" s="1"/>
  <c r="F108" i="5"/>
  <c r="B5587" i="106" s="1"/>
  <c r="D5587" i="106" s="1"/>
  <c r="B6183" i="106"/>
  <c r="D6183" i="106" s="1"/>
  <c r="B6874" i="106"/>
  <c r="D6874" i="106" s="1"/>
  <c r="B1038" i="106"/>
  <c r="D1038" i="106" s="1"/>
  <c r="B5083" i="106"/>
  <c r="D5083" i="106" s="1"/>
  <c r="K360" i="29"/>
  <c r="B3657" i="106"/>
  <c r="D3657" i="106" s="1"/>
  <c r="H362" i="29"/>
  <c r="B5117" i="106"/>
  <c r="D5117" i="106" s="1"/>
  <c r="B6115" i="106"/>
  <c r="D6115" i="106" s="1"/>
  <c r="B2769" i="106"/>
  <c r="D2769" i="106" s="1"/>
  <c r="B4343" i="106"/>
  <c r="D4343" i="106" s="1"/>
  <c r="B6237" i="106"/>
  <c r="D6237" i="106" s="1"/>
  <c r="B6135" i="106"/>
  <c r="D6135" i="106" s="1"/>
  <c r="H18" i="5"/>
  <c r="B5878" i="106" s="1"/>
  <c r="D5878" i="106" s="1"/>
  <c r="B5874" i="106"/>
  <c r="D5874" i="106" s="1"/>
  <c r="B7026" i="106"/>
  <c r="D7026" i="106" s="1"/>
  <c r="B5627" i="106"/>
  <c r="D5627" i="106" s="1"/>
  <c r="B7706" i="106"/>
  <c r="D7706" i="106" s="1"/>
  <c r="B1252" i="106"/>
  <c r="D1252" i="106" s="1"/>
  <c r="B3371" i="106"/>
  <c r="D3371" i="106" s="1"/>
  <c r="B4877" i="106"/>
  <c r="D4877" i="106" s="1"/>
  <c r="K85" i="29"/>
  <c r="B6982" i="106" s="1"/>
  <c r="D6982" i="106" s="1"/>
  <c r="B6981" i="106"/>
  <c r="D6981" i="106" s="1"/>
  <c r="H92" i="29"/>
  <c r="B6872" i="106"/>
  <c r="D6872" i="106" s="1"/>
  <c r="B7663" i="106"/>
  <c r="D7663" i="106" s="1"/>
  <c r="F76" i="4"/>
  <c r="B3254" i="106" s="1"/>
  <c r="D3254" i="106" s="1"/>
  <c r="B5024" i="106"/>
  <c r="D5024" i="106" s="1"/>
  <c r="B5763" i="106"/>
  <c r="D5763" i="106" s="1"/>
  <c r="B5310" i="106"/>
  <c r="D5310" i="106" s="1"/>
  <c r="B6408" i="106"/>
  <c r="D6408" i="106" s="1"/>
  <c r="B6996" i="106"/>
  <c r="D6996" i="106" s="1"/>
  <c r="H100" i="29"/>
  <c r="B7012" i="106" s="1"/>
  <c r="D7012" i="106" s="1"/>
  <c r="K93" i="29"/>
  <c r="B7119" i="106"/>
  <c r="D7119" i="106" s="1"/>
  <c r="D330" i="29"/>
  <c r="B6704" i="106"/>
  <c r="D6704" i="106" s="1"/>
  <c r="B7109" i="106"/>
  <c r="D7109" i="106" s="1"/>
  <c r="B4314" i="106"/>
  <c r="D4314" i="106" s="1"/>
  <c r="B6677" i="106"/>
  <c r="D6677" i="106" s="1"/>
  <c r="K40" i="29"/>
  <c r="B1113" i="106" s="1"/>
  <c r="D1113" i="106" s="1"/>
  <c r="B725" i="106"/>
  <c r="D725" i="106" s="1"/>
  <c r="B6956" i="106"/>
  <c r="D6956" i="106" s="1"/>
  <c r="B5925" i="106"/>
  <c r="D5925" i="106" s="1"/>
  <c r="I67" i="5"/>
  <c r="B5926" i="106" s="1"/>
  <c r="D5926" i="106" s="1"/>
  <c r="B17" i="7"/>
  <c r="B5064" i="106"/>
  <c r="D5064" i="106" s="1"/>
  <c r="B2722" i="106"/>
  <c r="D2722" i="106" s="1"/>
  <c r="K111" i="29"/>
  <c r="B7017" i="106" s="1"/>
  <c r="D7017" i="106" s="1"/>
  <c r="B7016" i="106"/>
  <c r="D7016" i="106" s="1"/>
  <c r="B965" i="106"/>
  <c r="D965" i="106" s="1"/>
  <c r="B7031" i="106"/>
  <c r="D7031" i="106" s="1"/>
  <c r="B7168" i="106"/>
  <c r="D7168" i="106" s="1"/>
  <c r="B76" i="106"/>
  <c r="D76" i="106" s="1"/>
  <c r="F104" i="34"/>
  <c r="B5118" i="106"/>
  <c r="D5118" i="106" s="1"/>
  <c r="B6815" i="106"/>
  <c r="D6815" i="106" s="1"/>
  <c r="B5593" i="106"/>
  <c r="D5593" i="106" s="1"/>
  <c r="F122" i="5"/>
  <c r="B5599" i="106" s="1"/>
  <c r="D5599" i="106" s="1"/>
  <c r="B6826" i="106"/>
  <c r="D6826" i="106" s="1"/>
  <c r="B1357" i="106"/>
  <c r="D1357" i="106" s="1"/>
  <c r="B1519" i="106"/>
  <c r="D1519" i="106" s="1"/>
  <c r="K301" i="29"/>
  <c r="C303" i="29"/>
  <c r="B904" i="106"/>
  <c r="D904" i="106" s="1"/>
  <c r="B16" i="7"/>
  <c r="B5723" i="106"/>
  <c r="D5723" i="106" s="1"/>
  <c r="B6802" i="106"/>
  <c r="D6802" i="106" s="1"/>
  <c r="B981" i="106"/>
  <c r="D981" i="106" s="1"/>
  <c r="B6372" i="106"/>
  <c r="D6372" i="106" s="1"/>
  <c r="I169" i="5"/>
  <c r="K202" i="29"/>
  <c r="B2842" i="106" s="1"/>
  <c r="D2842" i="106" s="1"/>
  <c r="B2832" i="106"/>
  <c r="D2832" i="106" s="1"/>
  <c r="B7679" i="106"/>
  <c r="D7679" i="106" s="1"/>
  <c r="B4801" i="106"/>
  <c r="D4801" i="106" s="1"/>
  <c r="B7139" i="106"/>
  <c r="D7139" i="106" s="1"/>
  <c r="B6863" i="106"/>
  <c r="D6863" i="106" s="1"/>
  <c r="B1552" i="106"/>
  <c r="D1552" i="106" s="1"/>
  <c r="F65" i="29"/>
  <c r="B919" i="106" s="1"/>
  <c r="D919" i="106" s="1"/>
  <c r="B912" i="106"/>
  <c r="D912" i="106" s="1"/>
  <c r="B7160" i="106"/>
  <c r="D7160" i="106" s="1"/>
  <c r="F217" i="5"/>
  <c r="B5703" i="106" s="1"/>
  <c r="D5703" i="106" s="1"/>
  <c r="B5691" i="106"/>
  <c r="D5691" i="106" s="1"/>
  <c r="B6957" i="106"/>
  <c r="D6957" i="106" s="1"/>
  <c r="B7004" i="106"/>
  <c r="D7004" i="106" s="1"/>
  <c r="K97" i="29"/>
  <c r="B7005" i="106" s="1"/>
  <c r="D7005" i="106" s="1"/>
  <c r="B5085" i="106"/>
  <c r="D5085" i="106" s="1"/>
  <c r="B4416" i="106"/>
  <c r="D4416" i="106" s="1"/>
  <c r="B7000" i="106"/>
  <c r="D7000" i="106" s="1"/>
  <c r="K95" i="29"/>
  <c r="B7001" i="106" s="1"/>
  <c r="D7001" i="106" s="1"/>
  <c r="B6254" i="106"/>
  <c r="D6254" i="106" s="1"/>
  <c r="B4379" i="106"/>
  <c r="D4379" i="106" s="1"/>
  <c r="B921" i="106"/>
  <c r="D921" i="106" s="1"/>
  <c r="B6729" i="106"/>
  <c r="D6729" i="106" s="1"/>
  <c r="F145" i="34"/>
  <c r="B6247" i="106"/>
  <c r="D6247" i="106" s="1"/>
  <c r="K75" i="29"/>
  <c r="C14" i="4" s="1"/>
  <c r="B2558" i="106" s="1"/>
  <c r="D2558" i="106" s="1"/>
  <c r="B756" i="106"/>
  <c r="D756" i="106" s="1"/>
  <c r="B7059" i="106"/>
  <c r="D7059" i="106" s="1"/>
  <c r="I184" i="29"/>
  <c r="B2798" i="106"/>
  <c r="D2798" i="106" s="1"/>
  <c r="B5823" i="106"/>
  <c r="D5823" i="106" s="1"/>
  <c r="B7656" i="106"/>
  <c r="D7656" i="106" s="1"/>
  <c r="B5164" i="106"/>
  <c r="D5164" i="106" s="1"/>
  <c r="B923" i="106"/>
  <c r="D923" i="106" s="1"/>
  <c r="B859" i="106"/>
  <c r="D859" i="106" s="1"/>
  <c r="B5239" i="106"/>
  <c r="D5239" i="106" s="1"/>
  <c r="B173" i="106"/>
  <c r="D173" i="106" s="1"/>
  <c r="B6929" i="106"/>
  <c r="D6929" i="106" s="1"/>
  <c r="B4331" i="106"/>
  <c r="D4331" i="106" s="1"/>
  <c r="B3060" i="106"/>
  <c r="D3060" i="106" s="1"/>
  <c r="B6780" i="106"/>
  <c r="D6780" i="106" s="1"/>
  <c r="K275" i="29"/>
  <c r="B1504" i="106" s="1"/>
  <c r="D1504" i="106" s="1"/>
  <c r="B1440" i="106"/>
  <c r="D1440" i="106" s="1"/>
  <c r="B5736" i="106"/>
  <c r="D5736" i="106" s="1"/>
  <c r="B4409" i="106"/>
  <c r="D4409" i="106" s="1"/>
  <c r="B799" i="106"/>
  <c r="D799" i="106" s="1"/>
  <c r="F34" i="3"/>
  <c r="B169" i="106" s="1"/>
  <c r="D169" i="106" s="1"/>
  <c r="B6128" i="106"/>
  <c r="D6128" i="106" s="1"/>
  <c r="B1245" i="106"/>
  <c r="D1245" i="106" s="1"/>
  <c r="B7680" i="106"/>
  <c r="D7680" i="106" s="1"/>
  <c r="G53" i="29"/>
  <c r="B966" i="106" s="1"/>
  <c r="D966" i="106" s="1"/>
  <c r="B964" i="106"/>
  <c r="D964" i="106" s="1"/>
  <c r="B7167" i="106"/>
  <c r="D7167" i="106" s="1"/>
  <c r="K27" i="29"/>
  <c r="B6891" i="106" s="1"/>
  <c r="D6891" i="106" s="1"/>
  <c r="B6890" i="106"/>
  <c r="D6890" i="106" s="1"/>
  <c r="B4230" i="106"/>
  <c r="D4230" i="106" s="1"/>
  <c r="B7133" i="106"/>
  <c r="D7133" i="106" s="1"/>
  <c r="B6244" i="106"/>
  <c r="D6244" i="106" s="1"/>
  <c r="B7178" i="106"/>
  <c r="D7178" i="106" s="1"/>
  <c r="B3493" i="106"/>
  <c r="D3493" i="106" s="1"/>
  <c r="B6800" i="106"/>
  <c r="D6800" i="106" s="1"/>
  <c r="B1372" i="106"/>
  <c r="D1372" i="106" s="1"/>
  <c r="K200" i="29"/>
  <c r="B1384" i="106" s="1"/>
  <c r="D1384" i="106" s="1"/>
  <c r="B896" i="106"/>
  <c r="D896" i="106" s="1"/>
  <c r="B6937" i="106"/>
  <c r="D6937" i="106" s="1"/>
  <c r="I65" i="29"/>
  <c r="B6961" i="106" s="1"/>
  <c r="D6961" i="106" s="1"/>
  <c r="B6950" i="106"/>
  <c r="D6950" i="106" s="1"/>
  <c r="B3297" i="106"/>
  <c r="D3297" i="106" s="1"/>
  <c r="F119" i="34"/>
  <c r="B4317" i="106"/>
  <c r="D4317" i="106" s="1"/>
  <c r="K274" i="29"/>
  <c r="B1503" i="106" s="1"/>
  <c r="D1503" i="106" s="1"/>
  <c r="B1439" i="106"/>
  <c r="D1439" i="106" s="1"/>
  <c r="B7268" i="106"/>
  <c r="B5572" i="106"/>
  <c r="D5572" i="106" s="1"/>
  <c r="F89" i="34"/>
  <c r="D221" i="5"/>
  <c r="B5488" i="106" s="1"/>
  <c r="D5488" i="106" s="1"/>
  <c r="B5485" i="106"/>
  <c r="D5485" i="106" s="1"/>
  <c r="B6894" i="106"/>
  <c r="D6894" i="106" s="1"/>
  <c r="K29" i="29"/>
  <c r="B6752" i="106"/>
  <c r="D6752" i="106" s="1"/>
  <c r="B6176" i="106"/>
  <c r="D6176" i="106" s="1"/>
  <c r="B1262" i="106"/>
  <c r="D1262" i="106" s="1"/>
  <c r="K291" i="29"/>
  <c r="B2846" i="106" s="1"/>
  <c r="D2846" i="106" s="1"/>
  <c r="B2844" i="106"/>
  <c r="D2844" i="106" s="1"/>
  <c r="B3645" i="106"/>
  <c r="D3645" i="106" s="1"/>
  <c r="G350" i="29"/>
  <c r="B4312" i="106"/>
  <c r="D4312" i="106" s="1"/>
  <c r="B809" i="106"/>
  <c r="D809" i="106" s="1"/>
  <c r="B6797" i="106"/>
  <c r="D6797" i="106" s="1"/>
  <c r="B6814" i="106"/>
  <c r="D6814" i="106" s="1"/>
  <c r="B958" i="106"/>
  <c r="D958" i="106" s="1"/>
  <c r="B6745" i="106"/>
  <c r="D6745" i="106" s="1"/>
  <c r="F162" i="34"/>
  <c r="B5315" i="106"/>
  <c r="D5315" i="106" s="1"/>
  <c r="H181" i="5"/>
  <c r="B5908" i="106" s="1"/>
  <c r="D5908" i="106" s="1"/>
  <c r="B5907" i="106"/>
  <c r="D5907" i="106" s="1"/>
  <c r="B6789" i="106"/>
  <c r="D6789" i="106" s="1"/>
  <c r="B6671" i="106"/>
  <c r="D6671" i="106" s="1"/>
  <c r="B7006" i="106"/>
  <c r="D7006" i="106" s="1"/>
  <c r="K98" i="29"/>
  <c r="B7007" i="106" s="1"/>
  <c r="D7007" i="106" s="1"/>
  <c r="F121" i="34"/>
  <c r="B4792" i="106"/>
  <c r="D4792" i="106" s="1"/>
  <c r="F158" i="34"/>
  <c r="B7761" i="106"/>
  <c r="D7761" i="106" s="1"/>
  <c r="B6628" i="106"/>
  <c r="D6628" i="106" s="1"/>
  <c r="B6870" i="106"/>
  <c r="D6870" i="106" s="1"/>
  <c r="K17" i="29"/>
  <c r="B6871" i="106" s="1"/>
  <c r="D6871" i="106" s="1"/>
  <c r="B7263" i="106"/>
  <c r="B6739" i="106"/>
  <c r="D6739" i="106" s="1"/>
  <c r="B2979" i="106"/>
  <c r="D2979" i="106" s="1"/>
  <c r="B7027" i="106"/>
  <c r="D7027" i="106" s="1"/>
  <c r="B5027" i="106"/>
  <c r="D5027" i="106" s="1"/>
  <c r="B5122" i="106"/>
  <c r="D5122" i="106" s="1"/>
  <c r="C114" i="5"/>
  <c r="B4796" i="106"/>
  <c r="D4796" i="106" s="1"/>
  <c r="B6740" i="106"/>
  <c r="D6740" i="106" s="1"/>
  <c r="B6676" i="106"/>
  <c r="D6676" i="106" s="1"/>
  <c r="B5528" i="106"/>
  <c r="D5528" i="106" s="1"/>
  <c r="E122" i="5"/>
  <c r="B166" i="106"/>
  <c r="D166" i="106" s="1"/>
  <c r="B7164" i="106"/>
  <c r="D7164" i="106" s="1"/>
  <c r="B6182" i="106"/>
  <c r="D6182" i="106" s="1"/>
  <c r="B6150" i="106"/>
  <c r="D6150" i="106" s="1"/>
  <c r="B6639" i="106"/>
  <c r="D6639" i="106" s="1"/>
  <c r="J303" i="29"/>
  <c r="B7100" i="106"/>
  <c r="D7100" i="106" s="1"/>
  <c r="B5109" i="106"/>
  <c r="D5109" i="106" s="1"/>
  <c r="B5585" i="106"/>
  <c r="D5585" i="106" s="1"/>
  <c r="B6651" i="106"/>
  <c r="D6651" i="106" s="1"/>
  <c r="F133" i="34"/>
  <c r="B6622" i="106"/>
  <c r="D6622" i="106" s="1"/>
  <c r="B7695" i="106"/>
  <c r="D7695" i="106" s="1"/>
  <c r="B2719" i="106"/>
  <c r="D2719" i="106" s="1"/>
  <c r="B6162" i="106"/>
  <c r="D6162" i="106" s="1"/>
  <c r="B6939" i="106"/>
  <c r="D6939" i="106" s="1"/>
  <c r="B7169" i="106"/>
  <c r="D7169" i="106" s="1"/>
  <c r="B2763" i="106"/>
  <c r="D2763" i="106" s="1"/>
  <c r="B6190" i="106"/>
  <c r="D6190" i="106" s="1"/>
  <c r="B4945" i="106"/>
  <c r="D4945" i="106" s="1"/>
  <c r="B974" i="106"/>
  <c r="D974" i="106" s="1"/>
  <c r="B6336" i="106"/>
  <c r="D6336" i="106" s="1"/>
  <c r="F29" i="34"/>
  <c r="B5387" i="106"/>
  <c r="D5387" i="106" s="1"/>
  <c r="B2807" i="106"/>
  <c r="D2807" i="106" s="1"/>
  <c r="K144" i="29"/>
  <c r="B2810" i="106" s="1"/>
  <c r="D2810" i="106" s="1"/>
  <c r="B4322" i="106"/>
  <c r="D4322" i="106" s="1"/>
  <c r="B6101" i="106"/>
  <c r="D6101" i="106" s="1"/>
  <c r="B6880" i="106"/>
  <c r="D6880" i="106" s="1"/>
  <c r="K22" i="29"/>
  <c r="C221" i="5"/>
  <c r="B5301" i="106"/>
  <c r="D5301" i="106" s="1"/>
  <c r="B4181" i="106"/>
  <c r="D4181" i="106" s="1"/>
  <c r="B957" i="106"/>
  <c r="D957" i="106" s="1"/>
  <c r="B6869" i="106"/>
  <c r="D6869" i="106" s="1"/>
  <c r="B1020" i="106"/>
  <c r="D1020" i="106" s="1"/>
  <c r="B1528" i="106"/>
  <c r="D1528" i="106" s="1"/>
  <c r="B5119" i="106"/>
  <c r="D5119" i="106" s="1"/>
  <c r="B3589" i="106"/>
  <c r="D3589" i="106" s="1"/>
  <c r="B6315" i="106"/>
  <c r="D6315" i="106" s="1"/>
  <c r="F28" i="34"/>
  <c r="B3082" i="106"/>
  <c r="D3082" i="106" s="1"/>
  <c r="B6153" i="106"/>
  <c r="D6153" i="106" s="1"/>
  <c r="B4332" i="106"/>
  <c r="D4332" i="106" s="1"/>
  <c r="B5353" i="106"/>
  <c r="D5353" i="106" s="1"/>
  <c r="B6107" i="106"/>
  <c r="D6107" i="106" s="1"/>
  <c r="B5106" i="106"/>
  <c r="D5106" i="106" s="1"/>
  <c r="F97" i="34"/>
  <c r="B6636" i="106"/>
  <c r="D6636" i="106" s="1"/>
  <c r="K6" i="29"/>
  <c r="B7763" i="106" s="1"/>
  <c r="D7763" i="106" s="1"/>
  <c r="B7762" i="106"/>
  <c r="D7762" i="106" s="1"/>
  <c r="B6746" i="106"/>
  <c r="D6746" i="106" s="1"/>
  <c r="B11" i="7"/>
  <c r="J12" i="5"/>
  <c r="B6298" i="106"/>
  <c r="D6298" i="106" s="1"/>
  <c r="B6856" i="106"/>
  <c r="D6856" i="106" s="1"/>
  <c r="B6846" i="106"/>
  <c r="D6846" i="106" s="1"/>
  <c r="B7032" i="106"/>
  <c r="D7032" i="106" s="1"/>
  <c r="B5391" i="106"/>
  <c r="D5391" i="106" s="1"/>
  <c r="D155" i="5"/>
  <c r="B5394" i="106" s="1"/>
  <c r="D5394" i="106" s="1"/>
  <c r="B6667" i="106"/>
  <c r="D6667" i="106" s="1"/>
  <c r="B6145" i="106"/>
  <c r="D6145" i="106" s="1"/>
  <c r="B5590" i="106"/>
  <c r="D5590" i="106" s="1"/>
  <c r="B6330" i="106"/>
  <c r="D6330" i="106" s="1"/>
  <c r="B7097" i="106"/>
  <c r="D7097" i="106" s="1"/>
  <c r="K256" i="29"/>
  <c r="B7098" i="106" s="1"/>
  <c r="D7098" i="106" s="1"/>
  <c r="B5233" i="106"/>
  <c r="D5233" i="106" s="1"/>
  <c r="C188" i="5"/>
  <c r="H108" i="5"/>
  <c r="B5886" i="106" s="1"/>
  <c r="D5886" i="106" s="1"/>
  <c r="B5882" i="106"/>
  <c r="D5882" i="106" s="1"/>
  <c r="B1437" i="106"/>
  <c r="D1437" i="106" s="1"/>
  <c r="K272" i="29"/>
  <c r="D277" i="29"/>
  <c r="B1444" i="106" s="1"/>
  <c r="D1444" i="106" s="1"/>
  <c r="B7639" i="106"/>
  <c r="B7157" i="106"/>
  <c r="D7157" i="106" s="1"/>
  <c r="B4949" i="106"/>
  <c r="D4949" i="106" s="1"/>
  <c r="B967" i="106"/>
  <c r="D967" i="106" s="1"/>
  <c r="G57" i="29"/>
  <c r="B969" i="106" s="1"/>
  <c r="D969" i="106" s="1"/>
  <c r="B956" i="106"/>
  <c r="D956" i="106" s="1"/>
  <c r="B4356" i="106"/>
  <c r="D4356" i="106" s="1"/>
  <c r="B1407" i="106"/>
  <c r="D1407" i="106" s="1"/>
  <c r="K222" i="29"/>
  <c r="B1471" i="106" s="1"/>
  <c r="D1471" i="106" s="1"/>
  <c r="B7129" i="106"/>
  <c r="D7129" i="106" s="1"/>
  <c r="B7159" i="106"/>
  <c r="D7159" i="106" s="1"/>
  <c r="B1253" i="106"/>
  <c r="D1253" i="106" s="1"/>
  <c r="B5368" i="106"/>
  <c r="D5368" i="106" s="1"/>
  <c r="D132" i="5"/>
  <c r="B1270" i="106"/>
  <c r="D1270" i="106" s="1"/>
  <c r="K146" i="29"/>
  <c r="B1285" i="106" s="1"/>
  <c r="D1285" i="106" s="1"/>
  <c r="B4393" i="106"/>
  <c r="D4393" i="106" s="1"/>
  <c r="B5877" i="106"/>
  <c r="D5877" i="106" s="1"/>
  <c r="B5057" i="106"/>
  <c r="D5057" i="106" s="1"/>
  <c r="B5359" i="106"/>
  <c r="D5359" i="106" s="1"/>
  <c r="B3366" i="106"/>
  <c r="D3366" i="106" s="1"/>
  <c r="K8" i="29"/>
  <c r="B3380" i="106" s="1"/>
  <c r="D3380" i="106" s="1"/>
  <c r="B6751" i="106"/>
  <c r="D6751" i="106" s="1"/>
  <c r="B6732" i="106"/>
  <c r="D6732" i="106" s="1"/>
  <c r="B950" i="106"/>
  <c r="D950" i="106" s="1"/>
  <c r="B6672" i="106"/>
  <c r="D6672" i="106" s="1"/>
  <c r="B6688" i="106"/>
  <c r="D6688" i="106" s="1"/>
  <c r="B6684" i="106"/>
  <c r="D6684" i="106" s="1"/>
  <c r="B7688" i="106"/>
  <c r="D7688" i="106" s="1"/>
  <c r="K328" i="29"/>
  <c r="B7696" i="106" s="1"/>
  <c r="D7696" i="106" s="1"/>
  <c r="B5256" i="106"/>
  <c r="D5256" i="106" s="1"/>
  <c r="C209" i="5"/>
  <c r="B6728" i="106"/>
  <c r="D6728" i="106" s="1"/>
  <c r="C145" i="5"/>
  <c r="B5163" i="106"/>
  <c r="D5163" i="106" s="1"/>
  <c r="B5070" i="106"/>
  <c r="D5070" i="106" s="1"/>
  <c r="B4881" i="106"/>
  <c r="D4881" i="106" s="1"/>
  <c r="B4793" i="106"/>
  <c r="D4793" i="106" s="1"/>
  <c r="B6133" i="106"/>
  <c r="D6133" i="106" s="1"/>
  <c r="B3653" i="106"/>
  <c r="D3653" i="106" s="1"/>
  <c r="B6783" i="106"/>
  <c r="D6783" i="106" s="1"/>
  <c r="B5998" i="106"/>
  <c r="D5998" i="106" s="1"/>
  <c r="B6346" i="106"/>
  <c r="D6346" i="106" s="1"/>
  <c r="B5248" i="106"/>
  <c r="D5248" i="106" s="1"/>
  <c r="C42" i="29"/>
  <c r="K36" i="29"/>
  <c r="B721" i="106"/>
  <c r="D721" i="106" s="1"/>
  <c r="B783" i="106"/>
  <c r="D783" i="106" s="1"/>
  <c r="K61" i="29"/>
  <c r="B740" i="106"/>
  <c r="D740" i="106" s="1"/>
  <c r="F120" i="34"/>
  <c r="B4329" i="106"/>
  <c r="D4329" i="106" s="1"/>
  <c r="B7024" i="106"/>
  <c r="D7024" i="106" s="1"/>
  <c r="I127" i="29"/>
  <c r="B5063" i="106"/>
  <c r="D5063" i="106" s="1"/>
  <c r="B14" i="7"/>
  <c r="B5056" i="106"/>
  <c r="D5056" i="106" s="1"/>
  <c r="F115" i="34"/>
  <c r="B653" i="106"/>
  <c r="D653" i="106" s="1"/>
  <c r="B4381" i="106"/>
  <c r="D4381" i="106" s="1"/>
  <c r="B914" i="106"/>
  <c r="D914" i="106" s="1"/>
  <c r="B5708" i="106"/>
  <c r="D5708" i="106" s="1"/>
  <c r="B3698" i="106"/>
  <c r="D3698" i="106" s="1"/>
  <c r="K52" i="4"/>
  <c r="B938" i="106"/>
  <c r="D938" i="106" s="1"/>
  <c r="B7787" i="106"/>
  <c r="D7787" i="106" s="1"/>
  <c r="K333" i="29"/>
  <c r="B7788" i="106" s="1"/>
  <c r="D7788" i="106" s="1"/>
  <c r="B970" i="106"/>
  <c r="D970" i="106" s="1"/>
  <c r="G65" i="29"/>
  <c r="B977" i="106" s="1"/>
  <c r="D977" i="106" s="1"/>
  <c r="B719" i="106"/>
  <c r="D719" i="106" s="1"/>
  <c r="K15" i="29"/>
  <c r="B7266" i="106"/>
  <c r="I53" i="29"/>
  <c r="B6942" i="106" s="1"/>
  <c r="D6942" i="106" s="1"/>
  <c r="B6926" i="106"/>
  <c r="D6926" i="106" s="1"/>
  <c r="B7701" i="106"/>
  <c r="D7701" i="106" s="1"/>
  <c r="B6716" i="106"/>
  <c r="D6716" i="106" s="1"/>
  <c r="B5606" i="106"/>
  <c r="D5606" i="106" s="1"/>
  <c r="B2995" i="106"/>
  <c r="D2995" i="106" s="1"/>
  <c r="H194" i="29"/>
  <c r="B840" i="106"/>
  <c r="D840" i="106" s="1"/>
  <c r="B7254" i="106"/>
  <c r="D7254" i="106" s="1"/>
  <c r="B6154" i="106"/>
  <c r="D6154" i="106" s="1"/>
  <c r="B6685" i="106"/>
  <c r="D6685" i="106" s="1"/>
  <c r="B6755" i="106"/>
  <c r="D6755" i="106" s="1"/>
  <c r="B4946" i="106"/>
  <c r="D4946" i="106" s="1"/>
  <c r="B4408" i="106"/>
  <c r="D4408" i="106" s="1"/>
  <c r="B6859" i="106"/>
  <c r="D6859" i="106" s="1"/>
  <c r="B7131" i="106"/>
  <c r="D7131" i="106" s="1"/>
  <c r="G198" i="5"/>
  <c r="B6409" i="106" s="1"/>
  <c r="D6409" i="106" s="1"/>
  <c r="B6402" i="106"/>
  <c r="D6402" i="106" s="1"/>
  <c r="B3058" i="106"/>
  <c r="D3058" i="106" s="1"/>
  <c r="B5347" i="106"/>
  <c r="D5347" i="106" s="1"/>
  <c r="K123" i="29"/>
  <c r="B1275" i="106" s="1"/>
  <c r="D1275" i="106" s="1"/>
  <c r="B1220" i="106"/>
  <c r="D1220" i="106" s="1"/>
  <c r="B6938" i="106"/>
  <c r="D6938" i="106" s="1"/>
  <c r="B4391" i="106"/>
  <c r="D4391" i="106" s="1"/>
  <c r="B7229" i="106"/>
  <c r="D7229" i="106" s="1"/>
  <c r="B6816" i="106"/>
  <c r="D6816" i="106" s="1"/>
  <c r="B5673" i="106"/>
  <c r="D5673" i="106" s="1"/>
  <c r="F209" i="5"/>
  <c r="B4413" i="106" s="1"/>
  <c r="D4413" i="106" s="1"/>
  <c r="B848" i="106"/>
  <c r="D848" i="106" s="1"/>
  <c r="E53" i="29"/>
  <c r="B850" i="106" s="1"/>
  <c r="D850" i="106" s="1"/>
  <c r="B5123" i="106"/>
  <c r="D5123" i="106" s="1"/>
  <c r="D12" i="171"/>
  <c r="B5860" i="106"/>
  <c r="D5860" i="106" s="1"/>
  <c r="B7227" i="106"/>
  <c r="D7227" i="106" s="1"/>
  <c r="J350" i="29"/>
  <c r="C72" i="29"/>
  <c r="B753" i="106" s="1"/>
  <c r="D753" i="106" s="1"/>
  <c r="B746" i="106"/>
  <c r="D746" i="106" s="1"/>
  <c r="K67" i="29"/>
  <c r="B5578" i="106"/>
  <c r="D5578" i="106" s="1"/>
  <c r="F27" i="34"/>
  <c r="B822" i="106"/>
  <c r="D822" i="106" s="1"/>
  <c r="B6720" i="106"/>
  <c r="D6720" i="106" s="1"/>
  <c r="F144" i="34"/>
  <c r="B6109" i="106"/>
  <c r="D6109" i="106" s="1"/>
  <c r="B7118" i="106"/>
  <c r="D7118" i="106" s="1"/>
  <c r="C330" i="29"/>
  <c r="K319" i="29"/>
  <c r="B7681" i="106"/>
  <c r="D7681" i="106" s="1"/>
  <c r="B4811" i="106"/>
  <c r="D4811" i="106" s="1"/>
  <c r="B6219" i="106"/>
  <c r="D6219" i="106" s="1"/>
  <c r="J13" i="3"/>
  <c r="B6124" i="106" s="1"/>
  <c r="D6124" i="106" s="1"/>
  <c r="B724" i="106"/>
  <c r="D724" i="106" s="1"/>
  <c r="K39" i="29"/>
  <c r="B1112" i="106" s="1"/>
  <c r="D1112" i="106" s="1"/>
  <c r="B6964" i="106"/>
  <c r="D6964" i="106" s="1"/>
  <c r="J72" i="29"/>
  <c r="B6974" i="106" s="1"/>
  <c r="D6974" i="106" s="1"/>
  <c r="B2980" i="106"/>
  <c r="D2980" i="106" s="1"/>
  <c r="B6758" i="106"/>
  <c r="D6758" i="106" s="1"/>
  <c r="B3549" i="106"/>
  <c r="D3549" i="106" s="1"/>
  <c r="B910" i="106"/>
  <c r="D910" i="106" s="1"/>
  <c r="B6892" i="106"/>
  <c r="D6892" i="106" s="1"/>
  <c r="K28" i="29"/>
  <c r="B5515" i="106"/>
  <c r="D5515" i="106" s="1"/>
  <c r="B6623" i="106"/>
  <c r="D6623" i="106" s="1"/>
  <c r="B7192" i="106"/>
  <c r="D7192" i="106" s="1"/>
  <c r="B7212" i="106"/>
  <c r="D7212" i="106" s="1"/>
  <c r="K339" i="29"/>
  <c r="B7213" i="106" s="1"/>
  <c r="D7213" i="106" s="1"/>
  <c r="B5095" i="106"/>
  <c r="D5095" i="106" s="1"/>
  <c r="B7099" i="106"/>
  <c r="D7099" i="106" s="1"/>
  <c r="I303" i="29"/>
  <c r="B6806" i="106"/>
  <c r="D6806" i="106" s="1"/>
  <c r="B5026" i="106"/>
  <c r="D5026" i="106" s="1"/>
  <c r="B13" i="7"/>
  <c r="B6970" i="106"/>
  <c r="D6970" i="106" s="1"/>
  <c r="B805" i="106"/>
  <c r="D805" i="106" s="1"/>
  <c r="E33" i="29"/>
  <c r="B836" i="106" s="1"/>
  <c r="D836" i="106" s="1"/>
  <c r="B821" i="106"/>
  <c r="D821" i="106" s="1"/>
  <c r="B6320" i="106"/>
  <c r="D6320" i="106" s="1"/>
  <c r="B1415" i="106"/>
  <c r="D1415" i="106" s="1"/>
  <c r="K236" i="29"/>
  <c r="B1479" i="106" s="1"/>
  <c r="D1479" i="106" s="1"/>
  <c r="B5352" i="106"/>
  <c r="D5352" i="106" s="1"/>
  <c r="D68" i="36"/>
  <c r="B323" i="106"/>
  <c r="D323" i="106" s="1"/>
  <c r="B1228" i="106"/>
  <c r="D1228" i="106" s="1"/>
  <c r="B5099" i="106"/>
  <c r="D5099" i="106" s="1"/>
  <c r="B800" i="106"/>
  <c r="D800" i="106" s="1"/>
  <c r="B6655" i="106"/>
  <c r="D6655" i="106" s="1"/>
  <c r="G44" i="4"/>
  <c r="B7752" i="106"/>
  <c r="D7752" i="106" s="1"/>
  <c r="K203" i="29"/>
  <c r="B1385" i="106" s="1"/>
  <c r="D1385" i="106" s="1"/>
  <c r="B1373" i="106"/>
  <c r="D1373" i="106" s="1"/>
  <c r="K249" i="29"/>
  <c r="B7084" i="106" s="1"/>
  <c r="D7084" i="106" s="1"/>
  <c r="B7083" i="106"/>
  <c r="D7083" i="106" s="1"/>
  <c r="H293" i="29"/>
  <c r="B1449" i="106"/>
  <c r="D1449" i="106" s="1"/>
  <c r="K288" i="29"/>
  <c r="B5710" i="106"/>
  <c r="D5710" i="106" s="1"/>
  <c r="B6407" i="106"/>
  <c r="D6407" i="106" s="1"/>
  <c r="B6340" i="106"/>
  <c r="D6340" i="106" s="1"/>
  <c r="B6807" i="106"/>
  <c r="D6807" i="106" s="1"/>
  <c r="F93" i="34"/>
  <c r="B7764" i="106"/>
  <c r="D7764" i="106" s="1"/>
  <c r="B913" i="106"/>
  <c r="D913" i="106" s="1"/>
  <c r="B856" i="106"/>
  <c r="D856" i="106" s="1"/>
  <c r="B903" i="106"/>
  <c r="D903" i="106" s="1"/>
  <c r="B6703" i="106"/>
  <c r="D6703" i="106" s="1"/>
  <c r="B948" i="106"/>
  <c r="D948" i="106" s="1"/>
  <c r="B4217" i="106"/>
  <c r="D4217" i="106" s="1"/>
  <c r="B2800" i="106"/>
  <c r="D2800" i="106" s="1"/>
  <c r="B5561" i="106"/>
  <c r="D5561" i="106" s="1"/>
  <c r="B951" i="106"/>
  <c r="D951" i="106" s="1"/>
  <c r="B968" i="106"/>
  <c r="D968" i="106" s="1"/>
  <c r="B3632" i="106"/>
  <c r="D3632" i="106" s="1"/>
  <c r="B6823" i="106"/>
  <c r="D6823" i="106" s="1"/>
  <c r="J108" i="5"/>
  <c r="B6351" i="106" s="1"/>
  <c r="D6351" i="106" s="1"/>
  <c r="B6319" i="106"/>
  <c r="D6319" i="106" s="1"/>
  <c r="B7816" i="106"/>
  <c r="D7816" i="106" s="1"/>
  <c r="B6851" i="106"/>
  <c r="D6851" i="106" s="1"/>
  <c r="B978" i="106"/>
  <c r="D978" i="106" s="1"/>
  <c r="G72" i="29"/>
  <c r="B985" i="106" s="1"/>
  <c r="D985" i="106" s="1"/>
  <c r="B6308" i="106"/>
  <c r="D6308" i="106" s="1"/>
  <c r="B7101" i="106"/>
  <c r="D7101" i="106" s="1"/>
  <c r="B7186" i="106"/>
  <c r="D7186" i="106" s="1"/>
  <c r="B6757" i="106"/>
  <c r="D6757" i="106" s="1"/>
  <c r="F88" i="34"/>
  <c r="B5570" i="106"/>
  <c r="D5570" i="106" s="1"/>
  <c r="B4944" i="106"/>
  <c r="D4944" i="106" s="1"/>
  <c r="B1450" i="106"/>
  <c r="D1450" i="106" s="1"/>
  <c r="K289" i="29"/>
  <c r="B1513" i="106" s="1"/>
  <c r="D1513" i="106" s="1"/>
  <c r="B6693" i="106"/>
  <c r="D6693" i="106" s="1"/>
  <c r="B5564" i="106"/>
  <c r="D5564" i="106" s="1"/>
  <c r="F18" i="34"/>
  <c r="B6405" i="106"/>
  <c r="D6405" i="106" s="1"/>
  <c r="B5240" i="106"/>
  <c r="D5240" i="106" s="1"/>
  <c r="B5729" i="106"/>
  <c r="D5729" i="106" s="1"/>
  <c r="K94" i="29"/>
  <c r="B6999" i="106" s="1"/>
  <c r="D6999" i="106" s="1"/>
  <c r="B6998" i="106"/>
  <c r="D6998" i="106" s="1"/>
  <c r="B7814" i="106"/>
  <c r="D7814" i="106" s="1"/>
  <c r="B5986" i="106"/>
  <c r="D5986" i="106" s="1"/>
  <c r="B6774" i="106"/>
  <c r="D6774" i="106" s="1"/>
  <c r="B7185" i="106"/>
  <c r="D7185" i="106" s="1"/>
  <c r="B784" i="106"/>
  <c r="D784" i="106" s="1"/>
  <c r="H65" i="29"/>
  <c r="B1035" i="106" s="1"/>
  <c r="D1035" i="106" s="1"/>
  <c r="B1028" i="106"/>
  <c r="D1028" i="106" s="1"/>
  <c r="B6367" i="106"/>
  <c r="D6367" i="106" s="1"/>
  <c r="B6640" i="106"/>
  <c r="D6640" i="106" s="1"/>
  <c r="B4309" i="106"/>
  <c r="D4309" i="106" s="1"/>
  <c r="B5522" i="106"/>
  <c r="D5522" i="106" s="1"/>
  <c r="E108" i="5"/>
  <c r="B5526" i="106" s="1"/>
  <c r="D5526" i="106" s="1"/>
  <c r="B1229" i="106"/>
  <c r="D1229" i="106" s="1"/>
  <c r="B6178" i="106"/>
  <c r="D6178" i="106" s="1"/>
  <c r="B1235" i="106"/>
  <c r="D1235" i="106" s="1"/>
  <c r="E127" i="29"/>
  <c r="B5728" i="106"/>
  <c r="D5728" i="106" s="1"/>
  <c r="B6778" i="106"/>
  <c r="D6778" i="106" s="1"/>
  <c r="B5821" i="106"/>
  <c r="D5821" i="106" s="1"/>
  <c r="B7183" i="106"/>
  <c r="D7183" i="106" s="1"/>
  <c r="K219" i="29"/>
  <c r="B3065" i="106" s="1"/>
  <c r="D3065" i="106" s="1"/>
  <c r="B3064" i="106"/>
  <c r="D3064" i="106" s="1"/>
  <c r="B6930" i="106"/>
  <c r="D6930" i="106" s="1"/>
  <c r="B6363" i="106"/>
  <c r="D6363" i="106" s="1"/>
  <c r="B6235" i="106"/>
  <c r="D6235" i="106" s="1"/>
  <c r="B6113" i="106"/>
  <c r="D6113" i="106" s="1"/>
  <c r="B1540" i="106"/>
  <c r="D1540" i="106" s="1"/>
  <c r="B4378" i="106"/>
  <c r="D4378" i="106" s="1"/>
  <c r="B706" i="106"/>
  <c r="D706" i="106" s="1"/>
  <c r="K16" i="29"/>
  <c r="B1094" i="106" s="1"/>
  <c r="D1094" i="106" s="1"/>
  <c r="B842" i="106"/>
  <c r="D842" i="106" s="1"/>
  <c r="B4447" i="106"/>
  <c r="D4447" i="106" s="1"/>
  <c r="B972" i="106"/>
  <c r="D972" i="106" s="1"/>
  <c r="B4917" i="106"/>
  <c r="D4917" i="106" s="1"/>
  <c r="B6689" i="106"/>
  <c r="D6689" i="106" s="1"/>
  <c r="B3316" i="106"/>
  <c r="D3316" i="106" s="1"/>
  <c r="B1447" i="106"/>
  <c r="D1447" i="106" s="1"/>
  <c r="K280" i="29"/>
  <c r="B6770" i="106"/>
  <c r="D6770" i="106" s="1"/>
  <c r="B6912" i="106"/>
  <c r="D6912" i="106" s="1"/>
  <c r="B5349" i="106"/>
  <c r="D5349" i="106" s="1"/>
  <c r="D108" i="5"/>
  <c r="B5355" i="106" s="1"/>
  <c r="D5355" i="106" s="1"/>
  <c r="B7265" i="106"/>
  <c r="B2955" i="106"/>
  <c r="D2955" i="106" s="1"/>
  <c r="H84" i="29"/>
  <c r="B3083" i="106"/>
  <c r="D3083" i="106" s="1"/>
  <c r="B6253" i="106"/>
  <c r="D6253" i="106" s="1"/>
  <c r="B6861" i="106"/>
  <c r="D6861" i="106" s="1"/>
  <c r="K268" i="29"/>
  <c r="B1497" i="106" s="1"/>
  <c r="D1497" i="106" s="1"/>
  <c r="B1433" i="106"/>
  <c r="D1433" i="106" s="1"/>
  <c r="B6980" i="106"/>
  <c r="D6980" i="106" s="1"/>
  <c r="K309" i="29"/>
  <c r="B3717" i="106" s="1"/>
  <c r="D3717" i="106" s="1"/>
  <c r="B7112" i="106"/>
  <c r="D7112" i="106" s="1"/>
  <c r="B3078" i="106"/>
  <c r="D3078" i="106" s="1"/>
  <c r="K278" i="29"/>
  <c r="B1509" i="106" s="1"/>
  <c r="D1509" i="106" s="1"/>
  <c r="B1445" i="106"/>
  <c r="D1445" i="106" s="1"/>
  <c r="B6934" i="106"/>
  <c r="D6934" i="106" s="1"/>
  <c r="B7142" i="106"/>
  <c r="D7142" i="106" s="1"/>
  <c r="B6404" i="106"/>
  <c r="D6404" i="106" s="1"/>
  <c r="B6788" i="106"/>
  <c r="D6788" i="106" s="1"/>
  <c r="B6799" i="106"/>
  <c r="D6799" i="106" s="1"/>
  <c r="B145" i="106"/>
  <c r="D145" i="106" s="1"/>
  <c r="B6786" i="106"/>
  <c r="D6786" i="106" s="1"/>
  <c r="B6976" i="106"/>
  <c r="D6976" i="106" s="1"/>
  <c r="B3532" i="106"/>
  <c r="D3532" i="106" s="1"/>
  <c r="B5116" i="106"/>
  <c r="D5116" i="106" s="1"/>
  <c r="B6625" i="106"/>
  <c r="D6625" i="106" s="1"/>
  <c r="B7674" i="106"/>
  <c r="D7674" i="106" s="1"/>
  <c r="B6644" i="106"/>
  <c r="D6644" i="106" s="1"/>
  <c r="B6378" i="106"/>
  <c r="D6378" i="106" s="1"/>
  <c r="B6706" i="106"/>
  <c r="D6706" i="106" s="1"/>
  <c r="E57" i="29"/>
  <c r="B853" i="106" s="1"/>
  <c r="D853" i="106" s="1"/>
  <c r="B851" i="106"/>
  <c r="D851" i="106" s="1"/>
  <c r="B770" i="106"/>
  <c r="D770" i="106" s="1"/>
  <c r="B7662" i="106"/>
  <c r="D7662" i="106" s="1"/>
  <c r="B5991" i="106"/>
  <c r="D5991" i="106" s="1"/>
  <c r="B5012" i="106"/>
  <c r="D5012" i="106" s="1"/>
  <c r="D71" i="36"/>
  <c r="B5600" i="106"/>
  <c r="D5600" i="106" s="1"/>
  <c r="F132" i="5"/>
  <c r="B6787" i="106"/>
  <c r="D6787" i="106" s="1"/>
  <c r="F149" i="34"/>
  <c r="B6769" i="106"/>
  <c r="D6769" i="106" s="1"/>
  <c r="B5341" i="106"/>
  <c r="D5341" i="106" s="1"/>
  <c r="B117" i="106"/>
  <c r="D117" i="106" s="1"/>
  <c r="D184" i="29"/>
  <c r="B1341" i="106"/>
  <c r="D1341" i="106" s="1"/>
  <c r="B2799" i="106"/>
  <c r="D2799" i="106" s="1"/>
  <c r="K60" i="29"/>
  <c r="D27" i="108" s="1"/>
  <c r="B739" i="106"/>
  <c r="D739" i="106" s="1"/>
  <c r="F142" i="34"/>
  <c r="B6690" i="106"/>
  <c r="D6690" i="106" s="1"/>
  <c r="B2998" i="106"/>
  <c r="D2998" i="106" s="1"/>
  <c r="B852" i="106"/>
  <c r="D852" i="106" s="1"/>
  <c r="B5171" i="106"/>
  <c r="D5171" i="106" s="1"/>
  <c r="B801" i="106"/>
  <c r="D801" i="106" s="1"/>
  <c r="B6256" i="106"/>
  <c r="D6256" i="106" s="1"/>
  <c r="E37" i="4"/>
  <c r="B6285" i="106" s="1"/>
  <c r="D6285" i="106" s="1"/>
  <c r="H14" i="118"/>
  <c r="B6240" i="106"/>
  <c r="D6240" i="106" s="1"/>
  <c r="H19" i="118"/>
  <c r="K106" i="29"/>
  <c r="B1147" i="106" s="1"/>
  <c r="D1147" i="106" s="1"/>
  <c r="B1049" i="106"/>
  <c r="D1049" i="106" s="1"/>
  <c r="B6093" i="106"/>
  <c r="D6093" i="106" s="1"/>
  <c r="B2092" i="106"/>
  <c r="D2092" i="106" s="1"/>
  <c r="K138" i="29"/>
  <c r="B2094" i="106" s="1"/>
  <c r="D2094" i="106" s="1"/>
  <c r="B6668" i="106"/>
  <c r="D6668" i="106" s="1"/>
  <c r="B5601" i="106"/>
  <c r="D5601" i="106" s="1"/>
  <c r="B4887" i="106"/>
  <c r="D4887" i="106" s="1"/>
  <c r="B953" i="106"/>
  <c r="D953" i="106" s="1"/>
  <c r="G42" i="29"/>
  <c r="B4794" i="106"/>
  <c r="D4794" i="106" s="1"/>
  <c r="B6734" i="106"/>
  <c r="D6734" i="106" s="1"/>
  <c r="B7002" i="106"/>
  <c r="D7002" i="106" s="1"/>
  <c r="K96" i="29"/>
  <c r="B7003" i="106" s="1"/>
  <c r="D7003" i="106" s="1"/>
  <c r="F117" i="34"/>
  <c r="B4915" i="106"/>
  <c r="D4915" i="106" s="1"/>
  <c r="B6376" i="106"/>
  <c r="D6376" i="106" s="1"/>
  <c r="B1546" i="106"/>
  <c r="D1546" i="106" s="1"/>
  <c r="B6726" i="106"/>
  <c r="D6726" i="106" s="1"/>
  <c r="B1029" i="106"/>
  <c r="D1029" i="106" s="1"/>
  <c r="B5919" i="106"/>
  <c r="D5919" i="106" s="1"/>
  <c r="I18" i="5"/>
  <c r="B5923" i="106" s="1"/>
  <c r="D5923" i="106" s="1"/>
  <c r="B980" i="106"/>
  <c r="D980" i="106" s="1"/>
  <c r="B4311" i="106"/>
  <c r="D4311" i="106" s="1"/>
  <c r="K183" i="29"/>
  <c r="B1380" i="106" s="1"/>
  <c r="D1380" i="106" s="1"/>
  <c r="B1338" i="106"/>
  <c r="D1338" i="106" s="1"/>
  <c r="B5875" i="106"/>
  <c r="D5875" i="106" s="1"/>
  <c r="B6696" i="106"/>
  <c r="D6696" i="106" s="1"/>
  <c r="K267" i="29"/>
  <c r="B1496" i="106" s="1"/>
  <c r="D1496" i="106" s="1"/>
  <c r="B1432" i="106"/>
  <c r="D1432" i="106" s="1"/>
  <c r="B6619" i="106"/>
  <c r="D6619" i="106" s="1"/>
  <c r="H252" i="5"/>
  <c r="B6847" i="106"/>
  <c r="D6847" i="106" s="1"/>
  <c r="B6339" i="106"/>
  <c r="D6339" i="106" s="1"/>
  <c r="B6913" i="106"/>
  <c r="D6913" i="106" s="1"/>
  <c r="B2958" i="106"/>
  <c r="D2958" i="106" s="1"/>
  <c r="F166" i="34"/>
  <c r="B7809" i="106"/>
  <c r="D7809" i="106" s="1"/>
  <c r="B6759" i="106"/>
  <c r="D6759" i="106" s="1"/>
  <c r="F20" i="34"/>
  <c r="B5568" i="106"/>
  <c r="D5568" i="106" s="1"/>
  <c r="B5104" i="106"/>
  <c r="D5104" i="106" s="1"/>
  <c r="B6649" i="106"/>
  <c r="D6649" i="106" s="1"/>
  <c r="F155" i="5"/>
  <c r="B5618" i="106" s="1"/>
  <c r="D5618" i="106" s="1"/>
  <c r="B5615" i="106"/>
  <c r="D5615" i="106" s="1"/>
  <c r="B4418" i="106"/>
  <c r="D4418" i="106" s="1"/>
  <c r="F164" i="34"/>
  <c r="B5351" i="106"/>
  <c r="D5351" i="106" s="1"/>
  <c r="B891" i="106"/>
  <c r="D891" i="106" s="1"/>
  <c r="H12" i="5"/>
  <c r="B5871" i="106"/>
  <c r="D5871" i="106" s="1"/>
  <c r="B9" i="7"/>
  <c r="B796" i="106"/>
  <c r="D796" i="106" s="1"/>
  <c r="D65" i="29"/>
  <c r="B803" i="106" s="1"/>
  <c r="D803" i="106" s="1"/>
  <c r="E65" i="29"/>
  <c r="B861" i="106" s="1"/>
  <c r="D861" i="106" s="1"/>
  <c r="B854" i="106"/>
  <c r="D854" i="106" s="1"/>
  <c r="B5555" i="106"/>
  <c r="D5555" i="106" s="1"/>
  <c r="B6825" i="106"/>
  <c r="D6825" i="106" s="1"/>
  <c r="F156" i="34"/>
  <c r="B3080" i="106"/>
  <c r="D3080" i="106" s="1"/>
  <c r="B7044" i="106"/>
  <c r="D7044" i="106" s="1"/>
  <c r="B1431" i="106"/>
  <c r="D1431" i="106" s="1"/>
  <c r="K266" i="29"/>
  <c r="B1495" i="106" s="1"/>
  <c r="D1495" i="106" s="1"/>
  <c r="B7069" i="106"/>
  <c r="D7069" i="106" s="1"/>
  <c r="K207" i="29"/>
  <c r="B7070" i="106" s="1"/>
  <c r="D7070" i="106" s="1"/>
  <c r="B6359" i="106"/>
  <c r="D6359" i="106" s="1"/>
  <c r="B4795" i="106"/>
  <c r="D4795" i="106" s="1"/>
  <c r="B1420" i="106"/>
  <c r="D1420" i="106" s="1"/>
  <c r="K242" i="29"/>
  <c r="B1484" i="106" s="1"/>
  <c r="D1484" i="106" s="1"/>
  <c r="K69" i="29"/>
  <c r="E35" i="108" s="1"/>
  <c r="B748" i="106"/>
  <c r="D748" i="106" s="1"/>
  <c r="B7152" i="106"/>
  <c r="D7152" i="106" s="1"/>
  <c r="B4448" i="106"/>
  <c r="D4448" i="106" s="1"/>
  <c r="B7210" i="106"/>
  <c r="D7210" i="106" s="1"/>
  <c r="K338" i="29"/>
  <c r="B7211" i="106" s="1"/>
  <c r="D7211" i="106" s="1"/>
  <c r="B1426" i="106"/>
  <c r="D1426" i="106" s="1"/>
  <c r="K260" i="29"/>
  <c r="B1490" i="106" s="1"/>
  <c r="D1490" i="106" s="1"/>
  <c r="B5134" i="106"/>
  <c r="D5134" i="106" s="1"/>
  <c r="B2996" i="106"/>
  <c r="D2996" i="106" s="1"/>
  <c r="B6356" i="106"/>
  <c r="D6356" i="106" s="1"/>
  <c r="B6633" i="106"/>
  <c r="D6633" i="106" s="1"/>
  <c r="B1419" i="106"/>
  <c r="D1419" i="106" s="1"/>
  <c r="K241" i="29"/>
  <c r="B1483" i="106" s="1"/>
  <c r="D1483" i="106" s="1"/>
  <c r="B6698" i="106"/>
  <c r="D6698" i="106" s="1"/>
  <c r="B6791" i="106"/>
  <c r="D6791" i="106" s="1"/>
  <c r="B5757" i="106"/>
  <c r="D5757" i="106" s="1"/>
  <c r="B3085" i="106"/>
  <c r="D3085" i="106" s="1"/>
  <c r="J33" i="29"/>
  <c r="B6903" i="106" s="1"/>
  <c r="D6903" i="106" s="1"/>
  <c r="B6845" i="106"/>
  <c r="D6845" i="106" s="1"/>
  <c r="H169" i="5"/>
  <c r="B5899" i="106" s="1"/>
  <c r="D5899" i="106" s="1"/>
  <c r="B6371" i="106"/>
  <c r="D6371" i="106" s="1"/>
  <c r="B6309" i="106"/>
  <c r="D6309" i="106" s="1"/>
  <c r="B7150" i="106"/>
  <c r="D7150" i="106" s="1"/>
  <c r="B5692" i="106"/>
  <c r="D5692" i="106" s="1"/>
  <c r="B6348" i="106"/>
  <c r="D6348" i="106" s="1"/>
  <c r="B3634" i="106"/>
  <c r="D3634" i="106" s="1"/>
  <c r="B6260" i="106"/>
  <c r="D6260" i="106" s="1"/>
  <c r="B3551" i="106"/>
  <c r="D3551" i="106" s="1"/>
  <c r="B6785" i="106"/>
  <c r="D6785" i="106" s="1"/>
  <c r="B7260" i="106"/>
  <c r="D7260" i="106" s="1"/>
  <c r="B1037" i="106"/>
  <c r="D1037" i="106" s="1"/>
  <c r="B716" i="106"/>
  <c r="D716" i="106" s="1"/>
  <c r="K12" i="29"/>
  <c r="K108" i="5"/>
  <c r="B5999" i="106" s="1"/>
  <c r="D5999" i="106" s="1"/>
  <c r="B5996" i="106"/>
  <c r="D5996" i="106" s="1"/>
  <c r="B7182" i="106"/>
  <c r="D7182" i="106" s="1"/>
  <c r="B6989" i="106"/>
  <c r="D6989" i="106" s="1"/>
  <c r="K89" i="29"/>
  <c r="B6990" i="106" s="1"/>
  <c r="D6990" i="106" s="1"/>
  <c r="B6373" i="106"/>
  <c r="D6373" i="106" s="1"/>
  <c r="J169" i="5"/>
  <c r="B6396" i="106" s="1"/>
  <c r="D6396" i="106" s="1"/>
  <c r="B7731" i="106"/>
  <c r="D7731" i="106" s="1"/>
  <c r="B6794" i="106"/>
  <c r="D6794" i="106" s="1"/>
  <c r="B5785" i="106"/>
  <c r="D5785" i="106" s="1"/>
  <c r="G188" i="5"/>
  <c r="F32" i="34"/>
  <c r="B5459" i="106"/>
  <c r="D5459" i="106" s="1"/>
  <c r="B6920" i="106"/>
  <c r="D6920" i="106" s="1"/>
  <c r="B5354" i="106"/>
  <c r="D5354" i="106" s="1"/>
  <c r="B7049" i="106"/>
  <c r="D7049" i="106" s="1"/>
  <c r="K148" i="29"/>
  <c r="B7050" i="106" s="1"/>
  <c r="D7050" i="106" s="1"/>
  <c r="B7655" i="106"/>
  <c r="D7655" i="106" s="1"/>
  <c r="B6143" i="106"/>
  <c r="D6143" i="106" s="1"/>
  <c r="F26" i="34"/>
  <c r="B5577" i="106"/>
  <c r="D5577" i="106" s="1"/>
  <c r="F167" i="34"/>
  <c r="B7813" i="106"/>
  <c r="D7813" i="106" s="1"/>
  <c r="K5" i="29"/>
  <c r="C33" i="29"/>
  <c r="B720" i="106" s="1"/>
  <c r="D720" i="106" s="1"/>
  <c r="B705" i="106"/>
  <c r="D705" i="106" s="1"/>
  <c r="B7768" i="106"/>
  <c r="D7768" i="106" s="1"/>
  <c r="B6878" i="106"/>
  <c r="D6878" i="106" s="1"/>
  <c r="K21" i="29"/>
  <c r="B7166" i="106"/>
  <c r="D7166" i="106" s="1"/>
  <c r="B7124" i="106"/>
  <c r="D7124" i="106" s="1"/>
  <c r="I330" i="29"/>
  <c r="B6090" i="106"/>
  <c r="D6090" i="106" s="1"/>
  <c r="B5922" i="106"/>
  <c r="D5922" i="106" s="1"/>
  <c r="B6657" i="106"/>
  <c r="D6657" i="106" s="1"/>
  <c r="B6830" i="106"/>
  <c r="D6830" i="106" s="1"/>
  <c r="B5" i="7"/>
  <c r="D12" i="5"/>
  <c r="B5328" i="106"/>
  <c r="D5328" i="106" s="1"/>
  <c r="B3534" i="106"/>
  <c r="D3534" i="106" s="1"/>
  <c r="B741" i="106"/>
  <c r="D741" i="106" s="1"/>
  <c r="K62" i="29"/>
  <c r="B651" i="106"/>
  <c r="D651" i="106" s="1"/>
  <c r="B7261" i="106"/>
  <c r="I13" i="3"/>
  <c r="B2888" i="106" s="1"/>
  <c r="D2888" i="106" s="1"/>
  <c r="B2880" i="106"/>
  <c r="D2880" i="106" s="1"/>
  <c r="I34" i="3"/>
  <c r="B2910" i="106" s="1"/>
  <c r="D2910" i="106" s="1"/>
  <c r="B6139" i="106"/>
  <c r="D6139" i="106" s="1"/>
  <c r="B1537" i="106"/>
  <c r="D1537" i="106" s="1"/>
  <c r="F303" i="29"/>
  <c r="B5426" i="106"/>
  <c r="D5426" i="106" s="1"/>
  <c r="D188" i="5"/>
  <c r="B184" i="106"/>
  <c r="D184" i="106" s="1"/>
  <c r="K7" i="29"/>
  <c r="B6727" i="106"/>
  <c r="D6727" i="106" s="1"/>
  <c r="B5076" i="106"/>
  <c r="D5076" i="106" s="1"/>
  <c r="B5082" i="106"/>
  <c r="D5082" i="106" s="1"/>
  <c r="B4806" i="106"/>
  <c r="D4806" i="106" s="1"/>
  <c r="B7728" i="106"/>
  <c r="D7728" i="106" s="1"/>
  <c r="B3368" i="106"/>
  <c r="D3368" i="106" s="1"/>
  <c r="B6910" i="106"/>
  <c r="D6910" i="106" s="1"/>
  <c r="B6932" i="106"/>
  <c r="D6932" i="106" s="1"/>
  <c r="K52" i="29"/>
  <c r="B6940" i="106" s="1"/>
  <c r="D6940" i="106" s="1"/>
  <c r="B119" i="106"/>
  <c r="D119" i="106" s="1"/>
  <c r="B5625" i="106"/>
  <c r="D5625" i="106" s="1"/>
  <c r="B937" i="106"/>
  <c r="D937" i="106" s="1"/>
  <c r="G33" i="29"/>
  <c r="B952" i="106" s="1"/>
  <c r="D952" i="106" s="1"/>
  <c r="K290" i="29"/>
  <c r="B2845" i="106" s="1"/>
  <c r="D2845" i="106" s="1"/>
  <c r="B2843" i="106"/>
  <c r="D2843" i="106" s="1"/>
  <c r="B6966" i="106"/>
  <c r="D6966" i="106" s="1"/>
  <c r="B6793" i="106"/>
  <c r="D6793" i="106" s="1"/>
  <c r="F152" i="34"/>
  <c r="B5584" i="106"/>
  <c r="D5584" i="106" s="1"/>
  <c r="C75" i="5"/>
  <c r="B6031" i="106"/>
  <c r="D6031" i="106" s="1"/>
  <c r="B5464" i="106"/>
  <c r="D5464" i="106" s="1"/>
  <c r="B5336" i="106"/>
  <c r="D5336" i="106" s="1"/>
  <c r="B907" i="106"/>
  <c r="D907" i="106" s="1"/>
  <c r="B743" i="106"/>
  <c r="D743" i="106" s="1"/>
  <c r="K64" i="29"/>
  <c r="B5091" i="106"/>
  <c r="D5091" i="106" s="1"/>
  <c r="B858" i="106"/>
  <c r="D858" i="106" s="1"/>
  <c r="B6947" i="106"/>
  <c r="D6947" i="106" s="1"/>
  <c r="B6953" i="106"/>
  <c r="D6953" i="106" s="1"/>
  <c r="B1406" i="106"/>
  <c r="D1406" i="106" s="1"/>
  <c r="K221" i="29"/>
  <c r="K356" i="29"/>
  <c r="B1048" i="106"/>
  <c r="D1048" i="106" s="1"/>
  <c r="H110" i="29"/>
  <c r="K105" i="29"/>
  <c r="B6232" i="106"/>
  <c r="D6232" i="106" s="1"/>
  <c r="B6975" i="106"/>
  <c r="D6975" i="106" s="1"/>
  <c r="F23" i="34"/>
  <c r="B5571" i="106"/>
  <c r="D5571" i="106" s="1"/>
  <c r="B5126" i="106"/>
  <c r="D5126" i="106" s="1"/>
  <c r="C122" i="5"/>
  <c r="B6345" i="106"/>
  <c r="D6345" i="106" s="1"/>
  <c r="B7247" i="106"/>
  <c r="D7247" i="106" s="1"/>
  <c r="B72" i="106"/>
  <c r="D72" i="106" s="1"/>
  <c r="K190" i="29"/>
  <c r="B3009" i="106" s="1"/>
  <c r="D3009" i="106" s="1"/>
  <c r="B2991" i="106"/>
  <c r="D2991" i="106" s="1"/>
  <c r="B7187" i="106"/>
  <c r="D7187" i="106" s="1"/>
  <c r="B6801" i="106"/>
  <c r="D6801" i="106" s="1"/>
  <c r="F153" i="34"/>
  <c r="J76" i="4"/>
  <c r="B6261" i="106" s="1"/>
  <c r="D6261" i="106" s="1"/>
  <c r="B6239" i="106"/>
  <c r="D6239" i="106" s="1"/>
  <c r="B6374" i="106"/>
  <c r="D6374" i="106" s="1"/>
  <c r="K169" i="5"/>
  <c r="B5000" i="106" s="1"/>
  <c r="D5000" i="106" s="1"/>
  <c r="F161" i="34"/>
  <c r="B4415" i="106"/>
  <c r="D4415" i="106" s="1"/>
  <c r="B6362" i="106"/>
  <c r="D6362" i="106" s="1"/>
  <c r="D252" i="5"/>
  <c r="B6834" i="106" s="1"/>
  <c r="D6834" i="106" s="1"/>
  <c r="B6615" i="106"/>
  <c r="D6615" i="106" s="1"/>
  <c r="J122" i="5"/>
  <c r="B6357" i="106" s="1"/>
  <c r="D6357" i="106" s="1"/>
  <c r="B6353" i="106"/>
  <c r="D6353" i="106" s="1"/>
  <c r="B7040" i="106"/>
  <c r="D7040" i="106" s="1"/>
  <c r="B5431" i="106"/>
  <c r="D5431" i="106" s="1"/>
  <c r="D204" i="5"/>
  <c r="B5444" i="106" s="1"/>
  <c r="D5444" i="106" s="1"/>
  <c r="K235" i="29"/>
  <c r="B1478" i="106" s="1"/>
  <c r="D1478" i="106" s="1"/>
  <c r="B1414" i="106"/>
  <c r="D1414" i="106" s="1"/>
  <c r="B88" i="106"/>
  <c r="D88" i="106" s="1"/>
  <c r="B1243" i="106"/>
  <c r="D1243" i="106" s="1"/>
  <c r="F127" i="29"/>
  <c r="B5529" i="106"/>
  <c r="D5529" i="106" s="1"/>
  <c r="B6631" i="106"/>
  <c r="D6631" i="106" s="1"/>
  <c r="B955" i="106"/>
  <c r="D955" i="106" s="1"/>
  <c r="B6647" i="106"/>
  <c r="D6647" i="106" s="1"/>
  <c r="B1248" i="106"/>
  <c r="D1248" i="106" s="1"/>
  <c r="K136" i="29"/>
  <c r="B2988" i="106" s="1"/>
  <c r="D2988" i="106" s="1"/>
  <c r="B4201" i="106"/>
  <c r="D4201" i="106" s="1"/>
  <c r="D217" i="5"/>
  <c r="B5470" i="106" s="1"/>
  <c r="D5470" i="106" s="1"/>
  <c r="B5458" i="106"/>
  <c r="D5458" i="106" s="1"/>
  <c r="F31" i="34"/>
  <c r="B6364" i="106"/>
  <c r="D6364" i="106" s="1"/>
  <c r="B4345" i="106"/>
  <c r="D4345" i="106" s="1"/>
  <c r="B917" i="106"/>
  <c r="D917" i="106" s="1"/>
  <c r="B1413" i="106"/>
  <c r="D1413" i="106" s="1"/>
  <c r="K234" i="29"/>
  <c r="B1477" i="106" s="1"/>
  <c r="D1477" i="106" s="1"/>
  <c r="H303" i="29"/>
  <c r="B1549" i="106"/>
  <c r="D1549" i="106" s="1"/>
  <c r="B6849" i="106"/>
  <c r="D6849" i="106" s="1"/>
  <c r="B971" i="106"/>
  <c r="D971" i="106" s="1"/>
  <c r="B6161" i="106"/>
  <c r="D6161" i="106" s="1"/>
  <c r="F114" i="5"/>
  <c r="B5589" i="106"/>
  <c r="D5589" i="106" s="1"/>
  <c r="B1036" i="106"/>
  <c r="D1036" i="106" s="1"/>
  <c r="H72" i="29"/>
  <c r="B1043" i="106" s="1"/>
  <c r="D1043" i="106" s="1"/>
  <c r="B6403" i="106"/>
  <c r="D6403" i="106" s="1"/>
  <c r="K264" i="29"/>
  <c r="B1493" i="106" s="1"/>
  <c r="D1493" i="106" s="1"/>
  <c r="B1429" i="106"/>
  <c r="D1429" i="106" s="1"/>
  <c r="B6296" i="106"/>
  <c r="D6296" i="106" s="1"/>
  <c r="B1008" i="106"/>
  <c r="D1008" i="106" s="1"/>
  <c r="F112" i="34"/>
  <c r="B5181" i="106"/>
  <c r="D5181" i="106" s="1"/>
  <c r="K122" i="5"/>
  <c r="B6000" i="106"/>
  <c r="D6000" i="106" s="1"/>
  <c r="B5463" i="106"/>
  <c r="D5463" i="106" s="1"/>
  <c r="B7036" i="106"/>
  <c r="D7036" i="106" s="1"/>
  <c r="B899" i="106"/>
  <c r="D899" i="106" s="1"/>
  <c r="B6653" i="106"/>
  <c r="D6653" i="106" s="1"/>
  <c r="B6736" i="106"/>
  <c r="D6736" i="106" s="1"/>
  <c r="B1261" i="106"/>
  <c r="D1261" i="106" s="1"/>
  <c r="B6922" i="106"/>
  <c r="D6922" i="106" s="1"/>
  <c r="B7781" i="106"/>
  <c r="D7781" i="106" s="1"/>
  <c r="K159" i="29"/>
  <c r="B7782" i="106" s="1"/>
  <c r="D7782" i="106" s="1"/>
  <c r="B3253" i="106"/>
  <c r="D3253" i="106" s="1"/>
  <c r="B6095" i="106"/>
  <c r="D6095" i="106" s="1"/>
  <c r="B1018" i="106"/>
  <c r="D1018" i="106" s="1"/>
  <c r="H47" i="29"/>
  <c r="B1021" i="106" s="1"/>
  <c r="D1021" i="106" s="1"/>
  <c r="B788" i="106"/>
  <c r="D788" i="106" s="1"/>
  <c r="F109" i="34"/>
  <c r="B4351" i="106"/>
  <c r="D4351" i="106" s="1"/>
  <c r="K233" i="29"/>
  <c r="B1476" i="106" s="1"/>
  <c r="D1476" i="106" s="1"/>
  <c r="B1412" i="106"/>
  <c r="D1412" i="106" s="1"/>
  <c r="B1307" i="106"/>
  <c r="D1307" i="106" s="1"/>
  <c r="E172" i="29"/>
  <c r="B1308" i="106" s="1"/>
  <c r="D1308" i="106" s="1"/>
  <c r="K171" i="29"/>
  <c r="B1330" i="106" s="1"/>
  <c r="D1330" i="106" s="1"/>
  <c r="B325" i="106"/>
  <c r="D325" i="106" s="1"/>
  <c r="B6149" i="106"/>
  <c r="D6149" i="106" s="1"/>
  <c r="B6768" i="106"/>
  <c r="D6768" i="106" s="1"/>
  <c r="B6896" i="106"/>
  <c r="D6896" i="106" s="1"/>
  <c r="K30" i="29"/>
  <c r="B717" i="106"/>
  <c r="D717" i="106" s="1"/>
  <c r="K13" i="29"/>
  <c r="B1105" i="106" s="1"/>
  <c r="D1105" i="106" s="1"/>
  <c r="B897" i="106"/>
  <c r="D897" i="106" s="1"/>
  <c r="B1039" i="106"/>
  <c r="D1039" i="106" s="1"/>
  <c r="B6389" i="106"/>
  <c r="D6389" i="106" s="1"/>
  <c r="B983" i="106"/>
  <c r="D983" i="106" s="1"/>
  <c r="B5101" i="106"/>
  <c r="D5101" i="106" s="1"/>
  <c r="B6866" i="106"/>
  <c r="D6866" i="106" s="1"/>
  <c r="D76" i="4"/>
  <c r="B3237" i="106" s="1"/>
  <c r="D3237" i="106" s="1"/>
  <c r="B5023" i="106"/>
  <c r="D5023" i="106" s="1"/>
  <c r="B7046" i="106"/>
  <c r="D7046" i="106" s="1"/>
  <c r="B5722" i="106"/>
  <c r="D5722" i="106" s="1"/>
  <c r="B6264" i="106"/>
  <c r="D6264" i="106" s="1"/>
  <c r="B3531" i="106"/>
  <c r="D3531" i="106" s="1"/>
  <c r="B6715" i="106"/>
  <c r="D6715" i="106" s="1"/>
  <c r="B6629" i="106"/>
  <c r="D6629" i="106" s="1"/>
  <c r="B3079" i="106"/>
  <c r="D3079" i="106" s="1"/>
  <c r="B6737" i="106"/>
  <c r="D6737" i="106" s="1"/>
  <c r="F146" i="34"/>
  <c r="B867" i="106"/>
  <c r="D867" i="106" s="1"/>
  <c r="B962" i="106"/>
  <c r="D962" i="106" s="1"/>
  <c r="B832" i="106"/>
  <c r="D832" i="106" s="1"/>
  <c r="B1224" i="106"/>
  <c r="D1224" i="106" s="1"/>
  <c r="K128" i="29"/>
  <c r="B1280" i="106" s="1"/>
  <c r="D1280" i="106" s="1"/>
  <c r="B6666" i="106"/>
  <c r="D6666" i="106" s="1"/>
  <c r="F139" i="34"/>
  <c r="B5512" i="106"/>
  <c r="D5512" i="106" s="1"/>
  <c r="B7061" i="106"/>
  <c r="D7061" i="106" s="1"/>
  <c r="H175" i="5"/>
  <c r="B4950" i="106" s="1"/>
  <c r="D4950" i="106" s="1"/>
  <c r="B4365" i="106"/>
  <c r="D4365" i="106" s="1"/>
  <c r="B6661" i="106"/>
  <c r="D6661" i="106" s="1"/>
  <c r="B898" i="106"/>
  <c r="D898" i="106" s="1"/>
  <c r="B5014" i="106"/>
  <c r="D5014" i="106" s="1"/>
  <c r="B6086" i="106"/>
  <c r="D6086" i="106" s="1"/>
  <c r="B3641" i="106"/>
  <c r="D3641" i="106" s="1"/>
  <c r="C198" i="5"/>
  <c r="B6401" i="106"/>
  <c r="D6401" i="106" s="1"/>
  <c r="B814" i="106"/>
  <c r="D814" i="106" s="1"/>
  <c r="B2848" i="106"/>
  <c r="D2848" i="106" s="1"/>
  <c r="H76" i="4"/>
  <c r="B3298" i="106" s="1"/>
  <c r="D3298" i="106" s="1"/>
  <c r="B872" i="106"/>
  <c r="D872" i="106" s="1"/>
  <c r="B4865" i="106"/>
  <c r="D4865" i="106" s="1"/>
  <c r="B7707" i="106"/>
  <c r="D7707" i="106" s="1"/>
  <c r="B812" i="106"/>
  <c r="D812" i="106" s="1"/>
  <c r="B777" i="106"/>
  <c r="D777" i="106" s="1"/>
  <c r="B5401" i="106"/>
  <c r="D5401" i="106" s="1"/>
  <c r="D270" i="29"/>
  <c r="B1436" i="106" s="1"/>
  <c r="D1436" i="106" s="1"/>
  <c r="K263" i="29"/>
  <c r="B1428" i="106"/>
  <c r="D1428" i="106" s="1"/>
  <c r="B7672" i="106"/>
  <c r="D7672" i="106" s="1"/>
  <c r="D229" i="29"/>
  <c r="B1410" i="106" s="1"/>
  <c r="D1410" i="106" s="1"/>
  <c r="B3387" i="106"/>
  <c r="D3387" i="106" s="1"/>
  <c r="K215" i="29"/>
  <c r="B4813" i="106"/>
  <c r="D4813" i="106" s="1"/>
  <c r="B1418" i="106"/>
  <c r="D1418" i="106" s="1"/>
  <c r="K240" i="29"/>
  <c r="D243" i="29"/>
  <c r="B1421" i="106" s="1"/>
  <c r="D1421" i="106" s="1"/>
  <c r="B7699" i="106"/>
  <c r="D7699" i="106" s="1"/>
  <c r="H13" i="3"/>
  <c r="B203" i="106" s="1"/>
  <c r="D203" i="106" s="1"/>
  <c r="B3519" i="106"/>
  <c r="D3519" i="106" s="1"/>
  <c r="B865" i="106"/>
  <c r="D865" i="106" s="1"/>
  <c r="B5987" i="106"/>
  <c r="D5987" i="106" s="1"/>
  <c r="E174" i="29"/>
  <c r="B1309" i="106" s="1"/>
  <c r="D1309" i="106" s="1"/>
  <c r="G35" i="108"/>
  <c r="F46" i="34"/>
  <c r="G34" i="108"/>
  <c r="B1135" i="106"/>
  <c r="D1135" i="106" s="1"/>
  <c r="E34" i="108"/>
  <c r="B7784" i="106"/>
  <c r="D7784" i="106" s="1"/>
  <c r="K285" i="29"/>
  <c r="B2724" i="106"/>
  <c r="D2724" i="106" s="1"/>
  <c r="E13" i="145"/>
  <c r="G13" i="145" s="1"/>
  <c r="D26" i="108"/>
  <c r="F26" i="108"/>
  <c r="F42" i="34"/>
  <c r="B6883" i="106"/>
  <c r="D6883" i="106" s="1"/>
  <c r="F68" i="34"/>
  <c r="B7076" i="106"/>
  <c r="D7076" i="106" s="1"/>
  <c r="G33" i="108"/>
  <c r="E33" i="108"/>
  <c r="B3658" i="106"/>
  <c r="D3658" i="106" s="1"/>
  <c r="H365" i="29"/>
  <c r="B7242" i="106" s="1"/>
  <c r="D7242" i="106" s="1"/>
  <c r="F36" i="34"/>
  <c r="B6858" i="106"/>
  <c r="D6858" i="106" s="1"/>
  <c r="B7078" i="106"/>
  <c r="D7078" i="106" s="1"/>
  <c r="B4396" i="106"/>
  <c r="D4396" i="106" s="1"/>
  <c r="B1511" i="106"/>
  <c r="D1511" i="106" s="1"/>
  <c r="F72" i="34"/>
  <c r="G14" i="4"/>
  <c r="B2609" i="106" s="1"/>
  <c r="D2609" i="106" s="1"/>
  <c r="F50" i="34"/>
  <c r="B6899" i="106"/>
  <c r="D6899" i="106" s="1"/>
  <c r="H139" i="29"/>
  <c r="B2091" i="106"/>
  <c r="D2091" i="106" s="1"/>
  <c r="D37" i="108"/>
  <c r="B4211" i="106"/>
  <c r="D4211" i="106" s="1"/>
  <c r="F64" i="34"/>
  <c r="B1127" i="106"/>
  <c r="D1127" i="106" s="1"/>
  <c r="D36" i="108"/>
  <c r="B1137" i="106"/>
  <c r="D1137" i="106" s="1"/>
  <c r="F36" i="108"/>
  <c r="D11" i="7"/>
  <c r="B1768" i="106" s="1"/>
  <c r="D1768" i="106" s="1"/>
  <c r="B1752" i="106"/>
  <c r="D1752" i="106" s="1"/>
  <c r="F67" i="34"/>
  <c r="B7074" i="106"/>
  <c r="D7074" i="106" s="1"/>
  <c r="F44" i="34"/>
  <c r="B6887" i="106"/>
  <c r="D6887" i="106" s="1"/>
  <c r="A7262" i="106"/>
  <c r="D7261" i="106"/>
  <c r="B1473" i="106" l="1"/>
  <c r="D1473" i="106" s="1"/>
  <c r="K204" i="29"/>
  <c r="B4202" i="106"/>
  <c r="D4202" i="106" s="1"/>
  <c r="F52" i="34"/>
  <c r="F37" i="108"/>
  <c r="B1136" i="106"/>
  <c r="D1136" i="106" s="1"/>
  <c r="B1126" i="106"/>
  <c r="D1126" i="106" s="1"/>
  <c r="D74" i="29"/>
  <c r="D114" i="29" s="1"/>
  <c r="B815" i="106" s="1"/>
  <c r="D815" i="106" s="1"/>
  <c r="F124" i="34"/>
  <c r="J170" i="5"/>
  <c r="K109" i="5"/>
  <c r="F109" i="5"/>
  <c r="B5588" i="106" s="1"/>
  <c r="D5588" i="106" s="1"/>
  <c r="B2081" i="106"/>
  <c r="D2081" i="106" s="1"/>
  <c r="H102" i="29"/>
  <c r="B1047" i="106" s="1"/>
  <c r="D1047" i="106" s="1"/>
  <c r="B1452" i="106"/>
  <c r="D1452" i="106" s="1"/>
  <c r="H295" i="29"/>
  <c r="B1454" i="106" s="1"/>
  <c r="D1454" i="106" s="1"/>
  <c r="B7103" i="106"/>
  <c r="D7103" i="106" s="1"/>
  <c r="I312" i="29"/>
  <c r="B7116" i="106" s="1"/>
  <c r="D7116" i="106" s="1"/>
  <c r="E28" i="108"/>
  <c r="B1128" i="106"/>
  <c r="D1128" i="106" s="1"/>
  <c r="F28" i="108"/>
  <c r="B727" i="106"/>
  <c r="D727" i="106" s="1"/>
  <c r="C74" i="29"/>
  <c r="B6301" i="106"/>
  <c r="D6301" i="106" s="1"/>
  <c r="J109" i="5"/>
  <c r="B6881" i="106"/>
  <c r="D6881" i="106" s="1"/>
  <c r="F41" i="34"/>
  <c r="B7104" i="106"/>
  <c r="D7104" i="106" s="1"/>
  <c r="J312" i="29"/>
  <c r="B7117" i="106" s="1"/>
  <c r="D7117" i="106" s="1"/>
  <c r="I210" i="29"/>
  <c r="B7063" i="106"/>
  <c r="D7063" i="106" s="1"/>
  <c r="B1523" i="106"/>
  <c r="D1523" i="106" s="1"/>
  <c r="C312" i="29"/>
  <c r="B1524" i="106" s="1"/>
  <c r="D1524" i="106" s="1"/>
  <c r="D342" i="29"/>
  <c r="B7217" i="106" s="1"/>
  <c r="D7217" i="106" s="1"/>
  <c r="B7200" i="106"/>
  <c r="D7200" i="106" s="1"/>
  <c r="B6995" i="106"/>
  <c r="D6995" i="106" s="1"/>
  <c r="K92" i="29"/>
  <c r="B2089" i="106" s="1"/>
  <c r="D2089" i="106" s="1"/>
  <c r="B1748" i="106"/>
  <c r="D1748" i="106" s="1"/>
  <c r="D8" i="7"/>
  <c r="B1764" i="106" s="1"/>
  <c r="D1764" i="106" s="1"/>
  <c r="F126" i="34"/>
  <c r="B5260" i="106"/>
  <c r="D5260" i="106" s="1"/>
  <c r="B5513" i="106"/>
  <c r="D5513" i="106" s="1"/>
  <c r="E109" i="5"/>
  <c r="F15" i="145"/>
  <c r="F19" i="145" s="1"/>
  <c r="B1274" i="106"/>
  <c r="D1274" i="106" s="1"/>
  <c r="E26" i="108"/>
  <c r="G26" i="108"/>
  <c r="K127" i="29"/>
  <c r="K261" i="29"/>
  <c r="B1491" i="106" s="1"/>
  <c r="D1491" i="106" s="1"/>
  <c r="B1489" i="106"/>
  <c r="D1489" i="106" s="1"/>
  <c r="J129" i="29"/>
  <c r="B7034" i="106"/>
  <c r="D7034" i="106" s="1"/>
  <c r="J77" i="4"/>
  <c r="B6262" i="106" s="1"/>
  <c r="D6262" i="106" s="1"/>
  <c r="B6238" i="106"/>
  <c r="D6238" i="106" s="1"/>
  <c r="H74" i="29"/>
  <c r="B1017" i="106"/>
  <c r="D1017" i="106" s="1"/>
  <c r="F266" i="5"/>
  <c r="B4397" i="106"/>
  <c r="D4397" i="106" s="1"/>
  <c r="B1121" i="106"/>
  <c r="D1121" i="106" s="1"/>
  <c r="E12" i="145"/>
  <c r="K57" i="29"/>
  <c r="B1123" i="106"/>
  <c r="D1123" i="106" s="1"/>
  <c r="H44" i="4"/>
  <c r="D18" i="7"/>
  <c r="B4105" i="106" s="1"/>
  <c r="D4105" i="106" s="1"/>
  <c r="B4103" i="106"/>
  <c r="D4103" i="106" s="1"/>
  <c r="B7792" i="106"/>
  <c r="D7792" i="106" s="1"/>
  <c r="K357" i="29"/>
  <c r="K15" i="4" s="1"/>
  <c r="B3573" i="106" s="1"/>
  <c r="D3573" i="106" s="1"/>
  <c r="B3673" i="106"/>
  <c r="D3673" i="106" s="1"/>
  <c r="B7064" i="106"/>
  <c r="D7064" i="106" s="1"/>
  <c r="J210" i="29"/>
  <c r="B7072" i="106" s="1"/>
  <c r="D7072" i="106" s="1"/>
  <c r="B7107" i="106"/>
  <c r="D7107" i="106" s="1"/>
  <c r="K310" i="29"/>
  <c r="B6839" i="106"/>
  <c r="D6839" i="106" s="1"/>
  <c r="J266" i="5"/>
  <c r="J74" i="29"/>
  <c r="B6917" i="106"/>
  <c r="D6917" i="106" s="1"/>
  <c r="B3007" i="106"/>
  <c r="D3007" i="106" s="1"/>
  <c r="K194" i="29"/>
  <c r="B1256" i="106"/>
  <c r="D1256" i="106" s="1"/>
  <c r="G129" i="29"/>
  <c r="B1753" i="106"/>
  <c r="D1753" i="106" s="1"/>
  <c r="D12" i="7"/>
  <c r="B1769" i="106" s="1"/>
  <c r="D1769" i="106" s="1"/>
  <c r="B5246" i="106"/>
  <c r="D5246" i="106" s="1"/>
  <c r="F125" i="34"/>
  <c r="B1751" i="106"/>
  <c r="D1751" i="106" s="1"/>
  <c r="D9" i="7"/>
  <c r="B1767" i="106" s="1"/>
  <c r="D1767" i="106" s="1"/>
  <c r="F27" i="108"/>
  <c r="F41" i="108" s="1"/>
  <c r="G43" i="108" s="1"/>
  <c r="F5" i="4"/>
  <c r="B3408" i="106" s="1"/>
  <c r="D3408" i="106" s="1"/>
  <c r="B5592" i="106"/>
  <c r="D5592" i="106" s="1"/>
  <c r="B5132" i="106"/>
  <c r="D5132" i="106" s="1"/>
  <c r="F31" i="108"/>
  <c r="D31" i="108"/>
  <c r="D41" i="108" s="1"/>
  <c r="E43" i="108" s="1"/>
  <c r="E16" i="145"/>
  <c r="G16" i="145" s="1"/>
  <c r="B1131" i="106"/>
  <c r="D1131" i="106" s="1"/>
  <c r="B7205" i="106"/>
  <c r="D7205" i="106" s="1"/>
  <c r="I342" i="29"/>
  <c r="B7222" i="106" s="1"/>
  <c r="D7222" i="106" s="1"/>
  <c r="B1093" i="106"/>
  <c r="D1093" i="106" s="1"/>
  <c r="K33" i="29"/>
  <c r="B1104" i="106"/>
  <c r="D1104" i="106" s="1"/>
  <c r="F37" i="34"/>
  <c r="B5614" i="106"/>
  <c r="D5614" i="106" s="1"/>
  <c r="F169" i="5"/>
  <c r="E129" i="29"/>
  <c r="B1239" i="106"/>
  <c r="D1239" i="106" s="1"/>
  <c r="D13" i="7"/>
  <c r="B3726" i="106" s="1"/>
  <c r="D3726" i="106" s="1"/>
  <c r="B3725" i="106"/>
  <c r="D3725" i="106" s="1"/>
  <c r="K76" i="4"/>
  <c r="B3702" i="106"/>
  <c r="D3702" i="106" s="1"/>
  <c r="B1754" i="106"/>
  <c r="D1754" i="106" s="1"/>
  <c r="D14" i="7"/>
  <c r="B1770" i="106" s="1"/>
  <c r="D1770" i="106" s="1"/>
  <c r="B4411" i="106"/>
  <c r="D4411" i="106" s="1"/>
  <c r="F127" i="34"/>
  <c r="B4363" i="106"/>
  <c r="D4363" i="106" s="1"/>
  <c r="I170" i="5"/>
  <c r="K303" i="29"/>
  <c r="B1555" i="106"/>
  <c r="D1555" i="106" s="1"/>
  <c r="F39" i="34"/>
  <c r="B6877" i="106"/>
  <c r="D6877" i="106" s="1"/>
  <c r="H149" i="29"/>
  <c r="B1272" i="106" s="1"/>
  <c r="D1272" i="106" s="1"/>
  <c r="B7047" i="106"/>
  <c r="D7047" i="106" s="1"/>
  <c r="H172" i="29"/>
  <c r="B1314" i="106"/>
  <c r="D1314" i="106" s="1"/>
  <c r="G39" i="108"/>
  <c r="D14" i="4"/>
  <c r="B2570" i="106" s="1"/>
  <c r="D2570" i="106" s="1"/>
  <c r="F56" i="34"/>
  <c r="B2805" i="106"/>
  <c r="D2805" i="106" s="1"/>
  <c r="B1377" i="106"/>
  <c r="D1377" i="106" s="1"/>
  <c r="K184" i="29"/>
  <c r="B6901" i="106"/>
  <c r="D6901" i="106" s="1"/>
  <c r="F51" i="34"/>
  <c r="H352" i="29"/>
  <c r="B3654" i="106"/>
  <c r="D3654" i="106" s="1"/>
  <c r="B1130" i="106"/>
  <c r="D1130" i="106" s="1"/>
  <c r="E30" i="108"/>
  <c r="G30" i="108"/>
  <c r="B6916" i="106"/>
  <c r="D6916" i="106" s="1"/>
  <c r="I74" i="29"/>
  <c r="B6840" i="106"/>
  <c r="D6840" i="106" s="1"/>
  <c r="K266" i="5"/>
  <c r="K257" i="29"/>
  <c r="B1488" i="106" s="1"/>
  <c r="D1488" i="106" s="1"/>
  <c r="B1486" i="106"/>
  <c r="D1486" i="106" s="1"/>
  <c r="B5161" i="106"/>
  <c r="D5161" i="106" s="1"/>
  <c r="F106" i="34"/>
  <c r="B7776" i="106"/>
  <c r="D7776" i="106" s="1"/>
  <c r="K137" i="29"/>
  <c r="D3583" i="106"/>
  <c r="B3635" i="106"/>
  <c r="D3635" i="106" s="1"/>
  <c r="E342" i="29"/>
  <c r="B7218" i="106" s="1"/>
  <c r="D7218" i="106" s="1"/>
  <c r="B7201" i="106"/>
  <c r="D7201" i="106" s="1"/>
  <c r="E352" i="29"/>
  <c r="E367" i="29" s="1"/>
  <c r="B3636" i="106" s="1"/>
  <c r="D3636" i="106" s="1"/>
  <c r="B3633" i="106"/>
  <c r="D3633" i="106" s="1"/>
  <c r="D10" i="7"/>
  <c r="B1765" i="106" s="1"/>
  <c r="D1765" i="106" s="1"/>
  <c r="B1749" i="106"/>
  <c r="D1749" i="106" s="1"/>
  <c r="B7209" i="106"/>
  <c r="D7209" i="106" s="1"/>
  <c r="K340" i="29"/>
  <c r="B1142" i="106"/>
  <c r="D1142" i="106" s="1"/>
  <c r="E38" i="108"/>
  <c r="G38" i="108"/>
  <c r="B1120" i="106"/>
  <c r="D1120" i="106" s="1"/>
  <c r="K53" i="29"/>
  <c r="B3626" i="106"/>
  <c r="D3626" i="106" s="1"/>
  <c r="D352" i="29"/>
  <c r="E44" i="4"/>
  <c r="K350" i="29"/>
  <c r="B3668" i="106"/>
  <c r="D3668" i="106" s="1"/>
  <c r="F123" i="34"/>
  <c r="B5232" i="106"/>
  <c r="D5232" i="106" s="1"/>
  <c r="B7206" i="106"/>
  <c r="D7206" i="106" s="1"/>
  <c r="J342" i="29"/>
  <c r="B7223" i="106" s="1"/>
  <c r="D7223" i="106" s="1"/>
  <c r="E196" i="29"/>
  <c r="B2823" i="106"/>
  <c r="D2823" i="106" s="1"/>
  <c r="I352" i="29"/>
  <c r="B7230" i="106"/>
  <c r="D7230" i="106" s="1"/>
  <c r="B901" i="106"/>
  <c r="D901" i="106" s="1"/>
  <c r="F74" i="29"/>
  <c r="B7203" i="106"/>
  <c r="D7203" i="106" s="1"/>
  <c r="G342" i="29"/>
  <c r="B7220" i="106" s="1"/>
  <c r="D7220" i="106" s="1"/>
  <c r="B1482" i="106"/>
  <c r="D1482" i="106" s="1"/>
  <c r="K243" i="29"/>
  <c r="B1485" i="106" s="1"/>
  <c r="D1485" i="106" s="1"/>
  <c r="B1492" i="106"/>
  <c r="D1492" i="106" s="1"/>
  <c r="K270" i="29"/>
  <c r="B1500" i="106" s="1"/>
  <c r="D1500" i="106" s="1"/>
  <c r="B1053" i="106"/>
  <c r="D1053" i="106" s="1"/>
  <c r="H112" i="29"/>
  <c r="B7018" i="106" s="1"/>
  <c r="D7018" i="106" s="1"/>
  <c r="B1745" i="106"/>
  <c r="D1745" i="106" s="1"/>
  <c r="D5" i="7"/>
  <c r="B1761" i="106" s="1"/>
  <c r="D1761" i="106" s="1"/>
  <c r="B6879" i="106"/>
  <c r="D6879" i="106" s="1"/>
  <c r="F40" i="34"/>
  <c r="B6838" i="106"/>
  <c r="D6838" i="106" s="1"/>
  <c r="H266" i="5"/>
  <c r="B6893" i="106"/>
  <c r="D6893" i="106" s="1"/>
  <c r="F47" i="34"/>
  <c r="K160" i="29"/>
  <c r="D266" i="5"/>
  <c r="K238" i="29"/>
  <c r="B3390" i="106"/>
  <c r="D3390" i="106" s="1"/>
  <c r="K229" i="29"/>
  <c r="K170" i="5"/>
  <c r="B6006" i="106"/>
  <c r="D6006" i="106" s="1"/>
  <c r="B1553" i="106"/>
  <c r="D1553" i="106" s="1"/>
  <c r="H312" i="29"/>
  <c r="B1554" i="106" s="1"/>
  <c r="D1554" i="106" s="1"/>
  <c r="F129" i="29"/>
  <c r="B1247" i="106"/>
  <c r="D1247" i="106" s="1"/>
  <c r="G266" i="5"/>
  <c r="B4398" i="106"/>
  <c r="D4398" i="106" s="1"/>
  <c r="B5873" i="106"/>
  <c r="D5873" i="106" s="1"/>
  <c r="H109" i="5"/>
  <c r="B959" i="106"/>
  <c r="D959" i="106" s="1"/>
  <c r="G74" i="29"/>
  <c r="B1512" i="106"/>
  <c r="D1512" i="106" s="1"/>
  <c r="K293" i="29"/>
  <c r="B3258" i="106"/>
  <c r="D3258" i="106" s="1"/>
  <c r="G77" i="4"/>
  <c r="B3261" i="106" s="1"/>
  <c r="D3261" i="106" s="1"/>
  <c r="B7126" i="106"/>
  <c r="D7126" i="106" s="1"/>
  <c r="K330" i="29"/>
  <c r="B7231" i="106"/>
  <c r="D7231" i="106" s="1"/>
  <c r="J352" i="29"/>
  <c r="H196" i="29"/>
  <c r="B2828" i="106"/>
  <c r="D2828" i="106" s="1"/>
  <c r="B1107" i="106"/>
  <c r="D1107" i="106" s="1"/>
  <c r="F38" i="34"/>
  <c r="B1501" i="106"/>
  <c r="D1501" i="106" s="1"/>
  <c r="K277" i="29"/>
  <c r="B1508" i="106" s="1"/>
  <c r="D1508" i="106" s="1"/>
  <c r="B4395" i="106"/>
  <c r="D4395" i="106" s="1"/>
  <c r="C266" i="5"/>
  <c r="B5534" i="106"/>
  <c r="D5534" i="106" s="1"/>
  <c r="E170" i="5"/>
  <c r="F48" i="34"/>
  <c r="B6895" i="106"/>
  <c r="D6895" i="106" s="1"/>
  <c r="D16" i="7"/>
  <c r="B3447" i="106" s="1"/>
  <c r="D3447" i="106" s="1"/>
  <c r="B3446" i="106"/>
  <c r="D3446" i="106" s="1"/>
  <c r="D17" i="7"/>
  <c r="B4104" i="106" s="1"/>
  <c r="D4104" i="106" s="1"/>
  <c r="B4102" i="106"/>
  <c r="D4102" i="106" s="1"/>
  <c r="K100" i="29"/>
  <c r="B7013" i="106" s="1"/>
  <c r="D7013" i="106" s="1"/>
  <c r="B6997" i="106"/>
  <c r="D6997" i="106" s="1"/>
  <c r="G109" i="5"/>
  <c r="B5725" i="106"/>
  <c r="D5725" i="106" s="1"/>
  <c r="B5102" i="106"/>
  <c r="D5102" i="106" s="1"/>
  <c r="F95" i="34"/>
  <c r="B1746" i="106"/>
  <c r="D1746" i="106" s="1"/>
  <c r="D6" i="7"/>
  <c r="B1762" i="106" s="1"/>
  <c r="D1762" i="106" s="1"/>
  <c r="D5" i="4"/>
  <c r="B3406" i="106" s="1"/>
  <c r="D3406" i="106" s="1"/>
  <c r="B5360" i="106"/>
  <c r="D5360" i="106" s="1"/>
  <c r="B3235" i="106"/>
  <c r="D3235" i="106" s="1"/>
  <c r="D77" i="4"/>
  <c r="B3238" i="106" s="1"/>
  <c r="D3238" i="106" s="1"/>
  <c r="B5893" i="106"/>
  <c r="D5893" i="106" s="1"/>
  <c r="H170" i="5"/>
  <c r="B2789" i="106"/>
  <c r="D2789" i="106" s="1"/>
  <c r="E102" i="29"/>
  <c r="B2790" i="106" s="1"/>
  <c r="D2790" i="106" s="1"/>
  <c r="B3229" i="106"/>
  <c r="D3229" i="106" s="1"/>
  <c r="C77" i="4"/>
  <c r="B3232" i="106" s="1"/>
  <c r="D3232" i="106" s="1"/>
  <c r="B1116" i="106"/>
  <c r="D1116" i="106" s="1"/>
  <c r="K47" i="29"/>
  <c r="B5741" i="106"/>
  <c r="D5741" i="106" s="1"/>
  <c r="G5" i="4"/>
  <c r="B3409" i="106" s="1"/>
  <c r="D3409" i="106" s="1"/>
  <c r="B3252" i="106"/>
  <c r="D3252" i="106" s="1"/>
  <c r="F77" i="4"/>
  <c r="B3255" i="106" s="1"/>
  <c r="D3255" i="106" s="1"/>
  <c r="B6889" i="106"/>
  <c r="D6889" i="106" s="1"/>
  <c r="F45" i="34"/>
  <c r="F105" i="34"/>
  <c r="B5147" i="106"/>
  <c r="D5147" i="106" s="1"/>
  <c r="B6853" i="106"/>
  <c r="D6853" i="106" s="1"/>
  <c r="F35" i="34"/>
  <c r="E74" i="29"/>
  <c r="B843" i="106"/>
  <c r="D843" i="106" s="1"/>
  <c r="C109" i="5"/>
  <c r="B5066" i="106"/>
  <c r="D5066" i="106" s="1"/>
  <c r="B7204" i="106"/>
  <c r="D7204" i="106" s="1"/>
  <c r="H342" i="29"/>
  <c r="B7221" i="106" s="1"/>
  <c r="D7221" i="106" s="1"/>
  <c r="D279" i="29"/>
  <c r="B1417" i="106"/>
  <c r="D1417" i="106" s="1"/>
  <c r="B3640" i="106"/>
  <c r="D3640" i="106" s="1"/>
  <c r="F352" i="29"/>
  <c r="B3619" i="106"/>
  <c r="D3619" i="106" s="1"/>
  <c r="C352" i="29"/>
  <c r="B1535" i="106"/>
  <c r="D1535" i="106" s="1"/>
  <c r="E312" i="29"/>
  <c r="B1536" i="106" s="1"/>
  <c r="D1536" i="106" s="1"/>
  <c r="B7794" i="106"/>
  <c r="D7794" i="106" s="1"/>
  <c r="B3674" i="106"/>
  <c r="D3674" i="106" s="1"/>
  <c r="G169" i="5"/>
  <c r="B5752" i="106"/>
  <c r="D5752" i="106" s="1"/>
  <c r="K334" i="29"/>
  <c r="B7786" i="106"/>
  <c r="D7786" i="106" s="1"/>
  <c r="B6897" i="106"/>
  <c r="D6897" i="106" s="1"/>
  <c r="F49" i="34"/>
  <c r="K110" i="29"/>
  <c r="B1146" i="106"/>
  <c r="D1146" i="106" s="1"/>
  <c r="B1470" i="106"/>
  <c r="D1470" i="106" s="1"/>
  <c r="F70" i="34"/>
  <c r="F94" i="34"/>
  <c r="B5096" i="106"/>
  <c r="D5096" i="106" s="1"/>
  <c r="B6848" i="106"/>
  <c r="D6848" i="106" s="1"/>
  <c r="F34" i="34"/>
  <c r="F312" i="29"/>
  <c r="B1542" i="106" s="1"/>
  <c r="D1542" i="106" s="1"/>
  <c r="B1541" i="106"/>
  <c r="D1541" i="106" s="1"/>
  <c r="E29" i="108"/>
  <c r="B1129" i="106"/>
  <c r="D1129" i="106" s="1"/>
  <c r="G29" i="108"/>
  <c r="D109" i="5"/>
  <c r="B5334" i="106"/>
  <c r="D5334" i="106" s="1"/>
  <c r="B1345" i="106"/>
  <c r="D1345" i="106" s="1"/>
  <c r="D210" i="29"/>
  <c r="B1346" i="106" s="1"/>
  <c r="D1346" i="106" s="1"/>
  <c r="C342" i="29"/>
  <c r="B7216" i="106" s="1"/>
  <c r="D7216" i="106" s="1"/>
  <c r="B7199" i="106"/>
  <c r="D7199" i="106" s="1"/>
  <c r="K72" i="29"/>
  <c r="B1141" i="106" s="1"/>
  <c r="D1141" i="106" s="1"/>
  <c r="E17" i="145"/>
  <c r="G17" i="145" s="1"/>
  <c r="B1134" i="106"/>
  <c r="D1134" i="106" s="1"/>
  <c r="B7033" i="106"/>
  <c r="D7033" i="106" s="1"/>
  <c r="I129" i="29"/>
  <c r="K42" i="29"/>
  <c r="B1109" i="106"/>
  <c r="D1109" i="106" s="1"/>
  <c r="C169" i="5"/>
  <c r="B5214" i="106" s="1"/>
  <c r="D5214" i="106" s="1"/>
  <c r="B5165" i="106"/>
  <c r="D5165" i="106" s="1"/>
  <c r="F107" i="34"/>
  <c r="D169" i="5"/>
  <c r="B5369" i="106"/>
  <c r="D5369" i="106" s="1"/>
  <c r="F132" i="34"/>
  <c r="B5304" i="106"/>
  <c r="D5304" i="106" s="1"/>
  <c r="F157" i="34"/>
  <c r="B5125" i="106"/>
  <c r="D5125" i="106" s="1"/>
  <c r="C5" i="4"/>
  <c r="B3405" i="106" s="1"/>
  <c r="D3405" i="106" s="1"/>
  <c r="B3647" i="106"/>
  <c r="D3647" i="106" s="1"/>
  <c r="G352" i="29"/>
  <c r="B1144" i="106"/>
  <c r="D1144" i="106" s="1"/>
  <c r="E39" i="108"/>
  <c r="B3675" i="106"/>
  <c r="D3675" i="106" s="1"/>
  <c r="K362" i="29"/>
  <c r="B1283" i="106"/>
  <c r="D1283" i="106" s="1"/>
  <c r="K147" i="29"/>
  <c r="B6885" i="106"/>
  <c r="D6885" i="106" s="1"/>
  <c r="F43" i="34"/>
  <c r="K168" i="29"/>
  <c r="B1324" i="106"/>
  <c r="D1324" i="106" s="1"/>
  <c r="K65" i="29"/>
  <c r="B1133" i="106" s="1"/>
  <c r="D1133" i="106" s="1"/>
  <c r="E266" i="5"/>
  <c r="B6835" i="106"/>
  <c r="D6835" i="106" s="1"/>
  <c r="B1223" i="106"/>
  <c r="D1223" i="106" s="1"/>
  <c r="C129" i="29"/>
  <c r="B1231" i="106"/>
  <c r="D1231" i="106" s="1"/>
  <c r="D129" i="29"/>
  <c r="B7202" i="106"/>
  <c r="D7202" i="106" s="1"/>
  <c r="F342" i="29"/>
  <c r="B7219" i="106" s="1"/>
  <c r="D7219" i="106" s="1"/>
  <c r="B1339" i="106"/>
  <c r="D1339" i="106" s="1"/>
  <c r="C210" i="29"/>
  <c r="B1340" i="106" s="1"/>
  <c r="D1340" i="106" s="1"/>
  <c r="B2973" i="106"/>
  <c r="D2973" i="106" s="1"/>
  <c r="K84" i="29"/>
  <c r="I76" i="4"/>
  <c r="B2105" i="106"/>
  <c r="D2105" i="106" s="1"/>
  <c r="F210" i="29"/>
  <c r="B1359" i="106" s="1"/>
  <c r="D1359" i="106" s="1"/>
  <c r="B1358" i="106"/>
  <c r="D1358" i="106" s="1"/>
  <c r="B1529" i="106"/>
  <c r="D1529" i="106" s="1"/>
  <c r="D312" i="29"/>
  <c r="B1530" i="106" s="1"/>
  <c r="D1530" i="106" s="1"/>
  <c r="B4373" i="106"/>
  <c r="D4373" i="106" s="1"/>
  <c r="I267" i="5"/>
  <c r="B1747" i="106"/>
  <c r="D1747" i="106" s="1"/>
  <c r="D7" i="7"/>
  <c r="B1763" i="106" s="1"/>
  <c r="D1763" i="106" s="1"/>
  <c r="H208" i="29"/>
  <c r="B1375" i="106" s="1"/>
  <c r="D1375" i="106" s="1"/>
  <c r="B4156" i="106"/>
  <c r="D4156" i="106" s="1"/>
  <c r="B1264" i="106"/>
  <c r="D1264" i="106" s="1"/>
  <c r="H129" i="29"/>
  <c r="B1266" i="106" s="1"/>
  <c r="D1266" i="106" s="1"/>
  <c r="B5918" i="106"/>
  <c r="D5918" i="106" s="1"/>
  <c r="I109" i="5"/>
  <c r="B1756" i="106"/>
  <c r="D1756" i="106" s="1"/>
  <c r="D15" i="7"/>
  <c r="B1772" i="106" s="1"/>
  <c r="D1772" i="106" s="1"/>
  <c r="B1364" i="106"/>
  <c r="D1364" i="106" s="1"/>
  <c r="G210" i="29"/>
  <c r="E14" i="145"/>
  <c r="G14" i="145" s="1"/>
  <c r="B1124" i="106"/>
  <c r="D1124" i="106" s="1"/>
  <c r="B1744" i="106"/>
  <c r="D1744" i="106" s="1"/>
  <c r="D4" i="7"/>
  <c r="B19" i="7"/>
  <c r="B1759" i="106" s="1"/>
  <c r="D1759" i="106" s="1"/>
  <c r="B5178" i="106"/>
  <c r="D5178" i="106" s="1"/>
  <c r="F111" i="34"/>
  <c r="B1547" i="106"/>
  <c r="D1547" i="106" s="1"/>
  <c r="G312" i="29"/>
  <c r="B1548" i="106" s="1"/>
  <c r="D1548" i="106" s="1"/>
  <c r="F4" i="4"/>
  <c r="B2591" i="106" s="1"/>
  <c r="D2591" i="106" s="1"/>
  <c r="F60" i="34"/>
  <c r="E15" i="4"/>
  <c r="B2633" i="106" s="1"/>
  <c r="D2633" i="106" s="1"/>
  <c r="B1267" i="106"/>
  <c r="D1267" i="106" s="1"/>
  <c r="J6" i="4"/>
  <c r="B6221" i="106" s="1"/>
  <c r="D6221" i="106" s="1"/>
  <c r="B6397" i="106"/>
  <c r="D6397" i="106" s="1"/>
  <c r="B6028" i="106"/>
  <c r="D6028" i="106" s="1"/>
  <c r="K4" i="4"/>
  <c r="B3569" i="106" s="1"/>
  <c r="D3569" i="106" s="1"/>
  <c r="B3724" i="106"/>
  <c r="D3724" i="106" s="1"/>
  <c r="F73" i="34"/>
  <c r="G15" i="4"/>
  <c r="B6032" i="106" s="1"/>
  <c r="D6032" i="106" s="1"/>
  <c r="A7263" i="106"/>
  <c r="D7262" i="106"/>
  <c r="K208" i="29" l="1"/>
  <c r="B4157" i="106"/>
  <c r="D4157" i="106" s="1"/>
  <c r="B813" i="106"/>
  <c r="D813" i="106" s="1"/>
  <c r="H151" i="29"/>
  <c r="B1273" i="106" s="1"/>
  <c r="D1273" i="106" s="1"/>
  <c r="B1760" i="106"/>
  <c r="D1760" i="106" s="1"/>
  <c r="D19" i="7"/>
  <c r="B1775" i="106" s="1"/>
  <c r="D1775" i="106" s="1"/>
  <c r="B1365" i="106"/>
  <c r="D1365" i="106" s="1"/>
  <c r="F65" i="34"/>
  <c r="I268" i="5"/>
  <c r="B5946" i="106" s="1"/>
  <c r="D5946" i="106" s="1"/>
  <c r="B6026" i="106"/>
  <c r="D6026" i="106" s="1"/>
  <c r="I4" i="4"/>
  <c r="I7" i="4"/>
  <c r="B4444" i="106" s="1"/>
  <c r="D4444" i="106" s="1"/>
  <c r="B4435" i="106"/>
  <c r="D4435" i="106" s="1"/>
  <c r="B2088" i="106"/>
  <c r="D2088" i="106" s="1"/>
  <c r="K102" i="29"/>
  <c r="C151" i="29"/>
  <c r="B1226" i="106" s="1"/>
  <c r="D1226" i="106" s="1"/>
  <c r="B1225" i="106"/>
  <c r="D1225" i="106" s="1"/>
  <c r="E21" i="108"/>
  <c r="G21" i="108"/>
  <c r="K74" i="29"/>
  <c r="B1115" i="106"/>
  <c r="D1115" i="106" s="1"/>
  <c r="F174" i="34"/>
  <c r="K112" i="29"/>
  <c r="B1151" i="106"/>
  <c r="D1151" i="106" s="1"/>
  <c r="B7790" i="106"/>
  <c r="D7790" i="106" s="1"/>
  <c r="J15" i="4"/>
  <c r="B7796" i="106" s="1"/>
  <c r="D7796" i="106" s="1"/>
  <c r="F74" i="34"/>
  <c r="B1446" i="106"/>
  <c r="D1446" i="106" s="1"/>
  <c r="D295" i="29"/>
  <c r="B1448" i="106" s="1"/>
  <c r="D1448" i="106" s="1"/>
  <c r="B5121" i="106"/>
  <c r="D5121" i="106" s="1"/>
  <c r="C4" i="4"/>
  <c r="B2551" i="106" s="1"/>
  <c r="D2551" i="106" s="1"/>
  <c r="H210" i="29"/>
  <c r="B1376" i="106" s="1"/>
  <c r="D1376" i="106" s="1"/>
  <c r="B2830" i="106"/>
  <c r="D2830" i="106" s="1"/>
  <c r="B1249" i="106"/>
  <c r="D1249" i="106" s="1"/>
  <c r="F151" i="29"/>
  <c r="B1250" i="106" s="1"/>
  <c r="D1250" i="106" s="1"/>
  <c r="B6014" i="106"/>
  <c r="D6014" i="106" s="1"/>
  <c r="K6" i="4"/>
  <c r="B3570" i="106" s="1"/>
  <c r="D3570" i="106" s="1"/>
  <c r="D267" i="5"/>
  <c r="B5501" i="106"/>
  <c r="D5501" i="106" s="1"/>
  <c r="B4441" i="106"/>
  <c r="D4441" i="106" s="1"/>
  <c r="H267" i="5"/>
  <c r="B1352" i="106"/>
  <c r="D1352" i="106" s="1"/>
  <c r="E210" i="29"/>
  <c r="B1353" i="106" s="1"/>
  <c r="D1353" i="106" s="1"/>
  <c r="D367" i="29"/>
  <c r="B3629" i="106" s="1"/>
  <c r="D3629" i="106" s="1"/>
  <c r="B3628" i="106"/>
  <c r="D3628" i="106" s="1"/>
  <c r="B4216" i="106"/>
  <c r="D4216" i="106" s="1"/>
  <c r="I6" i="4"/>
  <c r="B5011" i="106" s="1"/>
  <c r="D5011" i="106" s="1"/>
  <c r="B5644" i="106"/>
  <c r="D5644" i="106" s="1"/>
  <c r="F170" i="5"/>
  <c r="B1108" i="106"/>
  <c r="D1108" i="106" s="1"/>
  <c r="C12" i="4"/>
  <c r="B2556" i="106" s="1"/>
  <c r="D2556" i="106" s="1"/>
  <c r="E19" i="108"/>
  <c r="G19" i="108"/>
  <c r="C170" i="5"/>
  <c r="B6978" i="106"/>
  <c r="D6978" i="106" s="1"/>
  <c r="J114" i="29"/>
  <c r="B7021" i="106" s="1"/>
  <c r="D7021" i="106" s="1"/>
  <c r="B3296" i="106"/>
  <c r="D3296" i="106" s="1"/>
  <c r="H77" i="4"/>
  <c r="B3299" i="106" s="1"/>
  <c r="D3299" i="106" s="1"/>
  <c r="H114" i="29"/>
  <c r="B1054" i="106" s="1"/>
  <c r="D1054" i="106" s="1"/>
  <c r="B1045" i="106"/>
  <c r="D1045" i="106" s="1"/>
  <c r="B7038" i="106"/>
  <c r="D7038" i="106" s="1"/>
  <c r="J151" i="29"/>
  <c r="B7052" i="106" s="1"/>
  <c r="D7052" i="106" s="1"/>
  <c r="E4" i="4"/>
  <c r="B5527" i="106"/>
  <c r="D5527" i="106" s="1"/>
  <c r="B755" i="106"/>
  <c r="D755" i="106" s="1"/>
  <c r="C114" i="29"/>
  <c r="B757" i="106" s="1"/>
  <c r="D757" i="106" s="1"/>
  <c r="K149" i="29"/>
  <c r="B7048" i="106"/>
  <c r="D7048" i="106" s="1"/>
  <c r="I151" i="29"/>
  <c r="B7037" i="106"/>
  <c r="D7037" i="106" s="1"/>
  <c r="F367" i="29"/>
  <c r="B3643" i="106" s="1"/>
  <c r="D3643" i="106" s="1"/>
  <c r="B3642" i="106"/>
  <c r="D3642" i="106" s="1"/>
  <c r="B1119" i="106"/>
  <c r="D1119" i="106" s="1"/>
  <c r="G22" i="108"/>
  <c r="E22" i="108"/>
  <c r="B5320" i="106"/>
  <c r="D5320" i="106" s="1"/>
  <c r="C267" i="5"/>
  <c r="J367" i="29"/>
  <c r="B7245" i="106" s="1"/>
  <c r="D7245" i="106" s="1"/>
  <c r="B7235" i="106"/>
  <c r="D7235" i="106" s="1"/>
  <c r="B987" i="106"/>
  <c r="D987" i="106" s="1"/>
  <c r="G114" i="29"/>
  <c r="B1474" i="106"/>
  <c r="D1474" i="106" s="1"/>
  <c r="G12" i="4"/>
  <c r="B2607" i="106" s="1"/>
  <c r="D2607" i="106" s="1"/>
  <c r="K139" i="29"/>
  <c r="B2093" i="106"/>
  <c r="D2093" i="106" s="1"/>
  <c r="B6977" i="106"/>
  <c r="D6977" i="106" s="1"/>
  <c r="I114" i="29"/>
  <c r="H174" i="29"/>
  <c r="B1318" i="106" s="1"/>
  <c r="D1318" i="106" s="1"/>
  <c r="B1317" i="106"/>
  <c r="D1317" i="106" s="1"/>
  <c r="B2837" i="106"/>
  <c r="D2837" i="106" s="1"/>
  <c r="K196" i="29"/>
  <c r="K210" i="29" s="1"/>
  <c r="B7041" i="106"/>
  <c r="D7041" i="106" s="1"/>
  <c r="J267" i="5"/>
  <c r="F66" i="34"/>
  <c r="B7071" i="106"/>
  <c r="D7071" i="106" s="1"/>
  <c r="D151" i="29"/>
  <c r="B1234" i="106" s="1"/>
  <c r="D1234" i="106" s="1"/>
  <c r="B1233" i="106"/>
  <c r="D1233" i="106" s="1"/>
  <c r="B1328" i="106"/>
  <c r="D1328" i="106" s="1"/>
  <c r="K172" i="29"/>
  <c r="G170" i="5"/>
  <c r="B5770" i="106"/>
  <c r="D5770" i="106" s="1"/>
  <c r="E114" i="29"/>
  <c r="B873" i="106" s="1"/>
  <c r="D873" i="106" s="1"/>
  <c r="B871" i="106"/>
  <c r="D871" i="106" s="1"/>
  <c r="G4" i="4"/>
  <c r="B2603" i="106" s="1"/>
  <c r="D2603" i="106" s="1"/>
  <c r="B6024" i="106"/>
  <c r="D6024" i="106" s="1"/>
  <c r="B5863" i="106"/>
  <c r="D5863" i="106" s="1"/>
  <c r="G267" i="5"/>
  <c r="B7234" i="106"/>
  <c r="D7234" i="106" s="1"/>
  <c r="I367" i="29"/>
  <c r="B7244" i="106" s="1"/>
  <c r="D7244" i="106" s="1"/>
  <c r="K352" i="29"/>
  <c r="B3670" i="106"/>
  <c r="D3670" i="106" s="1"/>
  <c r="G23" i="108"/>
  <c r="E23" i="108"/>
  <c r="B1122" i="106"/>
  <c r="D1122" i="106" s="1"/>
  <c r="F13" i="4"/>
  <c r="B2596" i="106" s="1"/>
  <c r="D2596" i="106" s="1"/>
  <c r="B1381" i="106"/>
  <c r="D1381" i="106" s="1"/>
  <c r="G24" i="108"/>
  <c r="E24" i="108"/>
  <c r="B1125" i="106"/>
  <c r="D1125" i="106" s="1"/>
  <c r="F267" i="5"/>
  <c r="B5713" i="106"/>
  <c r="D5713" i="106" s="1"/>
  <c r="J4" i="4"/>
  <c r="B6220" i="106" s="1"/>
  <c r="D6220" i="106" s="1"/>
  <c r="B6352" i="106"/>
  <c r="D6352" i="106" s="1"/>
  <c r="B3318" i="106"/>
  <c r="D3318" i="106" s="1"/>
  <c r="I77" i="4"/>
  <c r="B3319" i="106" s="1"/>
  <c r="D3319" i="106" s="1"/>
  <c r="E267" i="5"/>
  <c r="B7747" i="106"/>
  <c r="D7747" i="106" s="1"/>
  <c r="B3676" i="106"/>
  <c r="D3676" i="106" s="1"/>
  <c r="K365" i="29"/>
  <c r="G367" i="29"/>
  <c r="B3650" i="106" s="1"/>
  <c r="D3650" i="106" s="1"/>
  <c r="B3649" i="106"/>
  <c r="D3649" i="106" s="1"/>
  <c r="B5412" i="106"/>
  <c r="D5412" i="106" s="1"/>
  <c r="D170" i="5"/>
  <c r="D4" i="4"/>
  <c r="B2564" i="106" s="1"/>
  <c r="D2564" i="106" s="1"/>
  <c r="B5356" i="106"/>
  <c r="D5356" i="106" s="1"/>
  <c r="C367" i="29"/>
  <c r="B3622" i="106" s="1"/>
  <c r="D3622" i="106" s="1"/>
  <c r="B3621" i="106"/>
  <c r="D3621" i="106" s="1"/>
  <c r="B5906" i="106"/>
  <c r="D5906" i="106" s="1"/>
  <c r="H6" i="4"/>
  <c r="B2656" i="106" s="1"/>
  <c r="D2656" i="106" s="1"/>
  <c r="E6" i="4"/>
  <c r="B2631" i="106" s="1"/>
  <c r="D2631" i="106" s="1"/>
  <c r="B5544" i="106"/>
  <c r="D5544" i="106" s="1"/>
  <c r="B7207" i="106"/>
  <c r="D7207" i="106" s="1"/>
  <c r="J13" i="4"/>
  <c r="K342" i="29"/>
  <c r="B1515" i="106"/>
  <c r="D1515" i="106" s="1"/>
  <c r="G16" i="4"/>
  <c r="B2611" i="106" s="1"/>
  <c r="D2611" i="106" s="1"/>
  <c r="B6025" i="106"/>
  <c r="D6025" i="106" s="1"/>
  <c r="H4" i="4"/>
  <c r="B2655" i="106" s="1"/>
  <c r="D2655" i="106" s="1"/>
  <c r="K279" i="29"/>
  <c r="B1481" i="106"/>
  <c r="D1481" i="106" s="1"/>
  <c r="F114" i="29"/>
  <c r="B931" i="106" s="1"/>
  <c r="D931" i="106" s="1"/>
  <c r="B929" i="106"/>
  <c r="D929" i="106" s="1"/>
  <c r="B3274" i="106"/>
  <c r="D3274" i="106" s="1"/>
  <c r="E77" i="4"/>
  <c r="B3277" i="106" s="1"/>
  <c r="D3277" i="106" s="1"/>
  <c r="J16" i="4"/>
  <c r="B6226" i="106" s="1"/>
  <c r="D6226" i="106" s="1"/>
  <c r="B7215" i="106"/>
  <c r="D7215" i="106" s="1"/>
  <c r="B4442" i="106"/>
  <c r="D4442" i="106" s="1"/>
  <c r="K267" i="5"/>
  <c r="B3656" i="106"/>
  <c r="D3656" i="106" s="1"/>
  <c r="H367" i="29"/>
  <c r="B3660" i="106" s="1"/>
  <c r="D3660" i="106" s="1"/>
  <c r="K312" i="29"/>
  <c r="B1560" i="106" s="1"/>
  <c r="D1560" i="106" s="1"/>
  <c r="B1559" i="106"/>
  <c r="D1559" i="106" s="1"/>
  <c r="H13" i="4"/>
  <c r="B3586" i="106"/>
  <c r="D3586" i="106" s="1"/>
  <c r="K77" i="4"/>
  <c r="B3587" i="106" s="1"/>
  <c r="D3587" i="106" s="1"/>
  <c r="E151" i="29"/>
  <c r="B1242" i="106" s="1"/>
  <c r="D1242" i="106" s="1"/>
  <c r="B1241" i="106"/>
  <c r="D1241" i="106" s="1"/>
  <c r="G151" i="29"/>
  <c r="B1258" i="106"/>
  <c r="D1258" i="106" s="1"/>
  <c r="H15" i="4"/>
  <c r="B2660" i="106" s="1"/>
  <c r="D2660" i="106" s="1"/>
  <c r="B2102" i="106"/>
  <c r="D2102" i="106" s="1"/>
  <c r="G12" i="145"/>
  <c r="E19" i="145"/>
  <c r="B1279" i="106"/>
  <c r="D1279" i="106" s="1"/>
  <c r="K129" i="29"/>
  <c r="G15" i="145"/>
  <c r="G19" i="145" s="1"/>
  <c r="J20" i="145" s="1"/>
  <c r="A7264" i="106"/>
  <c r="D7263" i="106"/>
  <c r="F16" i="4" l="1"/>
  <c r="B2599" i="106" s="1"/>
  <c r="D2599" i="106" s="1"/>
  <c r="B1387" i="106"/>
  <c r="D1387" i="106" s="1"/>
  <c r="K268" i="5"/>
  <c r="K7" i="4"/>
  <c r="B6022" i="106"/>
  <c r="D6022" i="106" s="1"/>
  <c r="E7" i="4"/>
  <c r="B4443" i="106" s="1"/>
  <c r="D4443" i="106" s="1"/>
  <c r="B4434" i="106"/>
  <c r="D4434" i="106" s="1"/>
  <c r="E268" i="5"/>
  <c r="B5869" i="106"/>
  <c r="D5869" i="106" s="1"/>
  <c r="G7" i="4"/>
  <c r="B2605" i="106" s="1"/>
  <c r="D2605" i="106" s="1"/>
  <c r="K174" i="29"/>
  <c r="E16" i="4"/>
  <c r="B1331" i="106"/>
  <c r="D1331" i="106" s="1"/>
  <c r="F63" i="34"/>
  <c r="F15" i="4"/>
  <c r="B1382" i="106"/>
  <c r="D1382" i="106" s="1"/>
  <c r="F55" i="34"/>
  <c r="F17" i="11"/>
  <c r="B7020" i="106"/>
  <c r="D7020" i="106" s="1"/>
  <c r="D16" i="4"/>
  <c r="B2572" i="106" s="1"/>
  <c r="D2572" i="106" s="1"/>
  <c r="B1287" i="106"/>
  <c r="D1287" i="106" s="1"/>
  <c r="B2630" i="106"/>
  <c r="D2630" i="106" s="1"/>
  <c r="B7019" i="106"/>
  <c r="D7019" i="106" s="1"/>
  <c r="C16" i="4"/>
  <c r="B2560" i="106" s="1"/>
  <c r="D2560" i="106" s="1"/>
  <c r="G41" i="108"/>
  <c r="G44" i="108" s="1"/>
  <c r="G45" i="108" s="1"/>
  <c r="F53" i="34"/>
  <c r="B1145" i="106"/>
  <c r="D1145" i="106" s="1"/>
  <c r="C15" i="4"/>
  <c r="B2559" i="106" s="1"/>
  <c r="D2559" i="106" s="1"/>
  <c r="B3225" i="106"/>
  <c r="D3225" i="106" s="1"/>
  <c r="I8" i="4"/>
  <c r="B1510" i="106"/>
  <c r="D1510" i="106" s="1"/>
  <c r="G13" i="4"/>
  <c r="K295" i="29"/>
  <c r="D6" i="4"/>
  <c r="D268" i="5"/>
  <c r="B5421" i="106"/>
  <c r="D5421" i="106" s="1"/>
  <c r="K16" i="4"/>
  <c r="B3574" i="106" s="1"/>
  <c r="D3574" i="106" s="1"/>
  <c r="B7243" i="106"/>
  <c r="D7243" i="106" s="1"/>
  <c r="K367" i="29"/>
  <c r="B3678" i="106" s="1"/>
  <c r="D3678" i="106" s="1"/>
  <c r="K13" i="4"/>
  <c r="B3672" i="106"/>
  <c r="D3672" i="106" s="1"/>
  <c r="C6" i="4"/>
  <c r="B5223" i="106"/>
  <c r="D5223" i="106" s="1"/>
  <c r="D7" i="4"/>
  <c r="B2567" i="106" s="1"/>
  <c r="D2567" i="106" s="1"/>
  <c r="B5507" i="106"/>
  <c r="D5507" i="106" s="1"/>
  <c r="B7224" i="106"/>
  <c r="D7224" i="106" s="1"/>
  <c r="F13" i="34"/>
  <c r="F7" i="4"/>
  <c r="B2594" i="106" s="1"/>
  <c r="D2594" i="106" s="1"/>
  <c r="B5719" i="106"/>
  <c r="D5719" i="106" s="1"/>
  <c r="B1388" i="106"/>
  <c r="D1388" i="106" s="1"/>
  <c r="F11" i="34"/>
  <c r="J268" i="5"/>
  <c r="J7" i="4"/>
  <c r="B7054" i="106"/>
  <c r="D7054" i="106" s="1"/>
  <c r="B989" i="106"/>
  <c r="D989" i="106" s="1"/>
  <c r="F54" i="34"/>
  <c r="C268" i="5"/>
  <c r="C7" i="4"/>
  <c r="B5326" i="106"/>
  <c r="D5326" i="106" s="1"/>
  <c r="B7051" i="106"/>
  <c r="D7051" i="106" s="1"/>
  <c r="F59" i="34"/>
  <c r="F6" i="4"/>
  <c r="F268" i="5"/>
  <c r="B5653" i="106"/>
  <c r="D5653" i="106" s="1"/>
  <c r="H268" i="5"/>
  <c r="H7" i="4"/>
  <c r="B5914" i="106"/>
  <c r="D5914" i="106" s="1"/>
  <c r="F58" i="34"/>
  <c r="B1259" i="106"/>
  <c r="D1259" i="106" s="1"/>
  <c r="D13" i="4"/>
  <c r="K151" i="29"/>
  <c r="B1281" i="106"/>
  <c r="D1281" i="106" s="1"/>
  <c r="H17" i="4"/>
  <c r="B2659" i="106"/>
  <c r="D2659" i="106" s="1"/>
  <c r="B7042" i="106"/>
  <c r="D7042" i="106" s="1"/>
  <c r="J17" i="4"/>
  <c r="G6" i="4"/>
  <c r="G268" i="5"/>
  <c r="B5778" i="106"/>
  <c r="D5778" i="106" s="1"/>
  <c r="F57" i="34"/>
  <c r="D15" i="4"/>
  <c r="B2571" i="106" s="1"/>
  <c r="D2571" i="106" s="1"/>
  <c r="B1282" i="106"/>
  <c r="D1282" i="106" s="1"/>
  <c r="E41" i="108"/>
  <c r="E44" i="108" s="1"/>
  <c r="E45" i="108" s="1"/>
  <c r="C13" i="4"/>
  <c r="B1143" i="106"/>
  <c r="D1143" i="106" s="1"/>
  <c r="K114" i="29"/>
  <c r="A7265" i="106"/>
  <c r="D7264" i="106"/>
  <c r="E8" i="4" l="1"/>
  <c r="G8" i="4"/>
  <c r="B2604" i="106"/>
  <c r="D2604" i="106" s="1"/>
  <c r="B2661" i="106"/>
  <c r="D2661" i="106" s="1"/>
  <c r="H19" i="4"/>
  <c r="B4141" i="106" s="1"/>
  <c r="D4141" i="106" s="1"/>
  <c r="K313" i="29"/>
  <c r="B1561" i="106" s="1"/>
  <c r="D1561" i="106" s="1"/>
  <c r="B5915" i="106"/>
  <c r="D5915" i="106" s="1"/>
  <c r="B5327" i="106"/>
  <c r="D5327" i="106" s="1"/>
  <c r="K115" i="29"/>
  <c r="B1153" i="106" s="1"/>
  <c r="D1153" i="106" s="1"/>
  <c r="J8" i="4"/>
  <c r="B6222" i="106"/>
  <c r="D6222" i="106" s="1"/>
  <c r="F12" i="34"/>
  <c r="B1517" i="106"/>
  <c r="D1517" i="106" s="1"/>
  <c r="I17" i="11"/>
  <c r="B7624" i="106"/>
  <c r="C17" i="4"/>
  <c r="B2557" i="106"/>
  <c r="D2557" i="106" s="1"/>
  <c r="J19" i="4"/>
  <c r="B6229" i="106" s="1"/>
  <c r="D6229" i="106" s="1"/>
  <c r="B6227" i="106"/>
  <c r="D6227" i="106" s="1"/>
  <c r="B7055" i="106"/>
  <c r="D7055" i="106" s="1"/>
  <c r="K343" i="29"/>
  <c r="B7225" i="106" s="1"/>
  <c r="D7225" i="106" s="1"/>
  <c r="K17" i="4"/>
  <c r="B3572" i="106"/>
  <c r="D3572" i="106" s="1"/>
  <c r="G17" i="4"/>
  <c r="B2608" i="106"/>
  <c r="D2608" i="106" s="1"/>
  <c r="F9" i="34"/>
  <c r="B1288" i="106"/>
  <c r="D1288" i="106" s="1"/>
  <c r="B5720" i="106"/>
  <c r="D5720" i="106" s="1"/>
  <c r="K211" i="29"/>
  <c r="B1389" i="106" s="1"/>
  <c r="D1389" i="106" s="1"/>
  <c r="K152" i="29"/>
  <c r="B1289" i="106" s="1"/>
  <c r="D1289" i="106" s="1"/>
  <c r="B5508" i="106"/>
  <c r="D5508" i="106" s="1"/>
  <c r="E17" i="4"/>
  <c r="E20" i="4" s="1"/>
  <c r="B2634" i="106"/>
  <c r="D2634" i="106" s="1"/>
  <c r="B5552" i="106"/>
  <c r="D5552" i="106" s="1"/>
  <c r="K175" i="29"/>
  <c r="B1333" i="106" s="1"/>
  <c r="D1333" i="106" s="1"/>
  <c r="B3718" i="106"/>
  <c r="D3718" i="106" s="1"/>
  <c r="K8" i="4"/>
  <c r="F8" i="34"/>
  <c r="B1152" i="106"/>
  <c r="D1152" i="106" s="1"/>
  <c r="B5870" i="106"/>
  <c r="D5870" i="106" s="1"/>
  <c r="K296" i="29"/>
  <c r="B1518" i="106" s="1"/>
  <c r="D1518" i="106" s="1"/>
  <c r="B2569" i="106"/>
  <c r="D2569" i="106" s="1"/>
  <c r="D17" i="4"/>
  <c r="H8" i="4"/>
  <c r="B2657" i="106"/>
  <c r="D2657" i="106" s="1"/>
  <c r="B2593" i="106"/>
  <c r="D2593" i="106" s="1"/>
  <c r="F8" i="4"/>
  <c r="D10" i="171"/>
  <c r="D19" i="171" s="1"/>
  <c r="D32" i="171" s="1"/>
  <c r="D49" i="171" s="1"/>
  <c r="B2554" i="106"/>
  <c r="D2554" i="106" s="1"/>
  <c r="B2553" i="106"/>
  <c r="D2553" i="106" s="1"/>
  <c r="C8" i="4"/>
  <c r="D8" i="4"/>
  <c r="B2566" i="106"/>
  <c r="D2566" i="106" s="1"/>
  <c r="B3226" i="106"/>
  <c r="D3226" i="106" s="1"/>
  <c r="I20" i="4"/>
  <c r="I10" i="4"/>
  <c r="B4128" i="106" s="1"/>
  <c r="D4128" i="106" s="1"/>
  <c r="E8" i="146"/>
  <c r="E10" i="146" s="1"/>
  <c r="F76" i="34"/>
  <c r="B2632" i="106"/>
  <c r="D2632" i="106" s="1"/>
  <c r="E10" i="4"/>
  <c r="B4124" i="106" s="1"/>
  <c r="D4124" i="106" s="1"/>
  <c r="B2598" i="106"/>
  <c r="D2598" i="106" s="1"/>
  <c r="F17" i="4"/>
  <c r="F10" i="34"/>
  <c r="B1332" i="106"/>
  <c r="D1332" i="106" s="1"/>
  <c r="B6023" i="106"/>
  <c r="D6023" i="106" s="1"/>
  <c r="K368" i="29"/>
  <c r="B3681" i="106" s="1"/>
  <c r="D3681" i="106" s="1"/>
  <c r="A7266" i="106"/>
  <c r="D7265" i="106"/>
  <c r="K10" i="4" l="1"/>
  <c r="B4130" i="106" s="1"/>
  <c r="D4130" i="106" s="1"/>
  <c r="K20" i="4"/>
  <c r="B3571" i="106"/>
  <c r="D3571" i="106" s="1"/>
  <c r="E78" i="4"/>
  <c r="B2636" i="106"/>
  <c r="D2636" i="106" s="1"/>
  <c r="B2568" i="106"/>
  <c r="D2568" i="106" s="1"/>
  <c r="D20" i="4"/>
  <c r="D10" i="4"/>
  <c r="B4123" i="106" s="1"/>
  <c r="D4123" i="106" s="1"/>
  <c r="C8" i="146"/>
  <c r="H20" i="4"/>
  <c r="H10" i="4"/>
  <c r="B4127" i="106" s="1"/>
  <c r="D4127" i="106" s="1"/>
  <c r="B2658" i="106"/>
  <c r="D2658" i="106" s="1"/>
  <c r="B2635" i="106"/>
  <c r="D2635" i="106" s="1"/>
  <c r="E19" i="4"/>
  <c r="B4138" i="106" s="1"/>
  <c r="D4138" i="106" s="1"/>
  <c r="G19" i="4"/>
  <c r="B4140" i="106" s="1"/>
  <c r="D4140" i="106" s="1"/>
  <c r="B2612" i="106"/>
  <c r="D2612" i="106" s="1"/>
  <c r="C19" i="4"/>
  <c r="B4136" i="106" s="1"/>
  <c r="D4136" i="106" s="1"/>
  <c r="H17" i="118"/>
  <c r="F16" i="37"/>
  <c r="B2561" i="106"/>
  <c r="D2561" i="106" s="1"/>
  <c r="B9" i="146"/>
  <c r="D9" i="146"/>
  <c r="F19" i="4"/>
  <c r="B4139" i="106" s="1"/>
  <c r="D4139" i="106" s="1"/>
  <c r="B2600" i="106"/>
  <c r="D2600" i="106" s="1"/>
  <c r="B3227" i="106"/>
  <c r="D3227" i="106" s="1"/>
  <c r="I78" i="4"/>
  <c r="C20" i="4"/>
  <c r="H13" i="118"/>
  <c r="D16" i="37"/>
  <c r="C10" i="4"/>
  <c r="B4122" i="106" s="1"/>
  <c r="D4122" i="106" s="1"/>
  <c r="B8" i="146"/>
  <c r="H18" i="118"/>
  <c r="B2555" i="106"/>
  <c r="D2555" i="106" s="1"/>
  <c r="F10" i="4"/>
  <c r="B4125" i="106" s="1"/>
  <c r="D4125" i="106" s="1"/>
  <c r="D8" i="146"/>
  <c r="B2595" i="106"/>
  <c r="D2595" i="106" s="1"/>
  <c r="F20" i="4"/>
  <c r="D19" i="4"/>
  <c r="B4137" i="106" s="1"/>
  <c r="D4137" i="106" s="1"/>
  <c r="C9" i="146"/>
  <c r="B2573" i="106"/>
  <c r="D2573" i="106" s="1"/>
  <c r="F14" i="34"/>
  <c r="F77" i="34" s="1"/>
  <c r="B3575" i="106"/>
  <c r="D3575" i="106" s="1"/>
  <c r="K19" i="4"/>
  <c r="B4144" i="106" s="1"/>
  <c r="D4144" i="106" s="1"/>
  <c r="B7625" i="106"/>
  <c r="I18" i="11"/>
  <c r="J20" i="4"/>
  <c r="B6223" i="106"/>
  <c r="D6223" i="106" s="1"/>
  <c r="J10" i="4"/>
  <c r="B6225" i="106" s="1"/>
  <c r="D6225" i="106" s="1"/>
  <c r="G20" i="4"/>
  <c r="B2606" i="106"/>
  <c r="D2606" i="106" s="1"/>
  <c r="G10" i="4"/>
  <c r="B4126" i="106" s="1"/>
  <c r="D4126" i="106" s="1"/>
  <c r="A7267" i="106"/>
  <c r="D7266" i="106"/>
  <c r="D10" i="146" l="1"/>
  <c r="B10" i="146"/>
  <c r="F8" i="146"/>
  <c r="B3278" i="106"/>
  <c r="D3278" i="106" s="1"/>
  <c r="E81" i="4"/>
  <c r="B2574" i="106"/>
  <c r="D2574" i="106" s="1"/>
  <c r="D78" i="4"/>
  <c r="B3320" i="106"/>
  <c r="D3320" i="106" s="1"/>
  <c r="I81" i="4"/>
  <c r="H25" i="118"/>
  <c r="K24" i="118" s="1"/>
  <c r="O23" i="118" s="1"/>
  <c r="O25" i="118" s="1"/>
  <c r="K17" i="118"/>
  <c r="H78" i="4"/>
  <c r="B2662" i="106"/>
  <c r="D2662" i="106" s="1"/>
  <c r="B3576" i="106"/>
  <c r="D3576" i="106" s="1"/>
  <c r="K78" i="4"/>
  <c r="C78" i="4"/>
  <c r="B2562" i="106"/>
  <c r="D2562" i="106" s="1"/>
  <c r="B6230" i="106"/>
  <c r="D6230" i="106" s="1"/>
  <c r="J78" i="4"/>
  <c r="B2613" i="106"/>
  <c r="D2613" i="106" s="1"/>
  <c r="G78" i="4"/>
  <c r="F176" i="34"/>
  <c r="B7631" i="106"/>
  <c r="F175" i="34"/>
  <c r="F79" i="34"/>
  <c r="B2601" i="106"/>
  <c r="D2601" i="106" s="1"/>
  <c r="F78" i="4"/>
  <c r="H16" i="37"/>
  <c r="F9" i="146"/>
  <c r="C10" i="146"/>
  <c r="A7268" i="106"/>
  <c r="D7267" i="106"/>
  <c r="F177" i="34" l="1"/>
  <c r="F179" i="34" s="1"/>
  <c r="B3262" i="106"/>
  <c r="D3262" i="106" s="1"/>
  <c r="G81" i="4"/>
  <c r="B3323" i="106"/>
  <c r="D3323" i="106" s="1"/>
  <c r="E11" i="146"/>
  <c r="I82" i="4"/>
  <c r="B1658" i="106"/>
  <c r="D1658" i="106" s="1"/>
  <c r="E82" i="4"/>
  <c r="C81" i="4"/>
  <c r="B3233" i="106"/>
  <c r="D3233" i="106" s="1"/>
  <c r="B3300" i="106"/>
  <c r="D3300" i="106" s="1"/>
  <c r="H81" i="4"/>
  <c r="F81" i="4"/>
  <c r="B3256" i="106"/>
  <c r="D3256" i="106" s="1"/>
  <c r="J81" i="4"/>
  <c r="B6263" i="106"/>
  <c r="D6263" i="106" s="1"/>
  <c r="B3588" i="106"/>
  <c r="D3588" i="106" s="1"/>
  <c r="K81" i="4"/>
  <c r="J20" i="118"/>
  <c r="K20" i="118"/>
  <c r="O16" i="118"/>
  <c r="B3239" i="106"/>
  <c r="D3239" i="106" s="1"/>
  <c r="D81" i="4"/>
  <c r="F10" i="146"/>
  <c r="A7269" i="106"/>
  <c r="D7268" i="106"/>
  <c r="B1644" i="106" l="1"/>
  <c r="D1644" i="106" s="1"/>
  <c r="D82" i="4"/>
  <c r="C11" i="146"/>
  <c r="J82" i="4"/>
  <c r="B6266" i="106"/>
  <c r="D6266" i="106" s="1"/>
  <c r="B2912" i="106"/>
  <c r="D2912" i="106" s="1"/>
  <c r="I41" i="3"/>
  <c r="D63" i="36"/>
  <c r="B3591" i="106"/>
  <c r="D3591" i="106" s="1"/>
  <c r="K82" i="4"/>
  <c r="N21" i="3"/>
  <c r="E41" i="3"/>
  <c r="D59" i="36"/>
  <c r="B140" i="106"/>
  <c r="D140" i="106" s="1"/>
  <c r="O17" i="118"/>
  <c r="O20" i="118" s="1"/>
  <c r="B1672" i="106"/>
  <c r="D1672" i="106" s="1"/>
  <c r="F82" i="4"/>
  <c r="D11" i="146"/>
  <c r="B11" i="146"/>
  <c r="C82" i="4"/>
  <c r="J16" i="37"/>
  <c r="B4269" i="106" s="1"/>
  <c r="D4269" i="106" s="1"/>
  <c r="H12" i="118"/>
  <c r="K12" i="118" s="1"/>
  <c r="O11" i="118" s="1"/>
  <c r="O13" i="118" s="1"/>
  <c r="B1630" i="106"/>
  <c r="D1630" i="106" s="1"/>
  <c r="I83" i="4"/>
  <c r="B6282" i="106" s="1"/>
  <c r="D6282" i="106" s="1"/>
  <c r="B6273" i="106"/>
  <c r="D6273" i="106" s="1"/>
  <c r="G82" i="4"/>
  <c r="B1686" i="106"/>
  <c r="D1686" i="106" s="1"/>
  <c r="H82" i="4"/>
  <c r="B1700" i="106"/>
  <c r="D1700" i="106" s="1"/>
  <c r="B6269" i="106"/>
  <c r="D6269" i="106" s="1"/>
  <c r="E83" i="4"/>
  <c r="B6278" i="106" s="1"/>
  <c r="D6278" i="106" s="1"/>
  <c r="A7270" i="106"/>
  <c r="D7269" i="106"/>
  <c r="O35" i="118" l="1"/>
  <c r="O37" i="118" s="1"/>
  <c r="B6272" i="106"/>
  <c r="D6272" i="106" s="1"/>
  <c r="H83" i="4"/>
  <c r="B6281" i="106" s="1"/>
  <c r="D6281" i="106" s="1"/>
  <c r="D62" i="36"/>
  <c r="H41" i="3"/>
  <c r="B212" i="106"/>
  <c r="D212" i="106" s="1"/>
  <c r="B6271" i="106"/>
  <c r="D6271" i="106" s="1"/>
  <c r="G83" i="4"/>
  <c r="B6280" i="106" s="1"/>
  <c r="D6280" i="106" s="1"/>
  <c r="F11" i="146"/>
  <c r="D60" i="36"/>
  <c r="F41" i="3"/>
  <c r="B170" i="106"/>
  <c r="D170" i="106" s="1"/>
  <c r="B3567" i="106"/>
  <c r="D3567" i="106" s="1"/>
  <c r="K41" i="3"/>
  <c r="D65" i="36"/>
  <c r="B92" i="106"/>
  <c r="D92" i="106" s="1"/>
  <c r="C41" i="3"/>
  <c r="D76" i="36"/>
  <c r="D57" i="36"/>
  <c r="B141" i="106"/>
  <c r="D141" i="106" s="1"/>
  <c r="D46" i="36"/>
  <c r="B6215" i="106"/>
  <c r="D6215" i="106" s="1"/>
  <c r="D64" i="36"/>
  <c r="J41" i="3"/>
  <c r="D83" i="4"/>
  <c r="B6277" i="106" s="1"/>
  <c r="D6277" i="106" s="1"/>
  <c r="B6268" i="106"/>
  <c r="D6268" i="106" s="1"/>
  <c r="B282" i="106"/>
  <c r="D282" i="106" s="1"/>
  <c r="N23" i="3"/>
  <c r="D58" i="36"/>
  <c r="D41" i="3"/>
  <c r="B123" i="106"/>
  <c r="D123" i="106" s="1"/>
  <c r="B189" i="106"/>
  <c r="D189" i="106" s="1"/>
  <c r="D61" i="36"/>
  <c r="G41" i="3"/>
  <c r="C83" i="4"/>
  <c r="B6276" i="106" s="1"/>
  <c r="D6276" i="106" s="1"/>
  <c r="B6267" i="106"/>
  <c r="D6267" i="106" s="1"/>
  <c r="B6270" i="106"/>
  <c r="D6270" i="106" s="1"/>
  <c r="F83" i="4"/>
  <c r="B6279" i="106" s="1"/>
  <c r="D6279" i="106" s="1"/>
  <c r="K83" i="4"/>
  <c r="B6284" i="106" s="1"/>
  <c r="D6284" i="106" s="1"/>
  <c r="B6275" i="106"/>
  <c r="D6275" i="106" s="1"/>
  <c r="D50" i="36"/>
  <c r="B2913" i="106"/>
  <c r="D2913" i="106" s="1"/>
  <c r="B6274" i="106"/>
  <c r="D6274" i="106" s="1"/>
  <c r="J83" i="4"/>
  <c r="B6283" i="106" s="1"/>
  <c r="D6283" i="106" s="1"/>
  <c r="A7271" i="106"/>
  <c r="D7270" i="106"/>
  <c r="B93" i="106" l="1"/>
  <c r="D93" i="106" s="1"/>
  <c r="D44" i="36"/>
  <c r="C12" i="146"/>
  <c r="D29" i="36"/>
  <c r="J24" i="24" s="1"/>
  <c r="B213" i="106"/>
  <c r="D213" i="106" s="1"/>
  <c r="D49" i="36"/>
  <c r="B284" i="106"/>
  <c r="D284" i="106" s="1"/>
  <c r="D55" i="36"/>
  <c r="B6216" i="106"/>
  <c r="D6216" i="106" s="1"/>
  <c r="D51" i="36"/>
  <c r="D47" i="36"/>
  <c r="B171" i="106"/>
  <c r="D171" i="106" s="1"/>
  <c r="B190" i="106"/>
  <c r="D190" i="106" s="1"/>
  <c r="D48" i="36"/>
  <c r="B124" i="106"/>
  <c r="D124" i="106" s="1"/>
  <c r="D45" i="36"/>
  <c r="B3568" i="106"/>
  <c r="D3568" i="106" s="1"/>
  <c r="D52" i="36"/>
  <c r="A7272" i="106"/>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<sst xmlns="http://schemas.openxmlformats.org/spreadsheetml/2006/main" count="5411" uniqueCount="2217">
  <si>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</si>
  <si>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</si>
  <si>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</si>
  <si>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</si>
  <si>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</si>
  <si>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</si>
  <si>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</si>
  <si>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</si>
  <si>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</si>
  <si>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</si>
  <si>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</si>
  <si>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</si>
  <si>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</si>
  <si>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</si>
  <si>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</si>
  <si>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</si>
  <si>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</si>
  <si>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</si>
  <si>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</si>
  <si>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</si>
  <si>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</si>
  <si>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</si>
  <si>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</si>
  <si>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</si>
  <si>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</si>
  <si>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</si>
  <si>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</si>
  <si>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</si>
  <si>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</si>
  <si>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</si>
  <si>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</si>
  <si>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</si>
  <si>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</si>
  <si>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</si>
  <si>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</si>
  <si>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</si>
  <si>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</si>
  <si>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</si>
  <si>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</si>
  <si>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</si>
  <si>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</si>
  <si>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</si>
  <si>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</si>
  <si>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</si>
  <si>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</si>
  <si>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</si>
  <si>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</si>
  <si>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</si>
  <si>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</si>
  <si>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</si>
  <si>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</si>
  <si>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</si>
  <si>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</si>
  <si>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</si>
  <si>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</si>
  <si>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</si>
  <si>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</si>
  <si>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</si>
  <si>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</si>
  <si>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</si>
  <si>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</si>
  <si>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</si>
  <si>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</si>
  <si>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</si>
  <si>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</si>
  <si>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</si>
  <si>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</si>
  <si>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</si>
  <si>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</si>
  <si>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</si>
  <si>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</si>
  <si>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</si>
  <si>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</si>
  <si>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</si>
  <si>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</si>
  <si>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</si>
  <si>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</si>
  <si>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</si>
  <si>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</si>
  <si>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</si>
  <si>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</si>
  <si>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</si>
  <si>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</si>
  <si>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</si>
  <si>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</si>
  <si>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</si>
  <si>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</si>
  <si>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</si>
  <si>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</si>
  <si>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</si>
  <si>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</si>
  <si>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</si>
  <si>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</si>
  <si>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</si>
  <si>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</si>
  <si>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</si>
  <si>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</si>
  <si>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</si>
  <si>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</si>
  <si>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</si>
  <si>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</si>
  <si>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</si>
  <si>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</si>
  <si>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</si>
  <si>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</si>
  <si>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</si>
  <si>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</si>
  <si>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</si>
  <si>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</si>
  <si>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</si>
  <si>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</si>
  <si>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</si>
  <si>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</si>
  <si>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</si>
  <si>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</si>
  <si>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</si>
  <si>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</si>
  <si>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</si>
  <si>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</si>
  <si>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</si>
  <si>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</si>
  <si>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</si>
  <si>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</si>
  <si>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</si>
  <si>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</si>
  <si>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</si>
  <si>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</si>
  <si>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</si>
  <si>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</si>
  <si>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</si>
  <si>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</si>
  <si>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</si>
  <si>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</si>
  <si>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</si>
  <si>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</si>
  <si>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</si>
  <si>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</si>
  <si>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</si>
  <si>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</si>
  <si>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</si>
  <si>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</si>
  <si>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</si>
  <si>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</si>
  <si>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</si>
  <si>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</si>
  <si>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</si>
  <si>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</si>
  <si>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</si>
  <si>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</si>
  <si>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</si>
  <si>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</si>
  <si>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</si>
  <si>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</si>
  <si>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</si>
  <si>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</si>
  <si>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</si>
  <si>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</si>
  <si>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</si>
  <si>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</si>
  <si>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</si>
  <si>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</si>
  <si>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</si>
  <si>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</si>
  <si>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</si>
  <si>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</si>
  <si>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</si>
  <si>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</si>
  <si>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</si>
  <si>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</si>
  <si>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</si>
  <si>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</si>
  <si>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</si>
  <si>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</si>
  <si>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</si>
  <si>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</si>
  <si>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</si>
  <si>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</si>
  <si>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</si>
  <si>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</si>
  <si>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</si>
  <si>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</si>
  <si>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</si>
  <si>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</si>
  <si>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</si>
  <si>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</si>
  <si>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</si>
  <si>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</si>
  <si>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</si>
  <si>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</si>
  <si>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</si>
  <si>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</si>
  <si>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</si>
  <si>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</si>
  <si>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</si>
  <si>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</si>
  <si>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</si>
  <si>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</si>
  <si>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</si>
  <si>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</si>
  <si>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</si>
  <si>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</si>
  <si>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</si>
  <si>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</si>
  <si>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</si>
  <si>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</si>
  <si>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</si>
  <si>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</si>
  <si>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</si>
  <si>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</si>
  <si>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</si>
  <si>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</si>
  <si>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</si>
  <si>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</si>
  <si>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</si>
  <si>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</si>
  <si>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</si>
  <si>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</si>
  <si>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</si>
  <si>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</si>
  <si>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</si>
  <si>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</si>
  <si>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</si>
  <si>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</si>
  <si>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</si>
  <si>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</si>
  <si>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</si>
  <si>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</si>
  <si>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</si>
  <si>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</si>
  <si>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</si>
  <si>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</si>
  <si>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</si>
  <si>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</si>
  <si>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</si>
  <si>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</si>
  <si>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</si>
  <si>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</si>
  <si>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</si>
  <si>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</si>
  <si>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</si>
  <si>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</si>
  <si>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</si>
  <si>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</si>
  <si>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</si>
  <si>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</si>
  <si>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</si>
  <si>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</si>
  <si>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</si>
  <si>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</si>
  <si>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</si>
  <si>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</si>
  <si>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</si>
  <si>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</si>
  <si>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</si>
  <si>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</si>
  <si>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</si>
  <si>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</si>
  <si>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</si>
  <si>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</si>
  <si>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</si>
  <si>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</si>
  <si>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</si>
  <si>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</si>
  <si>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</si>
  <si>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</si>
  <si>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</si>
  <si>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</si>
  <si>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</si>
  <si>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</si>
  <si>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</si>
  <si>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</si>
  <si>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</si>
  <si>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</si>
  <si>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</si>
  <si>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</si>
  <si>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</si>
  <si>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</si>
  <si>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</si>
  <si>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</si>
  <si>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</si>
  <si>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</si>
  <si>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</si>
  <si>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</si>
  <si>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</si>
  <si>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</si>
  <si>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</si>
  <si>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</si>
  <si>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</si>
  <si>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</si>
  <si>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</si>
  <si>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</si>
  <si>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</si>
  <si>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</si>
  <si>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</si>
  <si>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</si>
  <si>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</si>
  <si>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</si>
  <si>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</si>
  <si>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</si>
  <si>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</si>
  <si>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</si>
  <si>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</si>
  <si>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</si>
  <si>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</si>
  <si>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</si>
  <si>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</si>
  <si>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</si>
  <si>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</si>
  <si>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</si>
  <si>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</si>
  <si>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</si>
  <si>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</si>
  <si>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</si>
  <si>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</si>
  <si>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</si>
  <si>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</si>
  <si>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</si>
  <si>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</si>
  <si>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</si>
  <si>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</si>
  <si>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</si>
  <si>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</si>
  <si>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</si>
  <si>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</si>
  <si>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</si>
  <si>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</si>
  <si>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</si>
  <si>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</si>
  <si>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</si>
  <si>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</si>
  <si>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</si>
  <si>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</si>
  <si>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</si>
  <si>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</si>
  <si>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</si>
  <si>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</si>
  <si>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</si>
  <si>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</si>
  <si>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</si>
  <si>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</si>
  <si>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</si>
  <si>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</si>
  <si>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</si>
  <si>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</si>
  <si>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</si>
  <si>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</si>
  <si>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</si>
  <si>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</si>
  <si>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</si>
  <si>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</si>
  <si>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</si>
  <si>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</si>
  <si>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</si>
  <si>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</si>
  <si>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</si>
  <si>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</si>
  <si>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</si>
  <si>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</si>
  <si>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</si>
  <si>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</si>
  <si>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</si>
  <si>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</si>
  <si>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</si>
  <si>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</si>
  <si>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</si>
  <si>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</si>
  <si>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</si>
  <si>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</si>
  <si>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</si>
  <si>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</si>
  <si>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</si>
  <si>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</si>
  <si>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</si>
  <si>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</si>
  <si>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</si>
  <si>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</si>
  <si>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</si>
  <si>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</si>
  <si>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</si>
  <si>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</si>
  <si>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</si>
  <si>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</si>
  <si>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</si>
  <si>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</si>
  <si>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</si>
  <si>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</si>
  <si>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</si>
  <si>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</si>
  <si>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</si>
  <si>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</si>
  <si>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</si>
  <si>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</si>
  <si>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</si>
  <si>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</si>
  <si>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</si>
  <si>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</si>
  <si>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</si>
  <si>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</si>
  <si>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</si>
  <si>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</si>
  <si>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</si>
  <si>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</si>
  <si>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</si>
  <si>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</si>
  <si>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</si>
  <si>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</si>
  <si>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</si>
  <si>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</si>
  <si>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</si>
  <si>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</si>
  <si>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</si>
  <si>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</si>
  <si>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</si>
  <si>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</si>
  <si>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</si>
  <si>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</si>
  <si>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</si>
  <si>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</si>
  <si>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</si>
  <si>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</si>
  <si>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</si>
  <si>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</si>
  <si>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</si>
  <si>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</si>
  <si>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</si>
  <si>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</si>
  <si>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</si>
  <si>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</si>
  <si>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</si>
  <si>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</si>
  <si>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</si>
  <si>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</si>
  <si>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</si>
  <si>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</si>
  <si>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</si>
  <si>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</si>
  <si>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</si>
  <si>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</si>
  <si>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</si>
  <si>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</si>
  <si>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</si>
  <si>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</si>
  <si>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</si>
  <si>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</si>
  <si>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</si>
  <si>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</si>
  <si>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</si>
  <si>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</si>
  <si>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</si>
  <si>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</si>
  <si>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</si>
  <si>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</si>
  <si>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</si>
  <si>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</si>
  <si>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</si>
  <si>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</si>
  <si>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</si>
  <si>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</si>
  <si>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</si>
  <si>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</si>
  <si>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</si>
  <si>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</si>
  <si>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</si>
  <si>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</si>
  <si>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</si>
  <si>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</si>
  <si>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</si>
  <si>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</si>
  <si>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</si>
  <si>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</si>
  <si>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</si>
  <si>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</si>
  <si>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</si>
  <si>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</si>
  <si>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</si>
  <si>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</si>
  <si>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</si>
  <si>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</si>
  <si>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</si>
  <si>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</si>
  <si>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</si>
  <si>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</si>
  <si>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</si>
  <si>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</si>
  <si>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</si>
  <si>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</si>
  <si>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</si>
  <si>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</si>
  <si>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</si>
  <si>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</si>
  <si>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</si>
  <si>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</si>
  <si>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</si>
  <si>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</si>
  <si>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</si>
  <si>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</si>
  <si>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</si>
  <si>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</si>
  <si>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</si>
  <si>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</si>
  <si>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</si>
  <si>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</si>
  <si>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</si>
  <si>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</si>
  <si>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</si>
  <si>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</si>
  <si>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</si>
  <si>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</si>
  <si>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</si>
  <si>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</si>
  <si>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</si>
  <si>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</si>
  <si>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</si>
  <si>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</si>
  <si>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</si>
  <si>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</si>
  <si>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</si>
  <si>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</si>
  <si>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</si>
  <si>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</si>
  <si>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</si>
  <si>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</si>
  <si>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</si>
  <si>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</si>
  <si>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</si>
  <si>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</si>
  <si>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</si>
  <si>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</si>
  <si>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</si>
  <si>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</si>
  <si>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</si>
  <si>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</si>
  <si>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</si>
  <si>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</si>
  <si>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</si>
  <si>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</si>
  <si>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</si>
  <si>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</si>
  <si>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</si>
  <si>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</si>
  <si>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</si>
  <si>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</si>
  <si>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</si>
  <si>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</si>
  <si>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</si>
  <si>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</si>
  <si>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</si>
  <si>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</si>
  <si>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</si>
  <si>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</si>
  <si>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</si>
  <si>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</si>
  <si>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</si>
  <si>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</si>
  <si>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</si>
  <si>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</si>
  <si>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</si>
  <si>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</si>
  <si>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</si>
  <si>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</si>
  <si>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</si>
  <si>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</si>
  <si>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</si>
  <si>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</si>
  <si>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</si>
  <si>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</si>
  <si>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</si>
  <si>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</si>
  <si>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</si>
  <si>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</si>
  <si>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</si>
  <si>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</si>
  <si>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</si>
  <si>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</si>
  <si>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</si>
  <si>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</si>
  <si>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</si>
  <si>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</si>
  <si>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</si>
  <si>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</si>
  <si>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</si>
  <si>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</si>
  <si>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</si>
  <si>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</si>
  <si>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</si>
  <si>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</si>
  <si>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</si>
  <si>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</si>
  <si>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</si>
  <si>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</si>
  <si>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</si>
  <si>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</si>
  <si>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</si>
  <si>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</si>
  <si>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</si>
  <si>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</si>
  <si>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</si>
  <si>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</si>
  <si>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</si>
  <si>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</si>
  <si>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</si>
  <si>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</si>
  <si>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</si>
  <si>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</si>
  <si>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</si>
  <si>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</si>
  <si>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</si>
  <si>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</si>
  <si>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</si>
  <si>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</si>
  <si>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</si>
  <si>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</si>
  <si>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</si>
  <si>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</si>
  <si>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</si>
  <si>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</si>
  <si>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</si>
  <si>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</si>
  <si>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</si>
  <si>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</si>
  <si>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</si>
  <si>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</si>
  <si>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</si>
  <si>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</si>
  <si>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</si>
  <si>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</si>
  <si>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</si>
  <si>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</si>
  <si>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</si>
  <si>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</si>
  <si>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</si>
  <si>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</si>
  <si>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</si>
  <si>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</si>
  <si>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</si>
  <si>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</si>
  <si>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</si>
  <si>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</si>
  <si>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</si>
  <si>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</si>
  <si>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</si>
  <si>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</si>
  <si>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</si>
  <si>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</si>
  <si>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</si>
  <si>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</si>
  <si>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</si>
  <si>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</si>
  <si>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</si>
  <si>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</si>
  <si>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</si>
  <si>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</si>
  <si>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</si>
  <si>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</si>
  <si>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</si>
  <si>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</si>
  <si>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</si>
  <si>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</si>
  <si>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</si>
  <si>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</si>
  <si>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</si>
  <si>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</si>
  <si>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</si>
  <si>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</si>
  <si>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</si>
  <si>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</si>
  <si>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</si>
  <si>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</si>
  <si>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</si>
  <si>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</si>
  <si>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</si>
  <si>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</si>
  <si>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</si>
  <si>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</si>
  <si>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</si>
  <si>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</si>
  <si>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</si>
  <si>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</si>
  <si>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</si>
  <si>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</si>
  <si>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</si>
  <si>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</si>
  <si>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</si>
  <si>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</si>
  <si>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</si>
  <si>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</si>
  <si>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</si>
  <si>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</si>
  <si>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</si>
  <si>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</si>
  <si>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</si>
  <si>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</si>
  <si>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</si>
  <si>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</si>
  <si>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</si>
  <si>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</si>
  <si>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</si>
  <si>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</si>
  <si>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</si>
  <si>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</si>
  <si>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</si>
  <si>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</si>
  <si>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</si>
  <si>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</si>
  <si>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</si>
  <si>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</si>
  <si>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</si>
  <si>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</si>
  <si>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</si>
  <si>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</si>
  <si>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</si>
  <si>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</si>
  <si>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</si>
  <si>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</si>
  <si>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</si>
  <si>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</si>
  <si>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</si>
  <si>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</si>
  <si>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</si>
  <si>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</si>
  <si>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</si>
  <si>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</si>
  <si>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</si>
  <si>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</si>
  <si>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</si>
  <si>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</si>
  <si>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</si>
  <si>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</si>
  <si>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</si>
  <si>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</si>
  <si>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</si>
  <si>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</si>
  <si>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</si>
  <si>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</si>
  <si>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</si>
  <si>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</si>
  <si>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</si>
  <si>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</si>
  <si>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</si>
  <si>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</si>
  <si>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</si>
  <si>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</si>
  <si>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</si>
  <si>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</si>
  <si>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</si>
  <si>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</si>
  <si>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</si>
  <si>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</si>
  <si>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</si>
  <si>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</si>
  <si>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</si>
  <si>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</si>
  <si>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</si>
  <si>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</si>
  <si>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</si>
  <si>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</si>
  <si>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</si>
  <si>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</si>
  <si>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</si>
  <si>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</si>
  <si>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</si>
  <si>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</si>
  <si>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</si>
  <si>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</si>
  <si>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</si>
  <si>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</si>
  <si>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</si>
  <si>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</si>
  <si>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</si>
  <si>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</si>
  <si>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</si>
  <si>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</si>
  <si>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</si>
  <si>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</si>
  <si>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</si>
  <si>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</si>
  <si>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</si>
  <si>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</si>
  <si>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</si>
  <si>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</si>
  <si>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</si>
  <si>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</si>
  <si>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</si>
  <si>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</si>
  <si>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</si>
  <si>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</si>
  <si>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</si>
  <si>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</si>
  <si>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</si>
  <si>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</si>
  <si>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</si>
  <si>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</si>
  <si>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</si>
  <si>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</si>
  <si>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</si>
  <si>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</si>
  <si>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</si>
  <si>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</si>
  <si>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</si>
  <si>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</si>
  <si>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</si>
  <si>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</si>
  <si>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</si>
  <si>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</si>
  <si>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</si>
  <si>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</si>
  <si>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</si>
  <si>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</si>
  <si>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</si>
  <si>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</si>
  <si>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</si>
  <si>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</si>
  <si>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</si>
  <si>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</si>
  <si>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</si>
  <si>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</si>
  <si>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</si>
  <si>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</si>
  <si>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</si>
  <si>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</si>
  <si>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</si>
  <si>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</si>
  <si>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</si>
  <si>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</si>
  <si>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</si>
  <si>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</si>
  <si>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</si>
  <si>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</si>
  <si>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</si>
  <si>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</si>
  <si>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</si>
  <si>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</si>
  <si>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</si>
  <si>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</si>
  <si>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</si>
  <si>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</si>
  <si>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</si>
  <si>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</si>
  <si>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</si>
  <si>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</si>
  <si>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</si>
  <si>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</si>
  <si>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</si>
  <si>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</si>
  <si>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</si>
  <si>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</si>
  <si>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</si>
  <si>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</si>
  <si>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</si>
  <si>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</si>
  <si>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</si>
  <si>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</si>
  <si>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</si>
  <si>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</si>
  <si>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</si>
  <si>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</si>
  <si>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</si>
  <si>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</si>
  <si>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</si>
  <si>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</si>
  <si>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</si>
  <si>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</si>
  <si>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</si>
  <si>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</si>
  <si>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</si>
  <si>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</si>
  <si>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</si>
  <si>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</si>
  <si>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</si>
  <si>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</si>
  <si>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</si>
  <si>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</si>
  <si>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</si>
  <si>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</si>
  <si>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</si>
  <si>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</si>
  <si>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</si>
  <si>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</si>
  <si>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</si>
  <si>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</si>
  <si>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</si>
  <si>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</si>
  <si>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</si>
  <si>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</si>
  <si>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</si>
  <si>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</si>
  <si>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</si>
  <si>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</si>
  <si>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</si>
  <si>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</si>
  <si>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</si>
  <si>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</si>
  <si>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</si>
  <si>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</si>
  <si>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</si>
  <si>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</si>
  <si>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</si>
  <si>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</si>
  <si>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</si>
  <si>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</si>
  <si>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</si>
  <si>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</si>
  <si>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</si>
  <si>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</si>
  <si>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</si>
  <si>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</si>
  <si>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</si>
  <si>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</si>
  <si>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</si>
  <si>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</si>
  <si>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</si>
  <si>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</si>
  <si>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</si>
  <si>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</si>
  <si>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</si>
  <si>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</si>
  <si>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</si>
  <si>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</si>
  <si>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</si>
  <si>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</si>
  <si>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</si>
  <si>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</si>
  <si>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</si>
  <si>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</si>
  <si>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</si>
  <si>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</si>
  <si>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</si>
  <si>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</si>
  <si>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</si>
  <si>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</si>
  <si>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</si>
  <si>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</si>
  <si>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</si>
  <si>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</si>
  <si>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</si>
  <si>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</si>
  <si>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</si>
  <si>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</si>
  <si>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</si>
  <si>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</si>
  <si>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</si>
  <si>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</si>
  <si>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</si>
  <si>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</si>
  <si>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</si>
  <si>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</si>
  <si>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</si>
  <si>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</si>
  <si>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</si>
  <si>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</si>
  <si>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</si>
  <si>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</si>
  <si>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</si>
  <si>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</si>
  <si>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</si>
  <si>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</si>
  <si>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</si>
  <si>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</si>
  <si>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</si>
  <si>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</si>
  <si>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</si>
  <si>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</si>
  <si>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</si>
  <si>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</si>
  <si>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</si>
  <si>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</si>
  <si>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</si>
  <si>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</si>
  <si>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</si>
  <si>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</si>
  <si>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</si>
  <si>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</si>
  <si>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</si>
  <si>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</si>
  <si>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</si>
  <si>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</si>
  <si>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</si>
  <si>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</si>
  <si>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</si>
  <si>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</si>
  <si>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</si>
  <si>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</si>
  <si>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</si>
  <si>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</si>
  <si>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</si>
  <si>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</si>
  <si>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</si>
  <si>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</si>
  <si>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</si>
  <si>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</si>
  <si>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</si>
  <si>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</si>
  <si>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</si>
  <si>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</si>
  <si>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</si>
  <si>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</si>
  <si>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</si>
  <si>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</si>
  <si>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</si>
  <si>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</si>
  <si>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</si>
  <si>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</si>
  <si>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</si>
  <si>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</si>
  <si>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</si>
  <si>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</si>
  <si>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</si>
  <si>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</si>
  <si>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</si>
  <si>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</si>
  <si>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</si>
  <si>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</si>
  <si>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</si>
  <si>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</si>
  <si>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</si>
  <si>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</si>
  <si>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</si>
  <si>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</si>
  <si>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</si>
  <si>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</si>
  <si>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</si>
  <si>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</si>
  <si>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</si>
  <si>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</si>
  <si>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</si>
  <si>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</si>
  <si>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</si>
  <si>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</si>
  <si>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</si>
  <si>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</si>
  <si>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</si>
  <si>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</si>
  <si>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</si>
  <si>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</si>
  <si>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</si>
  <si>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</si>
  <si>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</si>
  <si>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</si>
  <si>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</si>
  <si>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</si>
  <si>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</si>
  <si>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</si>
  <si>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</si>
  <si>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</si>
  <si>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</si>
  <si>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</si>
  <si>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</si>
  <si>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</si>
  <si>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</si>
  <si>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</si>
  <si>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</si>
  <si>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</si>
  <si>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</si>
  <si>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</si>
  <si>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</si>
  <si>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</si>
  <si>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</si>
  <si>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</si>
  <si>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</si>
  <si>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</si>
  <si>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</si>
  <si>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</si>
  <si>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</si>
  <si>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</si>
  <si>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</si>
  <si>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</si>
  <si>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</si>
  <si>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</si>
  <si>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</si>
  <si>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</si>
  <si>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</si>
  <si>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</si>
  <si>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</si>
  <si>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</si>
  <si>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</si>
  <si>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</si>
  <si>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</si>
  <si>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</si>
  <si>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</si>
  <si>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</si>
  <si>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</si>
  <si>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</si>
  <si>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</si>
  <si>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</si>
  <si>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</si>
  <si>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</si>
  <si>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</si>
  <si>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</si>
  <si>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</si>
  <si>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</si>
  <si>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</si>
  <si>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</si>
  <si>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</si>
  <si>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</si>
  <si>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</si>
  <si>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</si>
  <si>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</si>
  <si>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</si>
  <si>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</si>
  <si>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</si>
  <si>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</si>
  <si>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</si>
  <si>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</si>
  <si>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</si>
  <si>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</si>
  <si>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</si>
  <si>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</si>
  <si>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</si>
  <si>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</si>
  <si>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</si>
  <si>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</si>
  <si>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</si>
  <si>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</si>
  <si>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</si>
  <si>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</si>
  <si>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</si>
  <si>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</si>
  <si>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</si>
  <si>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</si>
  <si>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</si>
  <si>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</si>
  <si>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</si>
  <si>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</si>
  <si>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</si>
  <si>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</si>
  <si>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</si>
  <si>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</si>
  <si>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</si>
  <si>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</si>
  <si>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</si>
  <si>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</si>
  <si>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</si>
  <si>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</si>
  <si>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</si>
  <si>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</si>
  <si>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</si>
  <si>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</si>
  <si>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</si>
  <si>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</si>
  <si>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</si>
  <si>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</si>
  <si>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</si>
  <si>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</si>
  <si>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</si>
  <si>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</si>
  <si>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</si>
  <si>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</si>
  <si>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</si>
  <si>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</si>
  <si>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</si>
  <si>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</si>
  <si>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</si>
  <si>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</si>
  <si>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</si>
  <si>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</si>
  <si>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</si>
  <si>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</si>
  <si>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</si>
  <si>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</si>
  <si>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</si>
  <si>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</si>
  <si>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</si>
  <si>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</si>
  <si>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</si>
  <si>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</si>
  <si>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</si>
  <si>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</si>
  <si>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</si>
  <si>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</si>
  <si>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</si>
  <si>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</si>
  <si>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</si>
  <si>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</si>
  <si>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</si>
  <si>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</si>
  <si>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</si>
  <si>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</si>
  <si>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</si>
  <si>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</si>
  <si>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</si>
  <si>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</si>
  <si>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</si>
  <si>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</si>
  <si>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</si>
  <si>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</si>
  <si>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</si>
  <si>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</si>
  <si>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</si>
  <si>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</si>
  <si>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</si>
  <si>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</si>
  <si>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</si>
  <si>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</si>
  <si>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</si>
  <si>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</si>
  <si>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</si>
  <si>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</si>
  <si>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</si>
  <si>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</si>
  <si>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</si>
  <si>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</si>
  <si>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</si>
  <si>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</si>
  <si>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</si>
  <si>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</si>
  <si>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</si>
  <si>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</si>
  <si>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</si>
  <si>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</si>
  <si>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</si>
  <si>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</si>
  <si>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</si>
  <si>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</si>
  <si>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</si>
  <si>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</si>
  <si>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</si>
  <si>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</si>
  <si>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</si>
  <si>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</si>
  <si>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</si>
  <si>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</si>
  <si>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</si>
  <si>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</si>
  <si>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</si>
  <si>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</si>
  <si>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</si>
  <si>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</si>
  <si>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</si>
  <si>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</si>
  <si>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</si>
  <si>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</si>
  <si>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</si>
  <si>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</si>
  <si>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</si>
  <si>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</si>
  <si>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</si>
  <si>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</si>
  <si>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</si>
  <si>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</si>
  <si>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</si>
  <si>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</si>
  <si>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</si>
  <si>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</si>
  <si>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</si>
  <si>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</si>
  <si>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</si>
  <si>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</si>
  <si>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</si>
  <si>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</si>
  <si>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</si>
  <si>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</si>
  <si>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</si>
  <si>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</si>
  <si>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</si>
  <si>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</si>
  <si>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</si>
  <si>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</si>
  <si>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</si>
  <si>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</si>
  <si>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</si>
  <si>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</si>
  <si>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</si>
  <si>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</si>
  <si>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</si>
  <si>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</si>
  <si>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</si>
  <si>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</si>
  <si>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</si>
  <si>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</si>
  <si>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</si>
  <si>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</si>
  <si>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</si>
  <si>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</si>
  <si>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</si>
  <si>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</si>
  <si>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</si>
  <si>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</si>
  <si>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</si>
  <si>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</si>
  <si>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</si>
  <si>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</si>
  <si>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</si>
  <si>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</si>
  <si>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</si>
  <si>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</si>
  <si>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</si>
  <si>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</si>
  <si>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</si>
  <si>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</si>
  <si>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</si>
  <si>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</si>
  <si>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</si>
  <si>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</si>
  <si>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</si>
  <si>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</si>
  <si>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</si>
  <si>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</si>
  <si>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</si>
  <si>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</si>
  <si>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</si>
  <si>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</si>
  <si>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</si>
  <si>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</si>
  <si>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</si>
  <si>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</si>
  <si>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</si>
  <si>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</si>
  <si>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</si>
  <si>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</si>
  <si>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</si>
  <si>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</si>
  <si>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</si>
  <si>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</si>
  <si>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</si>
  <si>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</si>
  <si>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</si>
  <si>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</si>
  <si>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</si>
  <si>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</si>
  <si>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</si>
  <si>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</si>
  <si>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</si>
  <si>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</si>
  <si>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</si>
  <si>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</si>
  <si>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</si>
  <si>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</si>
  <si>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</si>
  <si>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</si>
  <si>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</si>
  <si>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</si>
  <si>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</si>
  <si>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</si>
  <si>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</si>
  <si>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</si>
  <si>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</si>
  <si>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</si>
  <si>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</si>
  <si>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</si>
  <si>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</si>
  <si>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</si>
  <si>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</si>
  <si>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</si>
  <si>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</si>
  <si>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</si>
  <si>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</si>
  <si>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</si>
  <si>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</si>
  <si>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</si>
  <si>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</si>
  <si>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</si>
  <si>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</si>
  <si>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</si>
  <si>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</si>
  <si>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</si>
  <si>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</si>
  <si>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</si>
  <si>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</si>
  <si>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</si>
  <si>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</si>
  <si>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</si>
  <si>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</si>
  <si>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</si>
  <si>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</si>
  <si>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</si>
  <si>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</si>
  <si>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</si>
  <si>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</si>
  <si>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</si>
  <si>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</si>
  <si>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</si>
  <si>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</si>
  <si>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</si>
  <si>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</si>
  <si>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</si>
  <si>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</si>
  <si>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</si>
  <si>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</si>
  <si>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</si>
  <si>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</si>
  <si>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</si>
  <si>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</si>
  <si>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</si>
  <si>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</si>
  <si>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</si>
  <si>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</si>
  <si>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</si>
  <si>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</si>
  <si>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</si>
  <si>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</si>
  <si>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</si>
  <si>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</si>
  <si>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</si>
  <si>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</si>
  <si>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</si>
  <si>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</si>
  <si>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</si>
  <si>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</si>
  <si>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</si>
  <si>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</si>
  <si>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</si>
  <si>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</si>
  <si>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</si>
  <si>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</si>
  <si>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</si>
  <si>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</si>
  <si>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</si>
  <si>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</si>
  <si>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</si>
  <si>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</si>
  <si>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</si>
  <si>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</si>
  <si>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</si>
  <si>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</si>
  <si>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</si>
  <si>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</si>
  <si>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</si>
  <si>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</si>
  <si>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</si>
  <si>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</si>
  <si>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</si>
  <si>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</si>
  <si>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</si>
  <si>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</si>
  <si>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</si>
  <si>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</si>
  <si>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</si>
  <si>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</si>
  <si>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</si>
  <si>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</si>
  <si>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</si>
  <si>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</si>
  <si>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</si>
  <si>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</si>
  <si>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</si>
  <si>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</si>
  <si>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</si>
  <si>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</si>
  <si>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</si>
  <si>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</si>
  <si>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</si>
  <si>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</si>
  <si>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</si>
  <si>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</si>
  <si>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</si>
  <si>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</si>
  <si>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</si>
  <si>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</si>
  <si>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</si>
  <si>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</si>
  <si>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</si>
  <si>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</si>
  <si>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</si>
  <si>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</si>
  <si>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</si>
  <si>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</si>
  <si>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</si>
  <si>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</si>
  <si>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</si>
  <si>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</si>
  <si>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</si>
  <si>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</si>
  <si>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</si>
  <si>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</si>
  <si>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</si>
  <si>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</si>
  <si>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</si>
  <si>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</si>
  <si>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</si>
  <si>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</si>
  <si>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</si>
  <si>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</si>
  <si>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</si>
  <si>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</si>
  <si>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</si>
  <si>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</si>
  <si>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</si>
  <si>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</si>
  <si>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</si>
  <si>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</si>
  <si>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</si>
  <si>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</si>
  <si>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</si>
  <si>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</si>
  <si>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</si>
  <si>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</si>
  <si>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</si>
  <si>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</si>
  <si>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</si>
  <si>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</si>
  <si>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</si>
  <si>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</si>
  <si>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</si>
  <si>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</si>
  <si>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</si>
  <si>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</si>
  <si>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</si>
  <si>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</si>
  <si>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</si>
  <si>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</si>
  <si>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</si>
  <si>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</si>
  <si>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</si>
  <si>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</si>
  <si>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</si>
  <si>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</si>
  <si>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</si>
  <si>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</si>
  <si>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</si>
  <si>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</si>
  <si>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</si>
  <si>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</si>
  <si>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</si>
  <si>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</si>
  <si>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</si>
  <si>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</si>
  <si>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</si>
  <si>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</si>
  <si>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</si>
  <si>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</si>
  <si>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</si>
  <si>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</si>
  <si>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</si>
  <si>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</si>
  <si>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</si>
  <si>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</si>
  <si>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</si>
  <si>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</si>
  <si>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</si>
  <si>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</si>
  <si>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</si>
  <si>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</si>
  <si>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</si>
  <si>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</si>
  <si>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</si>
  <si>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</si>
  <si>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</si>
  <si>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</si>
  <si>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</si>
  <si>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</si>
  <si>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</si>
  <si>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</si>
  <si>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</si>
  <si>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</si>
  <si>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</si>
  <si>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</si>
  <si>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</si>
  <si>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</si>
  <si>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</si>
  <si>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</si>
  <si>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</si>
  <si>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</si>
  <si>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</si>
  <si>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</si>
  <si>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</si>
  <si>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</si>
  <si>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</si>
  <si>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</si>
  <si>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</si>
  <si>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</si>
  <si>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</si>
  <si>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</si>
  <si>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</si>
  <si>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</si>
  <si>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</si>
  <si>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</si>
  <si>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</si>
  <si>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</si>
  <si>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</si>
  <si>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</si>
  <si>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</si>
  <si>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</si>
  <si>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</si>
  <si>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</si>
  <si>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</si>
  <si>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</si>
  <si>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</si>
  <si>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</si>
  <si>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</si>
  <si>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</si>
  <si>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</si>
  <si>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</si>
  <si>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</si>
  <si>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</si>
  <si>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</si>
  <si>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</si>
  <si>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</si>
  <si>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</si>
  <si>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</si>
  <si>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</si>
  <si>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</si>
  <si>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</si>
  <si>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</si>
  <si>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</si>
  <si>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</si>
  <si>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</si>
  <si>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</si>
  <si>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</si>
  <si>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</si>
  <si>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</si>
  <si>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</si>
  <si>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</si>
  <si>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</si>
  <si>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</si>
  <si>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</si>
  <si>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</si>
  <si>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</si>
  <si>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</si>
  <si>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</si>
  <si>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</si>
  <si>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</si>
  <si>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</si>
  <si>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</si>
  <si>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</si>
  <si>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</si>
  <si>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</si>
  <si>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</si>
  <si>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</si>
  <si>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</si>
  <si>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</si>
  <si>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</si>
  <si>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</si>
  <si>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</si>
  <si>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</si>
  <si>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</si>
  <si>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</si>
  <si>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</si>
  <si>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</si>
  <si>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</si>
  <si>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</si>
  <si>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</si>
  <si>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</si>
  <si>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</si>
  <si>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</si>
  <si>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</si>
  <si>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</si>
  <si>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</si>
  <si>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</si>
  <si>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</si>
  <si>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</si>
  <si>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</si>
  <si>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</si>
  <si>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</si>
  <si>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</si>
  <si>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</si>
  <si>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</si>
  <si>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</si>
  <si>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</si>
  <si>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</si>
  <si>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</si>
  <si>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</si>
  <si>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</si>
  <si>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</si>
  <si>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</si>
  <si>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</si>
  <si>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</si>
  <si>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</si>
  <si>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</si>
  <si>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</si>
  <si>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</si>
  <si>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</si>
  <si>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</si>
  <si>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</si>
  <si>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</si>
  <si>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</si>
  <si>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</si>
  <si>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</si>
  <si>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</si>
  <si>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</si>
  <si>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</si>
  <si>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</si>
  <si>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</si>
  <si>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</si>
  <si>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</si>
  <si>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</si>
  <si>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</si>
  <si>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</si>
  <si>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</si>
  <si>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</si>
  <si>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</si>
  <si>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</si>
  <si>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</si>
  <si>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</si>
  <si>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</si>
  <si>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</si>
  <si>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</si>
  <si>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</si>
  <si>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</si>
  <si>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</si>
  <si>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</si>
  <si>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</si>
  <si>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</si>
  <si>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</si>
  <si>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</si>
  <si>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</si>
  <si>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</si>
  <si>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</si>
  <si>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</si>
  <si>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</si>
  <si>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</si>
  <si>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</si>
  <si>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</si>
  <si>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</si>
  <si>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</si>
  <si>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</si>
  <si>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</si>
  <si>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</si>
  <si>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</si>
  <si>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</si>
  <si>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</si>
  <si>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</si>
  <si>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</si>
  <si>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</si>
  <si>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</si>
  <si>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</si>
  <si>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</si>
  <si>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</si>
  <si>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</si>
  <si>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</si>
  <si>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</si>
  <si>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</si>
  <si>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</si>
  <si>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</si>
  <si>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</si>
  <si>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</si>
  <si>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</si>
  <si>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</si>
  <si>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</si>
  <si>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</si>
  <si>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</si>
  <si>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</si>
  <si>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</si>
  <si>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</si>
  <si>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</si>
  <si>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</si>
  <si>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</si>
  <si>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</si>
  <si>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</si>
  <si>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</si>
  <si>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</si>
  <si>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</si>
  <si>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</si>
  <si>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</si>
  <si>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</si>
  <si>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</si>
  <si>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</si>
  <si>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</si>
  <si>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</si>
  <si>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</si>
  <si>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</si>
  <si>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</si>
  <si>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</si>
  <si>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</si>
  <si>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</si>
  <si>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</si>
  <si>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</si>
  <si>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</si>
  <si>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</si>
  <si>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</si>
  <si>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</si>
  <si>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</si>
  <si>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</si>
  <si>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</si>
  <si>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</si>
  <si>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</si>
  <si>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</si>
  <si>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</si>
  <si>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</si>
  <si>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</si>
  <si>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</si>
  <si>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</si>
  <si>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</si>
  <si>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</si>
  <si>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</si>
  <si>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</si>
  <si>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</si>
  <si>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</si>
  <si>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</si>
  <si>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</si>
  <si>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</si>
  <si>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</si>
  <si>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</si>
  <si>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</si>
  <si>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</si>
  <si>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</si>
  <si>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</si>
  <si>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</si>
  <si>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</si>
  <si>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</si>
  <si>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</si>
  <si>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</si>
  <si>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</si>
  <si>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</si>
  <si>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</si>
  <si>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</si>
  <si>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</si>
  <si>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</si>
  <si>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</si>
  <si>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</si>
  <si>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</si>
  <si>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</si>
  <si>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</si>
  <si>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</si>
  <si>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</si>
  <si>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</si>
  <si>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</si>
  <si>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</si>
  <si>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</si>
  <si>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</si>
  <si>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</si>
  <si>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</si>
  <si>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</si>
  <si>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</si>
  <si>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</si>
  <si>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</si>
  <si>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</si>
  <si>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</si>
  <si>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</si>
  <si>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</si>
  <si>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</si>
  <si>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</si>
  <si>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</si>
  <si>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</si>
  <si>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</si>
  <si>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</si>
  <si>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</si>
  <si>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</si>
  <si>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</si>
  <si>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</si>
  <si>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</si>
  <si>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</si>
  <si>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</si>
  <si>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</si>
  <si>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</si>
  <si>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</si>
  <si>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</si>
  <si>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</si>
  <si>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</si>
  <si>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</si>
  <si>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</si>
  <si>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</si>
  <si>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</si>
  <si>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</si>
  <si>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</si>
  <si>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</si>
  <si>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</si>
  <si>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</si>
  <si>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</si>
  <si>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</si>
  <si>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</si>
  <si>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</si>
  <si>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</si>
  <si>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</si>
  <si>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</si>
  <si>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</si>
  <si>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</si>
  <si>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</si>
  <si>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</si>
  <si>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</si>
  <si>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</si>
  <si>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</si>
  <si>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</si>
  <si>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</si>
  <si>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</si>
  <si>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</si>
  <si>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</si>
  <si>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</si>
  <si>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</si>
  <si>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</si>
  <si>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</si>
  <si>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</si>
  <si>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</si>
  <si>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</si>
  <si>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</si>
  <si>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</si>
  <si>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</si>
  <si>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</si>
  <si>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</si>
  <si>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</si>
  <si>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</si>
  <si>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</si>
  <si>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</si>
  <si>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</si>
  <si>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</si>
  <si>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</si>
  <si>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</si>
  <si>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</si>
  <si>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</si>
  <si>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</si>
  <si>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</si>
  <si>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</si>
  <si>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</si>
  <si>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</si>
  <si>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</si>
  <si>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</si>
  <si>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</si>
  <si>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</si>
  <si>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</si>
  <si>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</si>
  <si>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</si>
  <si>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</si>
  <si>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</si>
  <si>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</si>
  <si>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</si>
  <si>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</si>
  <si>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</si>
  <si>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</si>
  <si>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</si>
  <si>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</si>
  <si>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</si>
  <si>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</si>
  <si>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</si>
  <si>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</si>
  <si>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</si>
  <si>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</si>
  <si>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</si>
  <si>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</si>
  <si>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</si>
  <si>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</si>
  <si>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</si>
  <si>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</si>
  <si>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</si>
  <si>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</si>
  <si>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</si>
  <si>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</si>
  <si>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</si>
  <si>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</si>
  <si>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</si>
  <si>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</si>
  <si>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</si>
  <si>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</si>
  <si>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</si>
  <si>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</si>
  <si>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</si>
  <si>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</si>
  <si>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</si>
  <si>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</si>
  <si>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</si>
  <si>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</si>
  <si>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</si>
  <si>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</si>
  <si>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</si>
  <si>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</si>
  <si>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</si>
  <si>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</si>
  <si>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</si>
  <si>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</si>
  <si>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</si>
  <si>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</si>
  <si>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</si>
  <si>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</si>
  <si>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</si>
  <si>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</si>
  <si>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</si>
  <si>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</si>
  <si>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</si>
  <si>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</si>
  <si>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</si>
  <si>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</si>
  <si>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</si>
  <si>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</si>
  <si>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</si>
  <si>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</si>
  <si>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</si>
  <si>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</si>
  <si>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</si>
  <si>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</si>
  <si>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</si>
  <si>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</si>
  <si>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</si>
  <si>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</si>
  <si>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</si>
  <si>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</si>
  <si>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</si>
  <si>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</si>
  <si>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</si>
  <si>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</si>
  <si>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</si>
  <si>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</si>
  <si>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</si>
  <si>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</si>
  <si>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</si>
  <si>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</si>
  <si>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</si>
  <si>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</si>
  <si>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</si>
  <si>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</si>
  <si>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</si>
  <si>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</si>
  <si>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</si>
  <si>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</si>
  <si>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</si>
  <si>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</si>
  <si>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</si>
  <si>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</si>
  <si>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</si>
  <si>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</si>
  <si>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</si>
  <si>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</si>
  <si>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</si>
  <si>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</si>
  <si>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</si>
  <si>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</si>
  <si>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</si>
  <si>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</si>
  <si>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</si>
  <si>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</si>
  <si>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</si>
  <si>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</si>
  <si>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</si>
  <si>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</si>
  <si>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</si>
  <si>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</si>
  <si>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</si>
  <si>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</si>
  <si>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</si>
  <si>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</si>
  <si>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</si>
  <si>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</si>
  <si>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</si>
  <si>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</si>
  <si>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</si>
  <si>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</si>
  <si>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</si>
  <si>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</si>
  <si>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</si>
  <si>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</si>
  <si>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</si>
  <si>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</si>
  <si>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</si>
  <si>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</si>
  <si>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</si>
  <si>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</si>
  <si>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</si>
  <si>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</si>
  <si>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</si>
  <si>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</si>
  <si>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</si>
  <si>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</si>
  <si>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</si>
  <si>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</si>
  <si>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</si>
  <si>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</si>
  <si>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</si>
  <si>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</si>
  <si>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</si>
  <si>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</si>
  <si>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</si>
  <si>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</si>
  <si>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</si>
  <si>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</si>
  <si>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</si>
  <si>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</si>
  <si>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</si>
  <si>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</si>
  <si>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</si>
  <si>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</si>
  <si>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</si>
  <si>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</si>
  <si>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</si>
  <si>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</si>
  <si>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</si>
  <si>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</si>
  <si>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</si>
  <si>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</si>
  <si>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</si>
  <si>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</si>
  <si>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</si>
  <si>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</si>
  <si>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</si>
  <si>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</si>
  <si>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Agriculture</t>
  </si>
  <si>
    <t xml:space="preserve">    Passed Through Illinois State Board of Education:</t>
  </si>
  <si>
    <t>19-4299-00</t>
  </si>
  <si>
    <t>18-4210-00</t>
  </si>
  <si>
    <t>19-4210-00</t>
  </si>
  <si>
    <t>18-4220-00</t>
  </si>
  <si>
    <t>19-4220-00</t>
  </si>
  <si>
    <t>N/A</t>
  </si>
  <si>
    <t>US Department of Education</t>
  </si>
  <si>
    <t>84.424A</t>
  </si>
  <si>
    <t>18-4300-00</t>
  </si>
  <si>
    <t>19-4300-00</t>
  </si>
  <si>
    <t>18-4625-00</t>
  </si>
  <si>
    <t>19-4625-00</t>
  </si>
  <si>
    <t>18-4932-00</t>
  </si>
  <si>
    <t>19-4932-00</t>
  </si>
  <si>
    <t>18-4400-00</t>
  </si>
  <si>
    <t xml:space="preserve">U.S Department of Education </t>
  </si>
  <si>
    <t xml:space="preserve">    Passed Through Special Education District of McHenry County:</t>
  </si>
  <si>
    <t xml:space="preserve">        Special Education - Grants to States (M)</t>
  </si>
  <si>
    <t>18-4620-00</t>
  </si>
  <si>
    <t>19-4620-00</t>
  </si>
  <si>
    <t xml:space="preserve">    Passed Through McHenry County Cooperative for Employment Education:</t>
  </si>
  <si>
    <t xml:space="preserve">        V.E. - Perkins - Title IIC</t>
  </si>
  <si>
    <t>19-4600-00</t>
  </si>
  <si>
    <t xml:space="preserve">    Passed Through Illinois State Board of Edcuation:</t>
  </si>
  <si>
    <t>19-4770-00</t>
  </si>
  <si>
    <t xml:space="preserve">       Subtotal CFDA "84"</t>
  </si>
  <si>
    <t>U.S. Department of Health &amp; Human Services</t>
  </si>
  <si>
    <t xml:space="preserve">    Passed Through Illinois Department of Healthcare &amp; Family Services:</t>
  </si>
  <si>
    <t xml:space="preserve">        Medicaid Matching Funds - Administrative Outreach</t>
  </si>
  <si>
    <t xml:space="preserve">    Subtotal CFDA "93"</t>
  </si>
  <si>
    <t>Total Federal Assistance</t>
  </si>
  <si>
    <t>18-4991-00</t>
  </si>
  <si>
    <t>19-4991-00</t>
  </si>
  <si>
    <t xml:space="preserve">        National School Lunch Program** (M)</t>
  </si>
  <si>
    <t xml:space="preserve">        School Breakfast Program** (M)</t>
  </si>
  <si>
    <t xml:space="preserve">        Food Donations Program (Non-Cash Commodities) (M)</t>
  </si>
  <si>
    <t>Subtotal CFDA "10"</t>
  </si>
  <si>
    <t xml:space="preserve">        IDEA - Room and Board* (M)</t>
  </si>
  <si>
    <t xml:space="preserve">        Title II - Teacher Quality*</t>
  </si>
  <si>
    <t xml:space="preserve">        Title IVA - Student Support &amp; Academic Enrichment*</t>
  </si>
  <si>
    <t xml:space="preserve">        Title I - Low Income*</t>
  </si>
  <si>
    <t xml:space="preserve">        Special Education - Preschool Grants (M)</t>
  </si>
  <si>
    <t>* Program Ends 8/31</t>
  </si>
  <si>
    <t>Medicaid - Admin Outreach - Admin Assessment FY2018</t>
  </si>
  <si>
    <t>Medicaid - Admin Outreach - Admin Assessment FY2019</t>
  </si>
  <si>
    <t>**Program Ends 9/30</t>
  </si>
  <si>
    <t>US Department of Agriculture/Department of Defense</t>
  </si>
  <si>
    <t>Total Child Nutrition Cluster</t>
  </si>
  <si>
    <t>Total Special Education Cluster</t>
  </si>
  <si>
    <t>Rounding</t>
  </si>
  <si>
    <t>Ed Fund - Page 10, Line 74 - Other Food Service</t>
  </si>
  <si>
    <t>Ed Fund - Page 10, Line 78 - Admissions - Other</t>
  </si>
  <si>
    <t>Ed Fund - Page 10, Line 81 - Other District/School Activity Revenue</t>
  </si>
  <si>
    <t>Capital Projects Fund - Page 11, Line106 - Other Local Fees</t>
  </si>
  <si>
    <t>Ed Fund - Page 11, Line106 - Other Local Fees</t>
  </si>
  <si>
    <t>O&amp;M Fund - Page 11, Line 107 - Other Local Revenues</t>
  </si>
  <si>
    <t>Ed Fund - Page 11, Line 121 - Other Unrestricted Grants-In-Aid from State Sources</t>
  </si>
  <si>
    <t>Ed Fund - Page 12, Line 168 - Other Restricted Revenue from State Sources</t>
  </si>
  <si>
    <t>STEP Grant</t>
  </si>
  <si>
    <t>Ed Fund - Page 15, Line 41 - Other Support Services - Pupils</t>
  </si>
  <si>
    <t>Ed Fund - Page 16, Line 73 - Other Support Services</t>
  </si>
  <si>
    <t>Replenish Petty Cash - East</t>
  </si>
  <si>
    <t>Debt Service Fund - Page 18, Line 171 - Debt Services - Other</t>
  </si>
  <si>
    <t>IMRF/SS Fund - Page 19, Line 237 - Other Support Services - Pupils</t>
  </si>
  <si>
    <t>Developer Donation Fees</t>
  </si>
  <si>
    <t>Library Grant</t>
  </si>
  <si>
    <t>X</t>
  </si>
  <si>
    <t>CHERYDEN JUERGENSEN</t>
  </si>
  <si>
    <t xml:space="preserve">MCHENRY </t>
  </si>
  <si>
    <t>4716 W CRYSTAL LAKE ROAD</t>
  </si>
  <si>
    <t>LAWSONDAVE@DIST156.ORG</t>
  </si>
  <si>
    <t>DAVID LAWSON</t>
  </si>
  <si>
    <t>815-385-7900</t>
  </si>
  <si>
    <t>815-344-7154</t>
  </si>
  <si>
    <t>2012 G.O. Refunding Bonds</t>
  </si>
  <si>
    <t>2019 G.O. School Bonds</t>
  </si>
  <si>
    <t>Energy savings Revenue</t>
  </si>
  <si>
    <t>Food service catering</t>
  </si>
  <si>
    <t>Ed-Instruction-Other-Outside Services</t>
  </si>
  <si>
    <t>10-1000-300</t>
  </si>
  <si>
    <t>PMA</t>
  </si>
  <si>
    <t>O&amp;M-Support Services-Outside Services</t>
  </si>
  <si>
    <t>Johnson Controls</t>
  </si>
  <si>
    <t>x</t>
  </si>
  <si>
    <t>ABM Services Group</t>
  </si>
  <si>
    <t>Northern Illinois Health Insurance Pool, Collective Liability Insurance Cooperative</t>
  </si>
  <si>
    <t>Franczek Radelet Attorneys and Counselors</t>
  </si>
  <si>
    <t>Special Education District of McHenry County</t>
  </si>
  <si>
    <t>McHenry School District #15</t>
  </si>
  <si>
    <t>McHenry County Cooperative for Employment Education</t>
  </si>
  <si>
    <r>
      <t xml:space="preserve">The accompanying Schedule of Expenditures of Federal Awards includes the federal grant activity of McHenry Community High School District No. 156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basic </t>
    </r>
    <r>
      <rPr>
        <sz val="9"/>
        <rFont val="Calibri"/>
        <family val="2"/>
        <scheme val="minor"/>
      </rPr>
      <t>financial statements.</t>
    </r>
  </si>
  <si>
    <t>Mo</t>
  </si>
  <si>
    <t>ADVERSE</t>
  </si>
  <si>
    <t>10.553, 10.555</t>
  </si>
  <si>
    <t>Child Nutrition Cluster</t>
  </si>
  <si>
    <t>Special Ed Cluster</t>
  </si>
  <si>
    <t>IDEA Flow-Through</t>
  </si>
  <si>
    <t>Special Education District of Lake County</t>
  </si>
  <si>
    <t>U.S. Department of Education</t>
  </si>
  <si>
    <t>Expenditures submitted for reimbursement to the grant should be correctly charged as to account, amount, and period.</t>
  </si>
  <si>
    <t>Not able to be calculated</t>
  </si>
  <si>
    <t>Expenditures posted to the purchased services expense accounts were lower than the amount submitted for reimbursement.</t>
  </si>
  <si>
    <t>IDEA grant expenditures can not be accurately traced to the IDEA general ledger accounts.</t>
  </si>
  <si>
    <t xml:space="preserve">Per review of General Ledger detail, the amounts posted to the purchased services expense accounts were lower than those on the expenditure reports submitted for reimbursement. </t>
  </si>
  <si>
    <t xml:space="preserve">The District budgeted for a consultant in purchased services, while she was actually paid as an employee and charged to salaries. Instead of amending the budget, the District submitted the reimbursement request for purchased services, even though in fact these were payroll expenses. </t>
  </si>
  <si>
    <t>2018-001</t>
  </si>
  <si>
    <t xml:space="preserve">Total amount of expenditures posted to the IDEA </t>
  </si>
  <si>
    <t>amount submitted for reimbursement.</t>
  </si>
  <si>
    <t xml:space="preserve">general ledger accounts was lower than the total </t>
  </si>
  <si>
    <t>Corrective action was taken. The District ensured that</t>
  </si>
  <si>
    <t>higher than the amount submitted for reimbursement.</t>
  </si>
  <si>
    <t xml:space="preserve">the total amount booked to the grant is equal to, or </t>
  </si>
  <si>
    <t>The District should verify that the allocation of expenditures to the grant is done correctly.</t>
  </si>
  <si>
    <t xml:space="preserve">The District will verify that the allocation of expenditures to the grant is done correctly. </t>
  </si>
  <si>
    <t>However, issues with the allocation of grant expenditures</t>
  </si>
  <si>
    <t>to the grant were noted in 2019 (see finding 2019-001).</t>
  </si>
  <si>
    <t>Illinois State Board of Education</t>
  </si>
  <si>
    <t>U.S. Department of Agriculture</t>
  </si>
  <si>
    <t>Three of the five applications selected for verification were redetermined incorrectly. While these students should have had their status changed based on the redetermination, no changes were made by the District.</t>
  </si>
  <si>
    <t>Three families received incorrect benefits.</t>
  </si>
  <si>
    <t>The District is required to determine an applicant's eligibility for free and reduced lunch based on the income information provided by the family, and the income guidelines provided by the Department of Agriculture.</t>
  </si>
  <si>
    <t>Clerical errors were made in redetermining the eligibility as part of the annual verification process.</t>
  </si>
  <si>
    <t xml:space="preserve">The District should verify that redeterminations are done correctly. A second staff member should review and sign off on the verification forms. </t>
  </si>
  <si>
    <t>The District will make sure that redeterminations are done correctly, and that someone other than the determining official will sign off on the verification forms.</t>
  </si>
  <si>
    <t>Three applications were retedermined incorectly.</t>
  </si>
  <si>
    <t>Not able to be calculated.</t>
  </si>
  <si>
    <t xml:space="preserve">The District is required to complete the verification process by the due date, use the proper forms for confirmation review and verification tracking, and have a verifying official review the confirmation review and verification tracking. </t>
  </si>
  <si>
    <t>The verification process was not done in a timely manner. The District did not use the required ISBE forms. The confirmation review and verification tracking was not reviewed by someone other than the confirming official.</t>
  </si>
  <si>
    <t xml:space="preserve">The District was late in finishing the verification process. They were not aware that they need to use the ISBE Confirmation Review and Verification Form. Procedures were not followed to ensure that there is an additional review of the verification process. </t>
  </si>
  <si>
    <t xml:space="preserve">The District should make sure that the verification process is initiated earlier and completed before the due date. The District should use the standard ISBE Confirmation Review and Verification Form. Procedures should be followed to ensure that there is an additional review of the verification process. </t>
  </si>
  <si>
    <t xml:space="preserve">The District will make sure that the verification process is initiated earlier and completed before the due date. They will use the standard ISBE Confirmation Review and Verification Form. Procedures will be followed to ensure that there is an additional review of the verification process. </t>
  </si>
  <si>
    <t>The District did not complete the verification process timely, accurately and completely.</t>
  </si>
  <si>
    <t xml:space="preserve">The verification process did not meet the compliance requirements for special tests and provisions. </t>
  </si>
  <si>
    <t>Salaries/Classified</t>
  </si>
  <si>
    <t>Refund for swim lessons</t>
  </si>
  <si>
    <t>Print shop revenue, athletics revenue, Pepsi sales commission, csonvenience - principals</t>
  </si>
  <si>
    <t>P-card Rebate, damaged/lost library books, phone trade in program, recycling rebates</t>
  </si>
  <si>
    <t>Oral surgery for student</t>
  </si>
  <si>
    <t>Bond Fees</t>
  </si>
  <si>
    <t>Matching IMRF/FICA</t>
  </si>
  <si>
    <t>UNMODIFIED</t>
  </si>
  <si>
    <t>#14. FY18 AFR was filed with ISBE late.</t>
  </si>
  <si>
    <t>McHenry CHSD 156</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</si>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</sst>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0"/>
      <name val="Arial"/>
    </font>
    <font>
      <u/>
      <sz val="8"/>
      <color indexed="12"/>
      <name val="Arial"/>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657">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5" fillId="0" borderId="0" applyAlignment="0"/>
    <xf numFmtId="181" fontId="164" fillId="0" borderId="0" applyFont="0" applyFill="0" applyBorder="0" applyAlignment="0" applyProtection="0"/>
    <xf numFmtId="182" fontId="164" fillId="0" borderId="0" applyFont="0" applyFill="0" applyBorder="0" applyAlignment="0" applyProtection="0"/>
    <xf numFmtId="43" fontId="15" fillId="0" borderId="0" applyAlignment="0"/>
    <xf numFmtId="0" fontId="7" fillId="0" borderId="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183" fontId="164" fillId="0" borderId="0" applyFont="0" applyFill="0" applyBorder="0" applyAlignment="0" applyProtection="0"/>
    <xf numFmtId="184" fontId="164" fillId="0" borderId="0" applyFont="0" applyFill="0" applyBorder="0" applyAlignment="0" applyProtection="0"/>
    <xf numFmtId="43" fontId="15" fillId="0" borderId="0" applyAlignment="0"/>
    <xf numFmtId="185" fontId="164" fillId="0" borderId="0" applyFont="0" applyFill="0" applyBorder="0" applyAlignment="0" applyProtection="0">
      <alignment horizontal="right"/>
    </xf>
    <xf numFmtId="186" fontId="164" fillId="0" borderId="0" applyFont="0" applyFill="0" applyBorder="0" applyAlignment="0" applyProtection="0"/>
    <xf numFmtId="187" fontId="164" fillId="0" borderId="0" applyFont="0" applyFill="0" applyBorder="0" applyAlignment="0" applyProtection="0">
      <alignment horizontal="right"/>
    </xf>
    <xf numFmtId="188" fontId="164" fillId="0" borderId="0" applyFont="0" applyFill="0" applyBorder="0" applyAlignment="0" applyProtection="0">
      <alignment horizontal="right"/>
    </xf>
    <xf numFmtId="189" fontId="164" fillId="0" borderId="0" applyFont="0" applyFill="0" applyBorder="0" applyAlignment="0" applyProtection="0">
      <alignment horizontal="right"/>
    </xf>
    <xf numFmtId="190" fontId="164" fillId="0" borderId="0" applyFont="0" applyFill="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58" fillId="28"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46" fillId="30" borderId="0" applyNumberFormat="0" applyBorder="0" applyAlignment="0" applyProtection="0"/>
    <xf numFmtId="0" fontId="146" fillId="31" borderId="0" applyNumberFormat="0" applyBorder="0" applyAlignment="0" applyProtection="0"/>
    <xf numFmtId="0" fontId="158" fillId="32"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46" fillId="30" borderId="0" applyNumberFormat="0" applyBorder="0" applyAlignment="0" applyProtection="0"/>
    <xf numFmtId="0" fontId="146" fillId="34"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7" borderId="0" applyNumberFormat="0" applyBorder="0" applyAlignment="0" applyProtection="0"/>
    <xf numFmtId="0" fontId="146" fillId="31" borderId="0" applyNumberFormat="0" applyBorder="0" applyAlignment="0" applyProtection="0"/>
    <xf numFmtId="0" fontId="158" fillId="31"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46" fillId="35" borderId="0" applyNumberFormat="0" applyBorder="0" applyAlignment="0" applyProtection="0"/>
    <xf numFmtId="0" fontId="146" fillId="27" borderId="0" applyNumberFormat="0" applyBorder="0" applyAlignment="0" applyProtection="0"/>
    <xf numFmtId="0" fontId="158" fillId="28"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46" fillId="30" borderId="0" applyNumberFormat="0" applyBorder="0" applyAlignment="0" applyProtection="0"/>
    <xf numFmtId="0" fontId="146" fillId="37" borderId="0" applyNumberFormat="0" applyBorder="0" applyAlignment="0" applyProtection="0"/>
    <xf numFmtId="0" fontId="158"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4" fillId="0" borderId="165" applyNumberFormat="0" applyFill="0" applyAlignment="0" applyProtection="0"/>
    <xf numFmtId="191" fontId="165" fillId="0" borderId="165" applyNumberFormat="0" applyFill="0" applyAlignment="0" applyProtection="0">
      <alignment horizontal="center"/>
    </xf>
    <xf numFmtId="191" fontId="165" fillId="0" borderId="78" applyFill="0" applyAlignment="0" applyProtection="0">
      <alignment horizontal="center"/>
    </xf>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66" fillId="0" borderId="0" applyProtection="0"/>
    <xf numFmtId="191" fontId="165" fillId="0" borderId="0" applyFill="0" applyBorder="0" applyProtection="0">
      <alignment horizont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6"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0" fontId="144" fillId="0" borderId="0" applyProtection="0"/>
    <xf numFmtId="192" fontId="164" fillId="0" borderId="0" applyFont="0" applyFill="0" applyBorder="0" applyAlignment="0" applyProtection="0"/>
    <xf numFmtId="191" fontId="165" fillId="0" borderId="167" applyNumberFormat="0" applyFill="0" applyAlignment="0" applyProtection="0"/>
    <xf numFmtId="0" fontId="164" fillId="0" borderId="167" applyNumberFormat="0" applyFill="0" applyAlignment="0" applyProtection="0"/>
    <xf numFmtId="0" fontId="157" fillId="41" borderId="0" applyNumberFormat="0" applyBorder="0" applyAlignment="0" applyProtection="0"/>
    <xf numFmtId="0" fontId="157" fillId="42" borderId="0" applyNumberFormat="0" applyBorder="0" applyAlignment="0" applyProtection="0"/>
    <xf numFmtId="0" fontId="157" fillId="43" borderId="0" applyNumberFormat="0" applyBorder="0" applyAlignment="0" applyProtection="0"/>
    <xf numFmtId="0" fontId="167" fillId="0" borderId="0" applyProtection="0"/>
    <xf numFmtId="0" fontId="16"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4" fillId="0" borderId="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5" fillId="0" borderId="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93" fontId="164" fillId="0" borderId="0" applyFont="0" applyFill="0" applyBorder="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65" fillId="0" borderId="0" applyNumberFormat="0" applyFill="0" applyAlignment="0" applyProtection="0"/>
    <xf numFmtId="0" fontId="15" fillId="0" borderId="0"/>
    <xf numFmtId="0" fontId="15" fillId="0" borderId="0"/>
    <xf numFmtId="0" fontId="15" fillId="0" borderId="0"/>
    <xf numFmtId="0" fontId="15" fillId="0" borderId="0"/>
    <xf numFmtId="0" fontId="7" fillId="0" borderId="0"/>
    <xf numFmtId="0" fontId="143" fillId="0" borderId="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194" fontId="165" fillId="0" borderId="0" applyFill="0" applyBorder="0" applyProtection="0">
      <alignment horizontal="right"/>
    </xf>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195"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3" applyNumberFormat="0" applyFont="0" applyFill="0" applyAlignment="0" applyProtection="0"/>
    <xf numFmtId="0" fontId="164" fillId="0" borderId="174" applyNumberFormat="0" applyFont="0" applyFill="0" applyAlignment="0" applyProtection="0"/>
    <xf numFmtId="0" fontId="164" fillId="0" borderId="141" applyNumberFormat="0" applyFon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43" fillId="0" borderId="0"/>
    <xf numFmtId="0" fontId="15" fillId="0" borderId="0"/>
    <xf numFmtId="0" fontId="15" fillId="0" borderId="0"/>
    <xf numFmtId="0" fontId="15" fillId="0" borderId="0"/>
    <xf numFmtId="0" fontId="15" fillId="0" borderId="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7" fillId="0" borderId="0"/>
    <xf numFmtId="0" fontId="15" fillId="0" borderId="0"/>
    <xf numFmtId="43" fontId="7" fillId="0" borderId="0" applyFont="0" applyFill="0" applyBorder="0" applyAlignment="0" applyProtection="0"/>
    <xf numFmtId="5" fontId="15" fillId="0" borderId="0" applyFont="0" applyFill="0" applyBorder="0" applyAlignment="0" applyProtection="0"/>
    <xf numFmtId="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56" fillId="0" borderId="0"/>
    <xf numFmtId="0" fontId="7" fillId="0" borderId="0"/>
    <xf numFmtId="43" fontId="7" fillId="0" borderId="0" applyFont="0" applyFill="0" applyBorder="0" applyAlignment="0" applyProtection="0"/>
    <xf numFmtId="0" fontId="7" fillId="0" borderId="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64" fillId="0" borderId="141" applyNumberFormat="0" applyFont="0" applyFill="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59" fillId="0" borderId="0" applyNumberFormat="0" applyFill="0" applyBorder="0" applyAlignment="0" applyProtection="0">
      <alignment vertical="top"/>
      <protection locked="0"/>
    </xf>
    <xf numFmtId="0" fontId="7"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84" fillId="0" borderId="0" applyAlignment="0"/>
    <xf numFmtId="43" fontId="184" fillId="0" borderId="0" applyFont="0" applyFill="0" applyBorder="0" applyAlignment="0" applyProtection="0"/>
    <xf numFmtId="43" fontId="5" fillId="0" borderId="0" applyFont="0" applyFill="0" applyBorder="0" applyAlignment="0" applyProtection="0"/>
    <xf numFmtId="43" fontId="184" fillId="0" borderId="0" applyFont="0" applyFill="0" applyBorder="0" applyAlignment="0" applyProtection="0"/>
    <xf numFmtId="3" fontId="184" fillId="0" borderId="0" applyFont="0" applyFill="0" applyBorder="0" applyAlignment="0" applyProtection="0"/>
    <xf numFmtId="44" fontId="184" fillId="0" borderId="0" applyFont="0" applyFill="0" applyBorder="0" applyAlignment="0" applyProtection="0"/>
    <xf numFmtId="5" fontId="184" fillId="0" borderId="0" applyFont="0" applyFill="0" applyBorder="0" applyAlignment="0" applyProtection="0"/>
    <xf numFmtId="0" fontId="185" fillId="0" borderId="0" applyNumberFormat="0" applyFill="0" applyBorder="0" applyAlignment="0" applyProtection="0">
      <alignment vertical="top"/>
      <protection locked="0"/>
    </xf>
    <xf numFmtId="0" fontId="184" fillId="0" borderId="0"/>
    <xf numFmtId="0" fontId="184" fillId="0" borderId="0"/>
    <xf numFmtId="0" fontId="5" fillId="0" borderId="0"/>
    <xf numFmtId="43" fontId="184" fillId="0" borderId="0" applyAlignment="0"/>
    <xf numFmtId="43" fontId="184" fillId="0" borderId="0" applyAlignment="0"/>
    <xf numFmtId="43" fontId="5" fillId="0" borderId="0" applyFont="0" applyFill="0" applyBorder="0" applyAlignment="0" applyProtection="0"/>
    <xf numFmtId="44" fontId="184" fillId="0" borderId="0" applyFont="0" applyFill="0" applyBorder="0" applyAlignment="0" applyProtection="0"/>
    <xf numFmtId="44" fontId="184" fillId="0" borderId="0" applyFon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4" fillId="63" borderId="172" applyNumberFormat="0" applyAlignment="0" applyProtection="0"/>
    <xf numFmtId="0" fontId="157" fillId="0" borderId="178" applyNumberFormat="0" applyFill="0" applyAlignment="0" applyProtection="0"/>
    <xf numFmtId="43" fontId="5" fillId="0" borderId="0" applyFont="0" applyFill="0" applyBorder="0" applyAlignment="0" applyProtection="0"/>
    <xf numFmtId="0" fontId="5" fillId="0" borderId="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64" fillId="0" borderId="141" applyNumberFormat="0" applyFon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64" fillId="0" borderId="141" applyNumberFormat="0" applyFon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43" fontId="5" fillId="0" borderId="0" applyFont="0" applyFill="0" applyBorder="0" applyAlignment="0" applyProtection="0"/>
    <xf numFmtId="0" fontId="5" fillId="0" borderId="0"/>
    <xf numFmtId="0" fontId="5" fillId="0" borderId="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7" fillId="0" borderId="175"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6" fillId="0" borderId="0" applyAlignment="0"/>
    <xf numFmtId="43" fontId="186" fillId="0" borderId="0" applyFont="0" applyFill="0" applyBorder="0" applyAlignment="0" applyProtection="0"/>
    <xf numFmtId="43" fontId="2" fillId="0" borderId="0" applyFont="0" applyFill="0" applyBorder="0" applyAlignment="0" applyProtection="0"/>
    <xf numFmtId="43" fontId="186" fillId="0" borderId="0" applyFont="0" applyFill="0" applyBorder="0" applyAlignment="0" applyProtection="0"/>
    <xf numFmtId="3" fontId="186" fillId="0" borderId="0" applyFont="0" applyFill="0" applyBorder="0" applyAlignment="0" applyProtection="0"/>
    <xf numFmtId="44" fontId="186" fillId="0" borderId="0" applyFont="0" applyFill="0" applyBorder="0" applyAlignment="0" applyProtection="0"/>
    <xf numFmtId="5" fontId="186" fillId="0" borderId="0" applyFont="0" applyFill="0" applyBorder="0" applyAlignment="0" applyProtection="0"/>
    <xf numFmtId="0" fontId="187" fillId="0" borderId="0" applyNumberFormat="0" applyFill="0" applyBorder="0" applyAlignment="0" applyProtection="0">
      <alignment vertical="top"/>
      <protection locked="0"/>
    </xf>
    <xf numFmtId="0" fontId="186" fillId="0" borderId="0"/>
    <xf numFmtId="0" fontId="186" fillId="0" borderId="0"/>
    <xf numFmtId="0" fontId="2" fillId="0" borderId="0"/>
    <xf numFmtId="43" fontId="186" fillId="0" borderId="0" applyAlignment="0"/>
    <xf numFmtId="43" fontId="186" fillId="0" borderId="0" applyAlignment="0"/>
    <xf numFmtId="43" fontId="2" fillId="0" borderId="0" applyFont="0" applyFill="0" applyBorder="0" applyAlignment="0" applyProtection="0"/>
    <xf numFmtId="44" fontId="186" fillId="0" borderId="0" applyFont="0" applyFill="0" applyBorder="0" applyAlignment="0" applyProtection="0"/>
    <xf numFmtId="44" fontId="186" fillId="0" borderId="0" applyFont="0" applyFill="0" applyBorder="0" applyAlignment="0" applyProtection="0"/>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6"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15" fillId="0" borderId="0" applyAlignment="0"/>
    <xf numFmtId="43" fontId="15" fillId="0" borderId="0" applyAlignment="0"/>
    <xf numFmtId="43" fontId="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cellStyleXfs>
  <cellXfs count="2561">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7" fillId="0" borderId="0" xfId="12" applyFont="1" applyBorder="1" applyAlignment="1" applyProtection="1">
      <alignment horizontal="left" vertical="center"/>
    </xf>
    <xf numFmtId="0" fontId="19" fillId="0" borderId="0" xfId="12" quotePrefix="1" applyNumberFormat="1" applyFont="1" applyBorder="1" applyAlignment="1" applyProtection="1">
      <alignment horizontal="left" vertical="center"/>
    </xf>
    <xf numFmtId="0" fontId="16" fillId="0" borderId="12" xfId="12" applyFont="1" applyBorder="1" applyAlignment="1" applyProtection="1">
      <alignmen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6" fillId="0" borderId="17"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1" fontId="15" fillId="0" borderId="0" xfId="0" applyNumberFormat="1" applyFont="1" applyFill="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5" xfId="12" applyNumberFormat="1" applyFont="1" applyBorder="1" applyAlignment="1" applyProtection="1">
      <alignment horizontal="right" vertical="center"/>
    </xf>
    <xf numFmtId="0" fontId="16" fillId="0" borderId="125" xfId="12" applyFont="1" applyBorder="1" applyAlignment="1" applyProtection="1">
      <alignment vertical="center"/>
    </xf>
    <xf numFmtId="0" fontId="19" fillId="0" borderId="128" xfId="12" applyFont="1" applyBorder="1" applyAlignment="1" applyProtection="1">
      <alignment vertical="center"/>
    </xf>
    <xf numFmtId="0" fontId="19" fillId="0" borderId="126" xfId="12" applyFont="1" applyBorder="1" applyAlignment="1" applyProtection="1">
      <alignment vertical="center"/>
    </xf>
    <xf numFmtId="1" fontId="15" fillId="0" borderId="0" xfId="0" applyNumberFormat="1" applyFont="1" applyAlignment="1">
      <alignment horizontal="center" vertical="center"/>
    </xf>
    <xf numFmtId="0" fontId="16" fillId="0" borderId="135"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21" xfId="0" applyFont="1" applyFill="1" applyBorder="1" applyAlignment="1" applyProtection="1">
      <alignment horizontal="left" vertical="center"/>
    </xf>
    <xf numFmtId="164" fontId="59" fillId="17" borderId="121" xfId="0" applyNumberFormat="1" applyFont="1" applyFill="1" applyBorder="1" applyAlignment="1" applyProtection="1">
      <alignment horizontal="center" vertical="center"/>
    </xf>
    <xf numFmtId="164" fontId="69" fillId="17" borderId="121" xfId="0" applyNumberFormat="1" applyFont="1" applyFill="1" applyBorder="1" applyAlignment="1" applyProtection="1">
      <alignment vertical="center"/>
    </xf>
    <xf numFmtId="0" fontId="82" fillId="10" borderId="122"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83" fillId="11" borderId="103" xfId="0" applyFont="1" applyFill="1" applyBorder="1" applyAlignment="1">
      <alignment vertical="center"/>
    </xf>
    <xf numFmtId="164" fontId="59" fillId="13" borderId="117" xfId="0" applyNumberFormat="1" applyFont="1" applyFill="1" applyBorder="1" applyAlignment="1" applyProtection="1">
      <alignment horizontal="center" vertical="center"/>
    </xf>
    <xf numFmtId="164" fontId="69" fillId="13" borderId="110" xfId="0" applyNumberFormat="1" applyFont="1" applyFill="1" applyBorder="1" applyAlignment="1" applyProtection="1">
      <alignment vertical="center"/>
    </xf>
    <xf numFmtId="0" fontId="62" fillId="13" borderId="103" xfId="0" applyFont="1" applyFill="1" applyBorder="1" applyAlignment="1" applyProtection="1">
      <alignment vertical="center"/>
    </xf>
    <xf numFmtId="38" fontId="54" fillId="11" borderId="120" xfId="0" applyNumberFormat="1" applyFont="1" applyFill="1" applyBorder="1" applyAlignment="1" applyProtection="1">
      <alignment horizontal="right"/>
      <protection locked="0"/>
    </xf>
    <xf numFmtId="38" fontId="54" fillId="11" borderId="103" xfId="0" applyNumberFormat="1" applyFont="1" applyFill="1" applyBorder="1" applyAlignment="1" applyProtection="1">
      <alignment horizontal="right"/>
      <protection locked="0"/>
    </xf>
    <xf numFmtId="38" fontId="54" fillId="11" borderId="110" xfId="0" applyNumberFormat="1" applyFont="1" applyFill="1" applyBorder="1" applyAlignment="1" applyProtection="1">
      <alignment horizontal="right"/>
      <protection locked="0"/>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67" fillId="13" borderId="117" xfId="0" applyFont="1" applyFill="1" applyBorder="1" applyAlignment="1" applyProtection="1">
      <alignment horizontal="left" vertical="center"/>
    </xf>
    <xf numFmtId="164" fontId="59" fillId="13" borderId="110"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83" fillId="11" borderId="103" xfId="0" applyFont="1" applyFill="1" applyBorder="1" applyAlignment="1">
      <alignment horizontal="left" vertical="center"/>
    </xf>
    <xf numFmtId="0" fontId="59" fillId="13" borderId="118" xfId="0" applyFont="1" applyFill="1" applyBorder="1" applyAlignment="1" applyProtection="1">
      <alignment horizontal="center" vertical="center"/>
    </xf>
    <xf numFmtId="164" fontId="59" fillId="13" borderId="119" xfId="0" applyNumberFormat="1" applyFont="1" applyFill="1" applyBorder="1" applyAlignment="1" applyProtection="1">
      <alignment horizontal="center" vertical="center"/>
    </xf>
    <xf numFmtId="164" fontId="69" fillId="13" borderId="119" xfId="0" applyNumberFormat="1" applyFont="1" applyFill="1" applyBorder="1" applyAlignment="1" applyProtection="1">
      <alignment vertical="center"/>
    </xf>
    <xf numFmtId="38" fontId="54" fillId="11" borderId="110" xfId="0" applyNumberFormat="1" applyFont="1" applyFill="1" applyBorder="1" applyAlignment="1">
      <alignment horizontal="right"/>
    </xf>
    <xf numFmtId="0" fontId="82" fillId="10" borderId="104" xfId="0" applyFont="1" applyFill="1" applyBorder="1" applyAlignment="1">
      <alignment horizontal="left" vertical="center"/>
    </xf>
    <xf numFmtId="38" fontId="54" fillId="10" borderId="104" xfId="0" applyNumberFormat="1" applyFont="1" applyFill="1" applyBorder="1" applyAlignment="1">
      <alignment horizontal="right"/>
    </xf>
    <xf numFmtId="38" fontId="54" fillId="10" borderId="0" xfId="0" applyNumberFormat="1" applyFont="1" applyFill="1" applyBorder="1" applyAlignment="1" applyProtection="1">
      <alignment horizontal="right"/>
      <protection locked="0"/>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38" fontId="62" fillId="0" borderId="2" xfId="0" applyNumberFormat="1" applyFont="1" applyBorder="1" applyAlignment="1" applyProtection="1">
      <alignment vertical="center"/>
      <protection locked="0"/>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0" fontId="62" fillId="0" borderId="0" xfId="5" applyNumberFormat="1"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5" fontId="67" fillId="0" borderId="0" xfId="0" applyNumberFormat="1" applyFont="1" applyFill="1" applyBorder="1" applyAlignment="1" applyProtection="1">
      <alignment horizontal="right"/>
    </xf>
    <xf numFmtId="173" fontId="67" fillId="0" borderId="0" xfId="0" applyNumberFormat="1" applyFont="1" applyBorder="1" applyProtection="1"/>
    <xf numFmtId="0" fontId="67" fillId="0" borderId="0" xfId="5" applyNumberFormat="1" applyFont="1" applyBorder="1" applyAlignment="1" applyProtection="1">
      <alignment horizontal="right"/>
    </xf>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2" fontId="67" fillId="0" borderId="0" xfId="0" applyNumberFormat="1"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5" quotePrefix="1" applyNumberFormat="1" applyFont="1" applyBorder="1" applyAlignment="1" applyProtection="1">
      <alignment horizontal="right"/>
    </xf>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40" fontId="67" fillId="0" borderId="0" xfId="0" applyNumberFormat="1" applyFont="1" applyFill="1" applyBorder="1" applyAlignment="1" applyProtection="1">
      <alignment horizontal="right"/>
    </xf>
    <xf numFmtId="1" fontId="67" fillId="0" borderId="0" xfId="0" applyNumberFormat="1" applyFont="1" applyBorder="1" applyProtection="1"/>
    <xf numFmtId="39" fontId="67" fillId="0" borderId="0" xfId="0" applyNumberFormat="1" applyFont="1" applyBorder="1" applyProtection="1"/>
    <xf numFmtId="1" fontId="62" fillId="0" borderId="0" xfId="5" applyNumberFormat="1" applyFont="1" applyBorder="1" applyAlignment="1" applyProtection="1">
      <alignment horizontal="right"/>
    </xf>
    <xf numFmtId="40" fontId="67" fillId="0" borderId="0" xfId="0" applyNumberFormat="1" applyFont="1" applyBorder="1" applyAlignment="1" applyProtection="1">
      <alignment horizontal="right" vertical="center"/>
    </xf>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2" fontId="67" fillId="0" borderId="0" xfId="0" applyNumberFormat="1" applyFont="1" applyBorder="1" applyAlignment="1" applyProtection="1">
      <alignment horizontal="right" vertical="center"/>
    </xf>
    <xf numFmtId="40" fontId="67" fillId="0" borderId="0" xfId="0" applyNumberFormat="1" applyFont="1" applyFill="1" applyBorder="1" applyAlignment="1" applyProtection="1">
      <alignment horizontal="right" vertical="center"/>
    </xf>
    <xf numFmtId="49" fontId="67" fillId="0" borderId="0" xfId="0" applyNumberFormat="1" applyFont="1" applyBorder="1" applyProtection="1"/>
    <xf numFmtId="0" fontId="67" fillId="0" borderId="0" xfId="0" applyFont="1" applyBorder="1" applyAlignment="1" applyProtection="1">
      <alignment horizontal="center"/>
    </xf>
    <xf numFmtId="172" fontId="67" fillId="0" borderId="0" xfId="0" applyNumberFormat="1" applyFont="1" applyBorder="1" applyAlignment="1" applyProtection="1">
      <alignment horizontal="right"/>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2" fontId="70" fillId="0" borderId="0" xfId="0" applyNumberFormat="1"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0" fontId="71" fillId="0" borderId="0" xfId="5" applyNumberFormat="1" applyFont="1" applyFill="1" applyBorder="1" applyAlignment="1" applyProtection="1">
      <alignment horizontal="right"/>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3" borderId="26" xfId="0" applyNumberFormat="1" applyFont="1" applyFill="1" applyBorder="1" applyAlignment="1" applyProtection="1">
      <alignment horizontal="right"/>
    </xf>
    <xf numFmtId="38" fontId="60" fillId="3" borderId="18" xfId="0" applyNumberFormat="1" applyFont="1" applyFill="1" applyBorder="1" applyAlignment="1" applyProtection="1">
      <alignment horizontal="right"/>
    </xf>
    <xf numFmtId="0" fontId="67" fillId="0" borderId="2" xfId="0" applyFont="1" applyBorder="1" applyAlignment="1" applyProtection="1">
      <alignment horizontal="center" vertical="center"/>
    </xf>
    <xf numFmtId="38" fontId="60" fillId="0" borderId="0" xfId="0" applyNumberFormat="1" applyFont="1" applyBorder="1" applyAlignment="1" applyProtection="1">
      <alignment horizontal="right"/>
      <protection locked="0"/>
    </xf>
    <xf numFmtId="0" fontId="67" fillId="0" borderId="14" xfId="0" applyFont="1" applyBorder="1" applyAlignment="1" applyProtection="1">
      <alignment horizontal="left" vertical="center" indent="1"/>
    </xf>
    <xf numFmtId="38" fontId="60" fillId="6" borderId="3" xfId="0" applyNumberFormat="1" applyFont="1" applyFill="1" applyBorder="1" applyAlignment="1" applyProtection="1">
      <alignment horizontal="right"/>
    </xf>
    <xf numFmtId="38" fontId="60" fillId="6" borderId="26" xfId="0" applyNumberFormat="1" applyFont="1" applyFill="1" applyBorder="1" applyAlignment="1" applyProtection="1">
      <alignment horizontal="right"/>
    </xf>
    <xf numFmtId="38" fontId="60" fillId="0" borderId="4"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6" borderId="4" xfId="0" applyNumberFormat="1" applyFont="1" applyFill="1" applyBorder="1" applyAlignment="1" applyProtection="1">
      <alignment horizontal="right"/>
    </xf>
    <xf numFmtId="38" fontId="60" fillId="0" borderId="4" xfId="0" applyNumberFormat="1" applyFont="1" applyBorder="1" applyAlignment="1" applyProtection="1">
      <alignment horizontal="right"/>
      <protection locked="0"/>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38" fontId="60" fillId="6" borderId="18" xfId="0" applyNumberFormat="1" applyFont="1" applyFill="1" applyBorder="1" applyAlignment="1" applyProtection="1">
      <alignment horizontal="right"/>
    </xf>
    <xf numFmtId="0" fontId="62" fillId="0" borderId="0" xfId="0" applyFont="1" applyFill="1" applyAlignment="1" applyProtection="1">
      <alignment vertical="center"/>
    </xf>
    <xf numFmtId="38" fontId="60" fillId="6" borderId="0"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38" fontId="60" fillId="0" borderId="4" xfId="0" applyNumberFormat="1" applyFont="1" applyBorder="1" applyAlignment="1" applyProtection="1">
      <alignment horizontal="right"/>
    </xf>
    <xf numFmtId="0" fontId="67" fillId="0" borderId="2" xfId="0" applyFont="1" applyFill="1" applyBorder="1" applyAlignment="1" applyProtection="1">
      <alignment horizontal="left" vertical="center" indent="1"/>
    </xf>
    <xf numFmtId="38" fontId="62" fillId="6" borderId="26" xfId="0" applyNumberFormat="1" applyFont="1" applyFill="1" applyBorder="1" applyAlignment="1">
      <alignment horizontal="right"/>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38" fontId="60" fillId="6" borderId="3" xfId="0" applyNumberFormat="1" applyFont="1" applyFill="1" applyBorder="1" applyAlignment="1">
      <alignment horizontal="right"/>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8" fontId="60" fillId="3" borderId="21" xfId="0" applyNumberFormat="1" applyFont="1" applyFill="1" applyBorder="1" applyAlignment="1" applyProtection="1">
      <alignment horizontal="right"/>
    </xf>
    <xf numFmtId="38" fontId="60" fillId="3" borderId="0" xfId="0" applyNumberFormat="1" applyFont="1" applyFill="1" applyBorder="1" applyAlignment="1" applyProtection="1">
      <alignment horizontal="right"/>
    </xf>
    <xf numFmtId="38" fontId="60" fillId="3" borderId="3" xfId="0" applyNumberFormat="1" applyFont="1" applyFill="1" applyBorder="1" applyAlignment="1" applyProtection="1">
      <alignment horizontal="right"/>
    </xf>
    <xf numFmtId="38" fontId="60" fillId="3" borderId="13" xfId="0" applyNumberFormat="1" applyFont="1" applyFill="1" applyBorder="1" applyAlignment="1" applyProtection="1">
      <alignment horizontal="right"/>
    </xf>
    <xf numFmtId="38" fontId="60" fillId="3" borderId="2" xfId="0" applyNumberFormat="1" applyFont="1" applyFill="1" applyBorder="1" applyAlignment="1" applyProtection="1">
      <alignment horizontal="right"/>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38" fontId="60" fillId="0" borderId="19" xfId="0" applyNumberFormat="1" applyFont="1" applyBorder="1" applyAlignment="1" applyProtection="1">
      <alignment horizontal="right"/>
      <protection locked="0"/>
    </xf>
    <xf numFmtId="38" fontId="60" fillId="0" borderId="11" xfId="0" applyNumberFormat="1" applyFont="1" applyBorder="1" applyAlignment="1" applyProtection="1">
      <alignment horizontal="right"/>
      <protection locked="0"/>
    </xf>
    <xf numFmtId="0" fontId="59" fillId="0" borderId="0" xfId="0" applyFont="1" applyAlignment="1" applyProtection="1">
      <alignment vertical="center"/>
    </xf>
    <xf numFmtId="0" fontId="70" fillId="0" borderId="0" xfId="0" applyFont="1" applyAlignment="1" applyProtection="1">
      <alignment vertical="center"/>
    </xf>
    <xf numFmtId="38" fontId="60" fillId="3" borderId="11" xfId="0" applyNumberFormat="1" applyFont="1" applyFill="1" applyBorder="1" applyAlignment="1" applyProtection="1">
      <alignment horizontal="right"/>
    </xf>
    <xf numFmtId="38" fontId="60" fillId="3" borderId="4" xfId="0" applyNumberFormat="1" applyFont="1" applyFill="1" applyBorder="1" applyAlignment="1" applyProtection="1">
      <alignment horizontal="right"/>
    </xf>
    <xf numFmtId="38" fontId="60" fillId="3" borderId="19" xfId="0" applyNumberFormat="1" applyFont="1" applyFill="1" applyBorder="1" applyAlignment="1" applyProtection="1">
      <alignment horizontal="right"/>
    </xf>
    <xf numFmtId="38" fontId="60" fillId="3" borderId="14" xfId="0" applyNumberFormat="1" applyFont="1" applyFill="1" applyBorder="1" applyAlignment="1" applyProtection="1">
      <alignment horizontal="right"/>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38" fontId="60" fillId="6" borderId="2" xfId="0" applyNumberFormat="1" applyFont="1" applyFill="1" applyBorder="1" applyAlignment="1" applyProtection="1">
      <alignment horizontal="right"/>
    </xf>
    <xf numFmtId="0" fontId="67" fillId="0" borderId="2" xfId="0" applyFont="1" applyFill="1" applyBorder="1" applyAlignment="1" applyProtection="1">
      <alignment horizontal="center" vertical="top"/>
    </xf>
    <xf numFmtId="38" fontId="60" fillId="6" borderId="28" xfId="0" applyNumberFormat="1" applyFont="1" applyFill="1" applyBorder="1" applyAlignment="1" applyProtection="1">
      <alignment horizontal="right"/>
    </xf>
    <xf numFmtId="0" fontId="60" fillId="0" borderId="0" xfId="0" applyFont="1" applyFill="1" applyBorder="1" applyAlignment="1" applyProtection="1">
      <alignment vertical="center"/>
    </xf>
    <xf numFmtId="38" fontId="60" fillId="0" borderId="33" xfId="0" applyNumberFormat="1" applyFont="1" applyFill="1" applyBorder="1" applyAlignment="1" applyProtection="1">
      <alignment horizontal="right"/>
      <protection locked="0"/>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38" fontId="60" fillId="3" borderId="17" xfId="0" applyNumberFormat="1" applyFont="1" applyFill="1" applyBorder="1" applyAlignment="1" applyProtection="1">
      <alignment horizontal="right"/>
    </xf>
    <xf numFmtId="37" fontId="60" fillId="3" borderId="17" xfId="0" applyNumberFormat="1" applyFont="1" applyFill="1" applyBorder="1" applyAlignment="1" applyProtection="1">
      <alignment horizontal="right"/>
    </xf>
    <xf numFmtId="37" fontId="60" fillId="3" borderId="26" xfId="0" applyNumberFormat="1" applyFont="1" applyFill="1" applyBorder="1" applyAlignment="1" applyProtection="1">
      <alignment horizontal="right"/>
    </xf>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38" fontId="60" fillId="0" borderId="19" xfId="0" applyNumberFormat="1" applyFont="1" applyFill="1" applyBorder="1" applyAlignment="1" applyProtection="1">
      <alignment horizontal="right"/>
      <protection locked="0"/>
    </xf>
    <xf numFmtId="38" fontId="60" fillId="3" borderId="0" xfId="0" applyNumberFormat="1" applyFont="1" applyFill="1" applyAlignment="1" applyProtection="1">
      <alignment horizontal="right"/>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38" fontId="60" fillId="3" borderId="38" xfId="0" applyNumberFormat="1" applyFont="1" applyFill="1" applyBorder="1" applyAlignment="1" applyProtection="1">
      <alignment horizontal="right"/>
    </xf>
    <xf numFmtId="38" fontId="60" fillId="3" borderId="28" xfId="0" applyNumberFormat="1" applyFont="1" applyFill="1" applyBorder="1" applyAlignment="1" applyProtection="1">
      <alignment horizontal="right"/>
    </xf>
    <xf numFmtId="1" fontId="67" fillId="0" borderId="4" xfId="0" applyNumberFormat="1" applyFont="1" applyBorder="1" applyAlignment="1" applyProtection="1">
      <alignment horizontal="center" vertical="center"/>
    </xf>
    <xf numFmtId="1" fontId="67" fillId="0" borderId="127" xfId="0" applyNumberFormat="1" applyFont="1" applyBorder="1" applyAlignment="1" applyProtection="1">
      <alignment horizontal="center" vertical="center"/>
    </xf>
    <xf numFmtId="38" fontId="60" fillId="3" borderId="127" xfId="0" applyNumberFormat="1" applyFont="1" applyFill="1" applyBorder="1" applyAlignment="1" applyProtection="1">
      <alignment horizontal="right"/>
    </xf>
    <xf numFmtId="38" fontId="60" fillId="3" borderId="29" xfId="0" applyNumberFormat="1" applyFont="1" applyFill="1" applyBorder="1" applyAlignment="1" applyProtection="1">
      <alignment horizontal="right"/>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38" fontId="60" fillId="0" borderId="33"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0" fontId="67" fillId="0" borderId="2" xfId="0" applyFont="1" applyBorder="1" applyAlignment="1" applyProtection="1">
      <alignment horizontal="center" vertical="top" wrapText="1"/>
    </xf>
    <xf numFmtId="38" fontId="60" fillId="3" borderId="39"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vertical="center"/>
      <protection locked="0"/>
    </xf>
    <xf numFmtId="38" fontId="60" fillId="6" borderId="2" xfId="0" applyNumberFormat="1" applyFont="1" applyFill="1" applyBorder="1" applyAlignment="1" applyProtection="1">
      <alignment horizontal="right" vertical="center"/>
    </xf>
    <xf numFmtId="0" fontId="67" fillId="0" borderId="26" xfId="0" applyFont="1" applyBorder="1" applyAlignment="1" applyProtection="1">
      <alignment horizontal="center" vertical="center"/>
    </xf>
    <xf numFmtId="0" fontId="67" fillId="0" borderId="130"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38" fontId="60" fillId="3" borderId="31" xfId="0" applyNumberFormat="1" applyFont="1" applyFill="1" applyBorder="1" applyAlignment="1" applyProtection="1">
      <alignment horizontal="right" vertical="center"/>
    </xf>
    <xf numFmtId="38" fontId="60" fillId="3" borderId="28" xfId="0" applyNumberFormat="1" applyFont="1" applyFill="1" applyBorder="1" applyAlignment="1" applyProtection="1">
      <alignment horizontal="right" vertical="center"/>
    </xf>
    <xf numFmtId="38" fontId="60" fillId="3" borderId="0" xfId="0" applyNumberFormat="1" applyFont="1" applyFill="1" applyAlignment="1" applyProtection="1">
      <alignment horizontal="right" vertical="center"/>
    </xf>
    <xf numFmtId="38" fontId="60" fillId="3" borderId="26" xfId="0" applyNumberFormat="1" applyFont="1" applyFill="1" applyBorder="1" applyAlignment="1" applyProtection="1">
      <alignment horizontal="right" vertical="center"/>
    </xf>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3" fontId="60" fillId="3" borderId="127" xfId="0" applyNumberFormat="1" applyFont="1" applyFill="1" applyBorder="1" applyAlignment="1">
      <alignment horizontal="center"/>
    </xf>
    <xf numFmtId="3" fontId="60" fillId="3" borderId="26" xfId="0" applyNumberFormat="1" applyFont="1" applyFill="1" applyBorder="1" applyAlignment="1">
      <alignment horizontal="center"/>
    </xf>
    <xf numFmtId="3" fontId="60" fillId="3" borderId="127" xfId="0" applyNumberFormat="1" applyFont="1" applyFill="1" applyBorder="1" applyAlignment="1">
      <alignment horizontal="right"/>
    </xf>
    <xf numFmtId="0" fontId="67" fillId="0" borderId="0" xfId="0" applyFont="1" applyBorder="1" applyAlignment="1"/>
    <xf numFmtId="49" fontId="67" fillId="0" borderId="2" xfId="0" applyNumberFormat="1" applyFont="1" applyBorder="1" applyAlignment="1">
      <alignment horizontal="center" vertical="center"/>
    </xf>
    <xf numFmtId="38" fontId="60" fillId="2" borderId="2" xfId="0" applyNumberFormat="1" applyFont="1" applyFill="1" applyBorder="1" applyAlignment="1">
      <alignment horizontal="right"/>
    </xf>
    <xf numFmtId="38" fontId="60" fillId="3" borderId="26" xfId="0" applyNumberFormat="1" applyFont="1" applyFill="1" applyBorder="1" applyAlignment="1">
      <alignment horizontal="right"/>
    </xf>
    <xf numFmtId="49" fontId="69" fillId="2" borderId="27" xfId="0" applyNumberFormat="1" applyFont="1" applyFill="1" applyBorder="1" applyAlignment="1">
      <alignment horizontal="center" vertical="center"/>
    </xf>
    <xf numFmtId="38" fontId="60" fillId="3" borderId="28" xfId="0" applyNumberFormat="1" applyFont="1" applyFill="1" applyBorder="1" applyAlignment="1">
      <alignment horizontal="right"/>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38" fontId="60" fillId="3" borderId="4" xfId="0" applyNumberFormat="1" applyFont="1" applyFill="1" applyBorder="1" applyAlignment="1">
      <alignment horizontal="right"/>
    </xf>
    <xf numFmtId="164" fontId="69" fillId="3" borderId="125"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38" fontId="60" fillId="3" borderId="29" xfId="0" applyNumberFormat="1" applyFont="1" applyFill="1" applyBorder="1" applyAlignment="1">
      <alignment horizontal="right"/>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38" fontId="60" fillId="3" borderId="31" xfId="0" applyNumberFormat="1" applyFont="1" applyFill="1" applyBorder="1" applyAlignment="1">
      <alignment horizontal="right"/>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38" fontId="60" fillId="5" borderId="4" xfId="0" applyNumberFormat="1" applyFont="1" applyFill="1" applyBorder="1" applyAlignment="1" applyProtection="1">
      <alignment horizontal="right"/>
      <protection locked="0"/>
    </xf>
    <xf numFmtId="0" fontId="67" fillId="0" borderId="29" xfId="0" applyFont="1" applyFill="1" applyBorder="1" applyAlignment="1">
      <alignment horizontal="center" vertical="center"/>
    </xf>
    <xf numFmtId="38" fontId="60" fillId="6" borderId="28" xfId="0" applyNumberFormat="1" applyFont="1" applyFill="1" applyBorder="1" applyAlignment="1">
      <alignment horizontal="right"/>
    </xf>
    <xf numFmtId="0" fontId="67" fillId="0" borderId="4" xfId="0" applyFont="1" applyFill="1" applyBorder="1" applyAlignment="1">
      <alignment horizontal="center" vertical="center"/>
    </xf>
    <xf numFmtId="38" fontId="60" fillId="6" borderId="26" xfId="0" applyNumberFormat="1" applyFont="1" applyFill="1" applyBorder="1" applyAlignment="1">
      <alignment horizontal="right"/>
    </xf>
    <xf numFmtId="0" fontId="67" fillId="0" borderId="2" xfId="0" applyFont="1" applyFill="1" applyBorder="1" applyAlignment="1">
      <alignment horizontal="center" vertical="center"/>
    </xf>
    <xf numFmtId="0" fontId="67" fillId="0" borderId="127" xfId="0" applyFont="1" applyFill="1" applyBorder="1" applyAlignment="1">
      <alignment horizontal="center" vertical="center"/>
    </xf>
    <xf numFmtId="38" fontId="60" fillId="6" borderId="4" xfId="0" applyNumberFormat="1" applyFont="1" applyFill="1" applyBorder="1" applyAlignment="1">
      <alignment horizontal="right"/>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38" fontId="60" fillId="0" borderId="21" xfId="0" applyNumberFormat="1" applyFont="1" applyFill="1" applyBorder="1" applyAlignment="1">
      <alignment horizontal="right"/>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38" fontId="60" fillId="3" borderId="2" xfId="0" applyNumberFormat="1" applyFont="1" applyFill="1" applyBorder="1" applyAlignment="1">
      <alignment horizontal="right"/>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8" fontId="60" fillId="6" borderId="29" xfId="0" applyNumberFormat="1" applyFont="1" applyFill="1" applyBorder="1" applyAlignment="1">
      <alignment horizontal="right"/>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5"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6" xfId="0" applyNumberFormat="1" applyFont="1" applyFill="1" applyBorder="1" applyAlignment="1">
      <alignment horizontal="center" vertical="center"/>
    </xf>
    <xf numFmtId="49" fontId="67" fillId="0" borderId="127"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38" fontId="60" fillId="3" borderId="127" xfId="0" applyNumberFormat="1" applyFont="1" applyFill="1" applyBorder="1" applyAlignment="1">
      <alignment horizontal="right"/>
    </xf>
    <xf numFmtId="38" fontId="60" fillId="3" borderId="3" xfId="0" applyNumberFormat="1" applyFont="1" applyFill="1" applyBorder="1" applyAlignment="1">
      <alignment horizontal="right"/>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5"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38" fontId="60" fillId="0" borderId="20" xfId="0" applyNumberFormat="1" applyFont="1" applyFill="1" applyBorder="1" applyAlignment="1">
      <alignment horizontal="right"/>
    </xf>
    <xf numFmtId="38" fontId="60" fillId="0" borderId="0" xfId="0" applyNumberFormat="1" applyFont="1" applyFill="1" applyBorder="1" applyAlignment="1">
      <alignment horizontal="right"/>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0" fontId="62" fillId="6" borderId="0" xfId="0" applyFont="1" applyFill="1" applyAlignment="1">
      <alignment vertical="center"/>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38" fontId="60" fillId="6" borderId="0" xfId="8" applyNumberFormat="1" applyFont="1" applyFill="1" applyBorder="1" applyAlignment="1" applyProtection="1">
      <alignment horizontal="right"/>
    </xf>
    <xf numFmtId="38" fontId="60" fillId="6" borderId="26" xfId="8" applyNumberFormat="1" applyFont="1" applyFill="1" applyBorder="1" applyAlignment="1" applyProtection="1">
      <alignment horizontal="right"/>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38" fontId="69" fillId="6" borderId="3" xfId="0" applyNumberFormat="1" applyFont="1" applyFill="1" applyBorder="1" applyAlignment="1">
      <alignment horizontal="center" vertical="center" wrapText="1"/>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9" fillId="0" borderId="2" xfId="0" applyNumberFormat="1" applyFont="1" applyFill="1" applyBorder="1" applyAlignment="1" applyProtection="1">
      <alignment horizontal="center" vertical="center" wrapText="1"/>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0" borderId="2" xfId="0" applyNumberFormat="1" applyFont="1" applyBorder="1" applyAlignment="1" applyProtection="1">
      <alignment horizontal="right" vertical="center"/>
      <protection locked="0"/>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 fontId="60" fillId="0" borderId="2" xfId="9" applyNumberFormat="1" applyFont="1" applyFill="1" applyBorder="1" applyAlignment="1" applyProtection="1">
      <alignment horizontal="right" vertical="center"/>
      <protection locked="0"/>
    </xf>
    <xf numFmtId="0" fontId="62" fillId="0" borderId="0" xfId="9" applyFont="1" applyFill="1" applyAlignment="1"/>
    <xf numFmtId="0" fontId="67" fillId="0" borderId="0" xfId="9" applyFont="1" applyFill="1" applyAlignment="1"/>
    <xf numFmtId="38" fontId="60" fillId="0" borderId="2" xfId="9" applyNumberFormat="1" applyFont="1" applyFill="1" applyBorder="1" applyAlignment="1" applyProtection="1">
      <alignment horizontal="right" vertical="center"/>
      <protection locked="0"/>
    </xf>
    <xf numFmtId="0" fontId="86" fillId="0" borderId="0" xfId="9" applyFont="1" applyFill="1" applyAlignment="1">
      <alignment vertical="top"/>
    </xf>
    <xf numFmtId="0" fontId="60" fillId="0" borderId="2" xfId="0" applyFont="1" applyFill="1" applyBorder="1" applyAlignment="1" applyProtection="1">
      <alignment horizontal="right"/>
      <protection locked="0"/>
    </xf>
    <xf numFmtId="0" fontId="60" fillId="0" borderId="2" xfId="9" applyFont="1" applyFill="1" applyBorder="1" applyAlignment="1" applyProtection="1">
      <alignment horizontal="right" vertical="top"/>
      <protection locked="0"/>
    </xf>
    <xf numFmtId="38" fontId="60" fillId="0" borderId="2" xfId="9" applyNumberFormat="1" applyFont="1" applyFill="1" applyBorder="1" applyAlignment="1" applyProtection="1">
      <alignment horizontal="right" vertical="top"/>
      <protection locked="0"/>
    </xf>
    <xf numFmtId="38" fontId="60" fillId="0" borderId="2" xfId="9" quotePrefix="1" applyNumberFormat="1" applyFont="1" applyFill="1" applyBorder="1" applyAlignment="1" applyProtection="1">
      <alignment horizontal="right"/>
      <protection locked="0"/>
    </xf>
    <xf numFmtId="0" fontId="67" fillId="0" borderId="0" xfId="9" applyFont="1" applyFill="1" applyBorder="1" applyAlignment="1"/>
    <xf numFmtId="38" fontId="60" fillId="6" borderId="2" xfId="9" applyNumberFormat="1" applyFont="1" applyFill="1" applyBorder="1" applyAlignment="1" applyProtection="1">
      <alignment horizontal="right"/>
    </xf>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vertical="center"/>
    </xf>
    <xf numFmtId="38" fontId="60" fillId="6" borderId="22" xfId="0" applyNumberFormat="1"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0" borderId="22" xfId="0" applyNumberFormat="1" applyFont="1" applyFill="1" applyBorder="1" applyAlignment="1" applyProtection="1">
      <alignment vertical="center"/>
      <protection locked="0"/>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vertical="center"/>
    </xf>
    <xf numFmtId="49" fontId="67" fillId="0" borderId="6" xfId="0" applyNumberFormat="1" applyFont="1" applyBorder="1" applyAlignment="1" applyProtection="1">
      <alignment horizontal="center" vertical="center"/>
    </xf>
    <xf numFmtId="38" fontId="60" fillId="0" borderId="7" xfId="0" applyNumberFormat="1" applyFont="1" applyBorder="1" applyAlignment="1" applyProtection="1">
      <alignment vertical="center"/>
      <protection locked="0"/>
    </xf>
    <xf numFmtId="49" fontId="67" fillId="6" borderId="59" xfId="0" applyNumberFormat="1" applyFont="1" applyFill="1" applyBorder="1" applyAlignment="1" applyProtection="1">
      <alignment horizontal="center" vertical="center"/>
    </xf>
    <xf numFmtId="0" fontId="60" fillId="6" borderId="42" xfId="0" applyFont="1" applyFill="1" applyBorder="1" applyAlignment="1" applyProtection="1">
      <alignment horizontal="right" vertical="center"/>
    </xf>
    <xf numFmtId="0" fontId="60" fillId="6" borderId="43" xfId="0" applyFont="1" applyFill="1" applyBorder="1" applyAlignment="1" applyProtection="1">
      <alignment horizontal="right" vertical="center"/>
    </xf>
    <xf numFmtId="0" fontId="60" fillId="6" borderId="40" xfId="0" applyFont="1" applyFill="1" applyBorder="1" applyAlignment="1" applyProtection="1">
      <alignment horizontal="right"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45" xfId="0" applyNumberFormat="1" applyFont="1" applyFill="1" applyBorder="1" applyAlignment="1" applyProtection="1">
      <alignment vertical="center"/>
    </xf>
    <xf numFmtId="38" fontId="60" fillId="3" borderId="44" xfId="0" applyNumberFormat="1" applyFont="1" applyFill="1" applyBorder="1" applyAlignment="1" applyProtection="1">
      <alignment vertical="center"/>
    </xf>
    <xf numFmtId="38" fontId="60" fillId="3" borderId="8" xfId="0" applyNumberFormat="1" applyFont="1" applyFill="1" applyBorder="1" applyAlignment="1" applyProtection="1">
      <alignment horizontal="right" vertical="center"/>
    </xf>
    <xf numFmtId="38" fontId="60" fillId="3" borderId="44"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38" fontId="60" fillId="3" borderId="8" xfId="0" applyNumberFormat="1" applyFont="1" applyFill="1" applyBorder="1" applyAlignment="1" applyProtection="1">
      <alignment vertical="center"/>
    </xf>
    <xf numFmtId="38" fontId="60" fillId="0" borderId="8" xfId="0" applyNumberFormat="1" applyFont="1" applyFill="1" applyBorder="1" applyAlignment="1" applyProtection="1">
      <alignment horizontal="right" vertical="center"/>
      <protection locked="0"/>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38" fontId="60" fillId="0" borderId="8" xfId="0" applyNumberFormat="1" applyFont="1" applyFill="1" applyBorder="1" applyAlignment="1" applyProtection="1">
      <alignment vertical="center"/>
      <protection locked="0"/>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38" fontId="60" fillId="0" borderId="8" xfId="0" applyNumberFormat="1" applyFont="1" applyBorder="1" applyAlignment="1" applyProtection="1">
      <alignment horizontal="right" vertical="center"/>
      <protection locked="0"/>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38" fontId="60" fillId="0" borderId="22" xfId="0" applyNumberFormat="1" applyFont="1" applyBorder="1" applyAlignment="1" applyProtection="1">
      <alignment horizontal="right" vertical="center"/>
      <protection locked="0"/>
    </xf>
    <xf numFmtId="0" fontId="67" fillId="0" borderId="46" xfId="0" applyFont="1" applyBorder="1" applyAlignment="1" applyProtection="1">
      <alignment horizontal="left" vertical="center" wrapText="1" indent="1"/>
    </xf>
    <xf numFmtId="38" fontId="60" fillId="0" borderId="22" xfId="0" applyNumberFormat="1" applyFont="1" applyBorder="1" applyAlignment="1" applyProtection="1">
      <alignment horizontal="right"/>
      <protection locked="0"/>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38" fontId="67" fillId="0" borderId="0" xfId="10" applyNumberFormat="1" applyFont="1" applyFill="1" applyAlignment="1">
      <alignment horizontal="right"/>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40" fontId="67" fillId="0" borderId="9" xfId="10" applyNumberFormat="1" applyFont="1" applyFill="1" applyBorder="1" applyAlignment="1" applyProtection="1">
      <alignment horizontal="right"/>
      <protection locked="0"/>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4" fontId="69" fillId="0" borderId="0" xfId="10" applyNumberFormat="1" applyFont="1" applyFill="1" applyBorder="1" applyAlignment="1" applyProtection="1">
      <alignmen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38" fontId="67" fillId="0" borderId="0" xfId="11" applyNumberFormat="1" applyFont="1" applyFill="1" applyAlignment="1">
      <alignment horizontal="right"/>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38" fontId="60" fillId="0" borderId="13" xfId="0" applyNumberFormat="1" applyFont="1" applyBorder="1" applyAlignment="1" applyProtection="1">
      <alignment vertical="center"/>
      <protection locked="0"/>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19" borderId="13" xfId="0" applyNumberFormat="1" applyFont="1" applyFill="1" applyBorder="1" applyAlignment="1" applyProtection="1">
      <protection locked="0"/>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0" fontId="67" fillId="0" borderId="0" xfId="3" applyNumberFormat="1" applyFont="1" applyBorder="1" applyAlignment="1">
      <alignment vertical="center"/>
    </xf>
    <xf numFmtId="0" fontId="62" fillId="0" borderId="0" xfId="3" applyNumberFormat="1" applyFont="1" applyBorder="1" applyAlignment="1">
      <alignment vertical="center"/>
    </xf>
    <xf numFmtId="0" fontId="62" fillId="0" borderId="0" xfId="3" applyNumberFormat="1" applyFont="1" applyAlignment="1">
      <alignment vertical="center"/>
    </xf>
    <xf numFmtId="0" fontId="67" fillId="0" borderId="0" xfId="3" applyNumberFormat="1" applyFont="1" applyAlignment="1">
      <alignment vertical="center"/>
    </xf>
    <xf numFmtId="0" fontId="69" fillId="0" borderId="0" xfId="3" applyNumberFormat="1" applyFont="1" applyAlignment="1">
      <alignment horizontal="center" vertical="center"/>
    </xf>
    <xf numFmtId="0" fontId="69" fillId="0" borderId="0" xfId="3" applyNumberFormat="1" applyFont="1" applyBorder="1" applyAlignment="1">
      <alignment horizontal="left" vertical="center"/>
    </xf>
    <xf numFmtId="0" fontId="67" fillId="0" borderId="0" xfId="3" applyNumberFormat="1" applyFont="1" applyAlignment="1">
      <alignment horizontal="center" vertical="center"/>
    </xf>
    <xf numFmtId="0" fontId="67" fillId="0" borderId="17" xfId="3" applyNumberFormat="1" applyFont="1" applyBorder="1" applyAlignment="1">
      <alignment horizontal="center" vertical="center"/>
    </xf>
    <xf numFmtId="0" fontId="67" fillId="0" borderId="0" xfId="3" applyNumberFormat="1" applyFont="1" applyBorder="1" applyAlignment="1">
      <alignment horizontal="right" vertical="center" indent="1"/>
    </xf>
    <xf numFmtId="0" fontId="62" fillId="0" borderId="17" xfId="3" applyNumberFormat="1" applyFont="1" applyBorder="1" applyAlignment="1">
      <alignment vertical="center"/>
    </xf>
    <xf numFmtId="0" fontId="62" fillId="0" borderId="19" xfId="3" applyNumberFormat="1" applyFont="1" applyBorder="1" applyAlignment="1">
      <alignment vertical="center"/>
    </xf>
    <xf numFmtId="0" fontId="62" fillId="0" borderId="20" xfId="3" applyNumberFormat="1" applyFont="1" applyBorder="1" applyAlignment="1">
      <alignment vertical="center"/>
    </xf>
    <xf numFmtId="0" fontId="62" fillId="0" borderId="12" xfId="3" applyNumberFormat="1" applyFont="1" applyBorder="1" applyAlignment="1">
      <alignment vertical="center"/>
    </xf>
    <xf numFmtId="0" fontId="62" fillId="0" borderId="16" xfId="3" applyNumberFormat="1" applyFont="1" applyBorder="1" applyAlignment="1">
      <alignment vertical="center"/>
    </xf>
    <xf numFmtId="0" fontId="62" fillId="0" borderId="3" xfId="3" applyNumberFormat="1" applyFont="1" applyBorder="1" applyAlignment="1">
      <alignment vertical="center"/>
    </xf>
    <xf numFmtId="0" fontId="62" fillId="0" borderId="16" xfId="3" applyNumberFormat="1" applyFont="1" applyFill="1" applyBorder="1" applyAlignment="1">
      <alignment horizontal="centerContinuous" vertical="center"/>
    </xf>
    <xf numFmtId="0" fontId="62" fillId="0" borderId="10" xfId="3" applyNumberFormat="1" applyFont="1" applyFill="1" applyBorder="1" applyAlignment="1">
      <alignment horizontal="centerContinuous" vertical="center"/>
    </xf>
    <xf numFmtId="0" fontId="60" fillId="0" borderId="17" xfId="3" applyNumberFormat="1" applyFont="1" applyFill="1" applyBorder="1" applyAlignment="1">
      <alignment vertical="center"/>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9" fillId="0" borderId="10"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0" fillId="0" borderId="0" xfId="3" applyNumberFormat="1" applyFont="1" applyAlignment="1">
      <alignment vertical="center"/>
    </xf>
    <xf numFmtId="0" fontId="69" fillId="0" borderId="4" xfId="3" applyNumberFormat="1" applyFont="1" applyBorder="1" applyAlignment="1">
      <alignment horizontal="center" vertical="center" wrapText="1"/>
    </xf>
    <xf numFmtId="0" fontId="69" fillId="0" borderId="4" xfId="3" applyNumberFormat="1" applyFont="1" applyBorder="1" applyAlignment="1">
      <alignment horizontal="center" vertical="center"/>
    </xf>
    <xf numFmtId="164" fontId="69" fillId="0" borderId="13" xfId="3" applyNumberFormat="1" applyFont="1" applyBorder="1" applyAlignment="1">
      <alignment horizontal="right" vertical="center"/>
    </xf>
    <xf numFmtId="0" fontId="67" fillId="0" borderId="21" xfId="3" applyNumberFormat="1" applyFont="1" applyBorder="1" applyAlignment="1">
      <alignment horizontal="left" vertical="center"/>
    </xf>
    <xf numFmtId="0" fontId="62" fillId="0" borderId="14" xfId="3" applyNumberFormat="1" applyFont="1" applyBorder="1" applyAlignment="1">
      <alignment horizontal="left" vertical="center"/>
    </xf>
    <xf numFmtId="0" fontId="67" fillId="0" borderId="2" xfId="3" applyNumberFormat="1" applyFont="1" applyBorder="1" applyAlignment="1">
      <alignment horizontal="left" vertical="center" indent="1"/>
    </xf>
    <xf numFmtId="0" fontId="60" fillId="15" borderId="2" xfId="3" applyNumberFormat="1" applyFont="1" applyFill="1" applyBorder="1" applyAlignment="1">
      <alignment vertical="center"/>
    </xf>
    <xf numFmtId="38" fontId="60" fillId="0" borderId="2" xfId="3" applyNumberFormat="1" applyFont="1" applyBorder="1" applyAlignment="1" applyProtection="1">
      <alignment vertical="center"/>
      <protection locked="0"/>
    </xf>
    <xf numFmtId="0" fontId="67" fillId="0" borderId="2" xfId="3" applyNumberFormat="1" applyFont="1" applyBorder="1" applyAlignment="1">
      <alignment horizontal="left" vertical="top" indent="1"/>
    </xf>
    <xf numFmtId="164" fontId="69" fillId="0" borderId="13" xfId="3" applyNumberFormat="1" applyFont="1" applyBorder="1" applyAlignment="1">
      <alignment vertical="top"/>
    </xf>
    <xf numFmtId="38" fontId="60" fillId="0" borderId="2" xfId="3" applyNumberFormat="1" applyFont="1" applyFill="1" applyBorder="1" applyAlignment="1" applyProtection="1">
      <alignment vertical="center"/>
      <protection locked="0"/>
    </xf>
    <xf numFmtId="0" fontId="69" fillId="0" borderId="21" xfId="3" applyNumberFormat="1" applyFont="1" applyBorder="1" applyAlignment="1">
      <alignment horizontal="left" vertical="center"/>
    </xf>
    <xf numFmtId="0" fontId="67" fillId="0" borderId="14" xfId="3" applyNumberFormat="1" applyFont="1" applyBorder="1" applyAlignment="1">
      <alignment horizontal="center" vertical="center"/>
    </xf>
    <xf numFmtId="0" fontId="60" fillId="15" borderId="4" xfId="3" applyNumberFormat="1" applyFont="1" applyFill="1" applyBorder="1" applyAlignment="1">
      <alignment vertical="center"/>
    </xf>
    <xf numFmtId="0" fontId="62" fillId="0" borderId="0" xfId="3" applyNumberFormat="1" applyFont="1" applyAlignment="1">
      <alignment horizontal="right" vertical="center"/>
    </xf>
    <xf numFmtId="0" fontId="70" fillId="0" borderId="0" xfId="3" applyNumberFormat="1" applyFont="1" applyAlignment="1">
      <alignment vertical="center"/>
    </xf>
    <xf numFmtId="0" fontId="78" fillId="0" borderId="0" xfId="3" applyNumberFormat="1" applyFont="1" applyAlignment="1">
      <alignment vertical="center"/>
    </xf>
    <xf numFmtId="171" fontId="62" fillId="0" borderId="0" xfId="3" applyNumberFormat="1" applyFont="1" applyBorder="1" applyAlignment="1" applyProtection="1">
      <alignment horizontal="center"/>
    </xf>
    <xf numFmtId="0" fontId="78" fillId="0" borderId="133" xfId="3" applyNumberFormat="1" applyFont="1" applyBorder="1" applyAlignment="1">
      <alignment horizontal="center" vertical="center"/>
    </xf>
    <xf numFmtId="0" fontId="62" fillId="0" borderId="133" xfId="3" applyNumberFormat="1" applyFont="1" applyBorder="1" applyAlignment="1">
      <alignment vertical="center"/>
    </xf>
    <xf numFmtId="0" fontId="78" fillId="0" borderId="0" xfId="3" applyNumberFormat="1" applyFont="1" applyBorder="1" applyAlignment="1">
      <alignment vertical="center" wrapText="1"/>
    </xf>
    <xf numFmtId="0" fontId="62" fillId="0" borderId="0" xfId="3" applyNumberFormat="1" applyFont="1" applyBorder="1" applyAlignment="1">
      <alignment wrapText="1"/>
    </xf>
    <xf numFmtId="0" fontId="78" fillId="0" borderId="133" xfId="3" applyNumberFormat="1" applyFont="1" applyBorder="1" applyAlignment="1">
      <alignment horizontal="center"/>
    </xf>
    <xf numFmtId="0" fontId="78" fillId="0" borderId="0" xfId="3" applyNumberFormat="1" applyFont="1" applyBorder="1" applyAlignment="1"/>
    <xf numFmtId="0" fontId="69" fillId="0" borderId="0" xfId="3" applyNumberFormat="1" applyFont="1" applyAlignment="1">
      <alignment horizontal="right"/>
    </xf>
    <xf numFmtId="0" fontId="60" fillId="0" borderId="0" xfId="3" applyNumberFormat="1" applyFont="1" applyBorder="1" applyAlignment="1">
      <alignment horizontal="center" wrapText="1"/>
    </xf>
    <xf numFmtId="0" fontId="78" fillId="0" borderId="0" xfId="3" applyFont="1" applyBorder="1" applyAlignment="1">
      <alignment horizontal="center" vertical="center" wrapText="1"/>
    </xf>
    <xf numFmtId="0" fontId="84" fillId="0" borderId="0" xfId="3" applyNumberFormat="1" applyFont="1" applyAlignment="1">
      <alignment vertical="center"/>
    </xf>
    <xf numFmtId="0" fontId="70" fillId="0" borderId="22" xfId="3" applyNumberFormat="1" applyFont="1" applyBorder="1" applyAlignment="1" applyProtection="1">
      <alignment horizontal="center" vertical="center"/>
      <protection locked="0"/>
    </xf>
    <xf numFmtId="0" fontId="67" fillId="0" borderId="0" xfId="3" applyNumberFormat="1" applyFont="1" applyAlignment="1">
      <alignment horizontal="left" vertical="center" indent="2"/>
    </xf>
    <xf numFmtId="0" fontId="62" fillId="0" borderId="0" xfId="3" applyFont="1" applyAlignment="1">
      <alignment horizontal="left" wrapText="1" indent="2"/>
    </xf>
    <xf numFmtId="0" fontId="60" fillId="0" borderId="0" xfId="3" applyNumberFormat="1" applyFont="1" applyBorder="1" applyAlignment="1">
      <alignment vertical="center"/>
    </xf>
    <xf numFmtId="0" fontId="88" fillId="0" borderId="0" xfId="3" applyNumberFormat="1" applyFont="1" applyBorder="1" applyAlignment="1">
      <alignment horizontal="centerContinuous" vertical="center"/>
    </xf>
    <xf numFmtId="0" fontId="61" fillId="0" borderId="0" xfId="2" applyNumberFormat="1" applyFont="1" applyBorder="1" applyAlignment="1" applyProtection="1">
      <alignment horizontal="centerContinuous" vertical="center"/>
    </xf>
    <xf numFmtId="0" fontId="62" fillId="0" borderId="0" xfId="3" applyFont="1" applyAlignment="1">
      <alignment vertical="top" wrapText="1"/>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52" xfId="0" applyFont="1" applyBorder="1"/>
    <xf numFmtId="0" fontId="60" fillId="0" borderId="13" xfId="0" applyFont="1" applyBorder="1"/>
    <xf numFmtId="0" fontId="60" fillId="0" borderId="125" xfId="0" applyFont="1" applyBorder="1" applyAlignment="1">
      <alignment horizontal="left" vertical="top"/>
    </xf>
    <xf numFmtId="164" fontId="118" fillId="0" borderId="128" xfId="0" applyNumberFormat="1" applyFont="1" applyBorder="1" applyAlignment="1">
      <alignment horizontal="right" vertical="top"/>
    </xf>
    <xf numFmtId="0" fontId="60" fillId="0" borderId="128" xfId="0" applyNumberFormat="1" applyFont="1" applyBorder="1" applyAlignment="1">
      <alignment horizontal="left" vertical="center" wrapText="1" indent="1"/>
    </xf>
    <xf numFmtId="0" fontId="90" fillId="0" borderId="127" xfId="0" applyFont="1" applyBorder="1" applyAlignment="1">
      <alignment horizontal="left" vertical="center" wrapText="1"/>
    </xf>
    <xf numFmtId="0" fontId="60" fillId="0" borderId="128" xfId="0" applyFont="1" applyBorder="1" applyAlignment="1">
      <alignment horizontal="left" vertical="top"/>
    </xf>
    <xf numFmtId="0" fontId="60" fillId="0" borderId="0" xfId="0" applyFont="1" applyBorder="1" applyAlignment="1">
      <alignment vertical="top"/>
    </xf>
    <xf numFmtId="0" fontId="120" fillId="0" borderId="128" xfId="0" applyNumberFormat="1" applyFont="1" applyBorder="1" applyAlignment="1">
      <alignment horizontal="left" vertical="center"/>
    </xf>
    <xf numFmtId="0" fontId="118" fillId="0" borderId="128" xfId="0" applyFont="1" applyBorder="1" applyAlignment="1">
      <alignment vertical="top"/>
    </xf>
    <xf numFmtId="0" fontId="118" fillId="0" borderId="128" xfId="0" applyFont="1" applyBorder="1" applyAlignment="1">
      <alignment horizontal="left" vertical="top"/>
    </xf>
    <xf numFmtId="0" fontId="60" fillId="0" borderId="125" xfId="0" applyFont="1" applyBorder="1" applyAlignment="1"/>
    <xf numFmtId="164" fontId="118" fillId="0" borderId="128" xfId="0" applyNumberFormat="1" applyFont="1" applyBorder="1" applyAlignment="1"/>
    <xf numFmtId="0" fontId="60" fillId="0" borderId="128" xfId="0" applyFont="1" applyBorder="1" applyAlignment="1"/>
    <xf numFmtId="0" fontId="67" fillId="0" borderId="126"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4"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5" xfId="0" applyFont="1" applyFill="1" applyBorder="1" applyAlignment="1"/>
    <xf numFmtId="0" fontId="59" fillId="0" borderId="128" xfId="0" applyFont="1" applyFill="1" applyBorder="1" applyAlignment="1">
      <alignment horizontal="left" vertical="top"/>
    </xf>
    <xf numFmtId="0" fontId="59" fillId="0" borderId="126"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6"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3" xfId="3" quotePrefix="1" applyNumberFormat="1" applyFont="1" applyBorder="1" applyAlignment="1" applyProtection="1">
      <alignment horizontal="left"/>
    </xf>
    <xf numFmtId="0" fontId="67" fillId="0" borderId="144" xfId="3" applyNumberFormat="1" applyFont="1" applyBorder="1" applyAlignment="1" applyProtection="1">
      <alignment horizontal="center"/>
    </xf>
    <xf numFmtId="0" fontId="67" fillId="0" borderId="144" xfId="3" applyNumberFormat="1" applyFont="1" applyBorder="1" applyProtection="1"/>
    <xf numFmtId="0" fontId="60" fillId="0" borderId="143" xfId="3" applyNumberFormat="1" applyFont="1" applyBorder="1" applyAlignment="1" applyProtection="1"/>
    <xf numFmtId="0" fontId="67" fillId="0" borderId="145" xfId="3" applyNumberFormat="1" applyFont="1" applyBorder="1" applyAlignment="1" applyProtection="1">
      <alignment horizontal="centerContinuous"/>
    </xf>
    <xf numFmtId="0" fontId="60" fillId="0" borderId="143" xfId="3" applyNumberFormat="1" applyFont="1" applyBorder="1" applyAlignment="1" applyProtection="1">
      <alignment horizontal="left"/>
    </xf>
    <xf numFmtId="0" fontId="67" fillId="0" borderId="145" xfId="3" applyNumberFormat="1" applyFont="1" applyBorder="1" applyProtection="1"/>
    <xf numFmtId="0" fontId="67" fillId="0" borderId="144"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3"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7"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4"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8"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6" xfId="3" applyFont="1" applyBorder="1" applyProtection="1"/>
    <xf numFmtId="0" fontId="60" fillId="0" borderId="147" xfId="3" applyFont="1" applyBorder="1" applyProtection="1">
      <protection locked="0"/>
    </xf>
    <xf numFmtId="0" fontId="60" fillId="0" borderId="146"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77" fillId="0" borderId="0" xfId="3" applyFont="1" applyAlignment="1" applyProtection="1">
      <alignment horizontal="center" vertical="center"/>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5" xfId="3" applyNumberFormat="1" applyFont="1" applyBorder="1" applyAlignment="1" applyProtection="1">
      <alignment horizontal="center"/>
    </xf>
    <xf numFmtId="0" fontId="69" fillId="0" borderId="144" xfId="3" applyFont="1" applyBorder="1" applyAlignment="1" applyProtection="1">
      <alignment horizontal="centerContinuous"/>
    </xf>
    <xf numFmtId="0" fontId="69" fillId="0" borderId="145"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45" xfId="3" applyFont="1" applyBorder="1" applyAlignment="1" applyProtection="1">
      <alignment horizontal="center"/>
    </xf>
    <xf numFmtId="0" fontId="69" fillId="5" borderId="45" xfId="3" applyFont="1" applyFill="1" applyBorder="1" applyAlignment="1" applyProtection="1">
      <alignment horizontal="center"/>
    </xf>
    <xf numFmtId="0" fontId="69" fillId="5" borderId="145" xfId="3" applyFont="1" applyFill="1" applyBorder="1" applyAlignment="1" applyProtection="1">
      <alignment horizontal="center"/>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20" borderId="72" xfId="3" applyFont="1" applyFill="1" applyBorder="1" applyAlignment="1" applyProtection="1">
      <alignment horizontal="center"/>
    </xf>
    <xf numFmtId="0" fontId="69" fillId="21" borderId="72" xfId="3" applyFont="1" applyFill="1" applyBorder="1" applyAlignment="1" applyProtection="1">
      <alignment horizontal="center"/>
    </xf>
    <xf numFmtId="0" fontId="69" fillId="0" borderId="72" xfId="3" applyFont="1" applyBorder="1" applyAlignment="1" applyProtection="1">
      <alignment horizontal="center"/>
    </xf>
    <xf numFmtId="0" fontId="69" fillId="5" borderId="72" xfId="3" applyFont="1" applyFill="1" applyBorder="1" applyAlignment="1" applyProtection="1">
      <alignment horizontal="center"/>
    </xf>
    <xf numFmtId="0" fontId="69" fillId="5" borderId="40" xfId="3" applyFont="1" applyFill="1" applyBorder="1" applyAlignment="1" applyProtection="1">
      <alignment horizontal="center"/>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0" fontId="69" fillId="5" borderId="72" xfId="3" quotePrefix="1" applyFont="1" applyFill="1" applyBorder="1" applyAlignment="1" applyProtection="1">
      <alignment horizontal="center"/>
    </xf>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0" fontId="69" fillId="20" borderId="70" xfId="3" applyFont="1" applyFill="1" applyBorder="1" applyAlignment="1" applyProtection="1">
      <alignment horizontal="center"/>
    </xf>
    <xf numFmtId="0" fontId="69" fillId="5" borderId="70" xfId="3" applyFont="1" applyFill="1" applyBorder="1" applyAlignment="1" applyProtection="1">
      <alignment horizontal="center"/>
    </xf>
    <xf numFmtId="0" fontId="69" fillId="21" borderId="70" xfId="3" applyFont="1" applyFill="1" applyBorder="1" applyAlignment="1" applyProtection="1">
      <alignment horizontal="center"/>
    </xf>
    <xf numFmtId="0" fontId="69" fillId="0" borderId="70" xfId="3" applyFont="1" applyBorder="1" applyAlignment="1" applyProtection="1">
      <alignment horizontal="center"/>
    </xf>
    <xf numFmtId="0" fontId="69" fillId="5" borderId="59" xfId="3" applyFont="1" applyFill="1" applyBorder="1" applyAlignment="1" applyProtection="1">
      <alignment horizontal="center"/>
    </xf>
    <xf numFmtId="3" fontId="67" fillId="0" borderId="22" xfId="3" applyNumberFormat="1" applyFont="1" applyBorder="1" applyAlignment="1" applyProtection="1">
      <alignment horizontal="left" vertical="center" wrapText="1"/>
      <protection locked="0"/>
    </xf>
    <xf numFmtId="169" fontId="67" fillId="0" borderId="8" xfId="3" applyNumberFormat="1" applyFont="1" applyBorder="1" applyAlignment="1" applyProtection="1">
      <alignment horizontal="center"/>
      <protection locked="0"/>
    </xf>
    <xf numFmtId="1" fontId="67" fillId="0" borderId="8" xfId="3" applyNumberFormat="1" applyFont="1" applyBorder="1" applyAlignment="1" applyProtection="1">
      <alignment horizontal="center"/>
      <protection locked="0"/>
    </xf>
    <xf numFmtId="3" fontId="67" fillId="0" borderId="8" xfId="3" applyNumberFormat="1" applyFont="1" applyBorder="1" applyAlignment="1" applyProtection="1">
      <alignment horizontal="center"/>
      <protection locked="0"/>
    </xf>
    <xf numFmtId="169" fontId="67" fillId="0" borderId="22" xfId="3" applyNumberFormat="1" applyFont="1" applyBorder="1" applyAlignment="1" applyProtection="1">
      <alignment horizontal="center"/>
      <protection locked="0"/>
    </xf>
    <xf numFmtId="1" fontId="67" fillId="0" borderId="22" xfId="3" applyNumberFormat="1" applyFont="1" applyBorder="1" applyAlignment="1" applyProtection="1">
      <alignment horizontal="center"/>
      <protection locked="0"/>
    </xf>
    <xf numFmtId="3" fontId="67" fillId="0" borderId="22" xfId="3" applyNumberFormat="1" applyFont="1" applyBorder="1" applyAlignment="1" applyProtection="1">
      <alignment horizontal="center"/>
      <protection locked="0"/>
    </xf>
    <xf numFmtId="0" fontId="62" fillId="0" borderId="0" xfId="3" applyFont="1" applyAlignment="1" applyProtection="1">
      <alignment textRotation="180" wrapText="1"/>
    </xf>
    <xf numFmtId="3" fontId="67" fillId="0" borderId="0" xfId="3" applyNumberFormat="1" applyFont="1" applyBorder="1" applyAlignment="1" applyProtection="1">
      <alignment horizontal="left" vertical="center" wrapText="1"/>
      <protection locked="0"/>
    </xf>
    <xf numFmtId="169" fontId="67" fillId="0" borderId="0" xfId="3" applyNumberFormat="1" applyFont="1" applyBorder="1" applyAlignment="1" applyProtection="1">
      <alignment horizontal="center"/>
      <protection locked="0"/>
    </xf>
    <xf numFmtId="1" fontId="67" fillId="0" borderId="0" xfId="3" applyNumberFormat="1" applyFont="1" applyBorder="1" applyAlignment="1" applyProtection="1">
      <alignment horizontal="center"/>
      <protection locked="0"/>
    </xf>
    <xf numFmtId="3" fontId="67" fillId="0" borderId="0" xfId="3" applyNumberFormat="1" applyFont="1" applyBorder="1" applyAlignment="1" applyProtection="1">
      <alignment horizontal="center"/>
      <protection locked="0"/>
    </xf>
    <xf numFmtId="169" fontId="67" fillId="0" borderId="0" xfId="3" applyNumberFormat="1" applyFont="1" applyBorder="1" applyProtection="1"/>
    <xf numFmtId="1" fontId="67" fillId="0" borderId="0" xfId="3" applyNumberFormat="1" applyFont="1" applyBorder="1" applyProtection="1"/>
    <xf numFmtId="0" fontId="59" fillId="20" borderId="0" xfId="3" applyFont="1" applyFill="1" applyProtection="1"/>
    <xf numFmtId="169" fontId="62" fillId="20" borderId="0" xfId="3" applyNumberFormat="1" applyFont="1" applyFill="1" applyProtection="1"/>
    <xf numFmtId="1" fontId="62" fillId="20" borderId="0" xfId="3" applyNumberFormat="1" applyFont="1" applyFill="1" applyProtection="1"/>
    <xf numFmtId="0" fontId="62" fillId="20" borderId="0" xfId="3" applyFont="1" applyFill="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0" fontId="59" fillId="0" borderId="78" xfId="3" applyFont="1" applyBorder="1" applyProtection="1"/>
    <xf numFmtId="169" fontId="62" fillId="0" borderId="78" xfId="3" applyNumberFormat="1" applyFont="1" applyBorder="1" applyProtection="1"/>
    <xf numFmtId="1" fontId="62" fillId="0" borderId="78" xfId="3" applyNumberFormat="1" applyFont="1" applyBorder="1" applyProtection="1"/>
    <xf numFmtId="0" fontId="62" fillId="0" borderId="78" xfId="3" applyFont="1" applyBorder="1" applyAlignment="1" applyProtection="1">
      <alignment horizontal="center"/>
    </xf>
    <xf numFmtId="0" fontId="124" fillId="0" borderId="0" xfId="3" applyFont="1" applyAlignment="1" applyProtection="1">
      <alignment horizontal="left" wrapText="1"/>
    </xf>
    <xf numFmtId="0" fontId="124" fillId="0" borderId="0" xfId="3" applyFont="1" applyAlignment="1" applyProtection="1"/>
    <xf numFmtId="0" fontId="124" fillId="0" borderId="0" xfId="3" applyFont="1" applyAlignment="1" applyProtection="1">
      <alignment wrapText="1"/>
    </xf>
    <xf numFmtId="0" fontId="67" fillId="0" borderId="0" xfId="3" applyFont="1" applyAlignment="1" applyProtection="1">
      <alignment horizontal="left" wrapText="1"/>
    </xf>
    <xf numFmtId="0" fontId="67" fillId="0" borderId="0" xfId="3" applyFont="1" applyAlignment="1" applyProtection="1">
      <alignment horizontal="left"/>
    </xf>
    <xf numFmtId="169" fontId="67" fillId="0" borderId="0" xfId="3" applyNumberFormat="1" applyFont="1" applyProtection="1"/>
    <xf numFmtId="1" fontId="67" fillId="0" borderId="0" xfId="3" applyNumberFormat="1" applyFont="1" applyProtection="1"/>
    <xf numFmtId="0" fontId="67" fillId="0" borderId="0" xfId="3" applyFont="1" applyAlignment="1" applyProtection="1">
      <alignment horizontal="center"/>
    </xf>
    <xf numFmtId="0" fontId="124" fillId="0" borderId="0" xfId="3" applyFont="1" applyAlignment="1" applyProtection="1">
      <alignment vertical="center"/>
    </xf>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4" xfId="3" applyFont="1" applyBorder="1" applyProtection="1"/>
    <xf numFmtId="0" fontId="62" fillId="0" borderId="144" xfId="3" applyFont="1" applyBorder="1" applyProtection="1"/>
    <xf numFmtId="0" fontId="62" fillId="0" borderId="144"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0" fontId="70" fillId="0" borderId="0" xfId="3" applyFont="1" applyBorder="1" applyAlignment="1" applyProtection="1">
      <alignment horizontal="right"/>
    </xf>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4" xfId="3" quotePrefix="1" applyFont="1" applyBorder="1" applyAlignment="1" applyProtection="1">
      <alignment horizontal="left"/>
    </xf>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4" xfId="3" applyFont="1" applyBorder="1" applyProtection="1"/>
    <xf numFmtId="0" fontId="62" fillId="0" borderId="0" xfId="3" applyFont="1" applyBorder="1" applyAlignment="1" applyProtection="1">
      <alignment horizontal="left"/>
    </xf>
    <xf numFmtId="0" fontId="69" fillId="0" borderId="144"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4"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9"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0" fontId="70" fillId="0" borderId="0" xfId="3" applyFont="1" applyAlignment="1" applyProtection="1">
      <alignment horizontal="right"/>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51" xfId="3" applyFont="1" applyBorder="1" applyAlignment="1" applyProtection="1">
      <alignment horizontal="left"/>
    </xf>
    <xf numFmtId="0" fontId="62" fillId="0" borderId="151" xfId="3" applyFont="1" applyBorder="1" applyProtection="1"/>
    <xf numFmtId="0" fontId="62" fillId="0" borderId="151"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9" fillId="0" borderId="20" xfId="0" applyFont="1" applyFill="1" applyBorder="1" applyAlignment="1" applyProtection="1">
      <alignment horizontal="left" vertical="center" indent="2"/>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8"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9"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7" xfId="0" applyNumberFormat="1" applyFont="1" applyBorder="1" applyAlignment="1">
      <alignment horizontal="left" vertical="center" wrapText="1" indent="1"/>
    </xf>
    <xf numFmtId="3" fontId="67" fillId="0" borderId="125"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7"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60" fillId="0" borderId="127" xfId="0" applyNumberFormat="1" applyFont="1" applyFill="1" applyBorder="1" applyAlignment="1" applyProtection="1">
      <alignment horizontal="right" vertical="center"/>
      <protection locked="0"/>
    </xf>
    <xf numFmtId="38" fontId="59" fillId="6" borderId="155" xfId="0" applyNumberFormat="1" applyFont="1" applyFill="1" applyBorder="1" applyAlignment="1">
      <alignment horizontal="center" vertical="center" wrapText="1"/>
    </xf>
    <xf numFmtId="38" fontId="59" fillId="6" borderId="155" xfId="0" applyNumberFormat="1" applyFont="1" applyFill="1" applyBorder="1" applyAlignment="1">
      <alignment horizontal="center" vertical="top" wrapText="1"/>
    </xf>
    <xf numFmtId="38" fontId="69" fillId="6" borderId="155" xfId="0" applyNumberFormat="1" applyFont="1" applyFill="1" applyBorder="1" applyAlignment="1">
      <alignment horizontal="center" vertical="center" wrapText="1"/>
    </xf>
    <xf numFmtId="38" fontId="69" fillId="6" borderId="10"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0" fontId="12" fillId="0" borderId="0" xfId="17"/>
    <xf numFmtId="0" fontId="104" fillId="0" borderId="140" xfId="17" applyFont="1" applyBorder="1" applyAlignment="1">
      <alignment horizontal="left" vertical="top"/>
    </xf>
    <xf numFmtId="0" fontId="131" fillId="0" borderId="141" xfId="17" applyFont="1" applyBorder="1" applyAlignment="1">
      <alignment horizontal="center" vertical="top"/>
    </xf>
    <xf numFmtId="0" fontId="131" fillId="0" borderId="142" xfId="17" applyFont="1" applyBorder="1" applyAlignment="1">
      <alignment horizontal="center" vertical="top"/>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38" fontId="12" fillId="22" borderId="157" xfId="17" applyNumberFormat="1" applyFill="1" applyBorder="1" applyAlignment="1">
      <alignment horizontal="right" vertical="top"/>
    </xf>
    <xf numFmtId="38" fontId="12" fillId="22" borderId="158" xfId="17" applyNumberFormat="1" applyFill="1" applyBorder="1" applyAlignment="1">
      <alignment horizontal="right" vertical="top"/>
    </xf>
    <xf numFmtId="0" fontId="12" fillId="0" borderId="0" xfId="17" applyAlignment="1">
      <alignment horizontal="left" vertical="top" wrapText="1"/>
    </xf>
    <xf numFmtId="0" fontId="12" fillId="0" borderId="0" xfId="17" applyAlignment="1">
      <alignment vertical="top"/>
    </xf>
    <xf numFmtId="38" fontId="12" fillId="0" borderId="0" xfId="17" applyNumberFormat="1" applyAlignment="1">
      <alignment horizontal="right" vertical="top"/>
    </xf>
    <xf numFmtId="0" fontId="12" fillId="0" borderId="0" xfId="17" applyAlignment="1">
      <alignment horizontal="center" vertical="top" wrapText="1"/>
    </xf>
    <xf numFmtId="0" fontId="130" fillId="23" borderId="156" xfId="17" applyFont="1" applyFill="1" applyBorder="1" applyAlignment="1">
      <alignment horizontal="center" vertical="center" wrapText="1"/>
    </xf>
    <xf numFmtId="38" fontId="130" fillId="23" borderId="156" xfId="17" applyNumberFormat="1" applyFont="1" applyFill="1" applyBorder="1" applyAlignment="1">
      <alignment horizontal="center" vertical="center" wrapText="1"/>
    </xf>
    <xf numFmtId="3" fontId="60" fillId="23" borderId="131" xfId="0" applyNumberFormat="1" applyFont="1" applyFill="1" applyBorder="1" applyAlignment="1">
      <alignment horizontal="center"/>
    </xf>
    <xf numFmtId="3" fontId="60" fillId="23" borderId="131" xfId="0" applyNumberFormat="1" applyFont="1" applyFill="1" applyBorder="1" applyAlignment="1">
      <alignment horizontal="right"/>
    </xf>
    <xf numFmtId="3" fontId="60" fillId="23" borderId="132" xfId="0" applyNumberFormat="1" applyFont="1" applyFill="1" applyBorder="1" applyAlignment="1">
      <alignment horizontal="center"/>
    </xf>
    <xf numFmtId="38" fontId="60" fillId="23" borderId="19" xfId="0" applyNumberFormat="1" applyFont="1" applyFill="1" applyBorder="1" applyAlignment="1">
      <alignment horizontal="right"/>
    </xf>
    <xf numFmtId="38" fontId="60" fillId="23" borderId="20" xfId="0" applyNumberFormat="1" applyFont="1" applyFill="1" applyBorder="1" applyAlignment="1">
      <alignment horizontal="right"/>
    </xf>
    <xf numFmtId="38" fontId="60" fillId="23" borderId="11" xfId="0" applyNumberFormat="1" applyFont="1" applyFill="1" applyBorder="1" applyAlignment="1">
      <alignment horizontal="right"/>
    </xf>
    <xf numFmtId="3" fontId="70" fillId="23" borderId="125" xfId="0" applyNumberFormat="1" applyFont="1" applyFill="1" applyBorder="1" applyAlignment="1">
      <alignment horizontal="center" vertical="center" wrapText="1"/>
    </xf>
    <xf numFmtId="49" fontId="67" fillId="23" borderId="11" xfId="0" applyNumberFormat="1" applyFont="1" applyFill="1" applyBorder="1" applyAlignment="1">
      <alignment horizontal="center" vertical="center"/>
    </xf>
    <xf numFmtId="38" fontId="60" fillId="23" borderId="13" xfId="0" applyNumberFormat="1" applyFont="1" applyFill="1" applyBorder="1" applyAlignment="1">
      <alignment horizontal="right"/>
    </xf>
    <xf numFmtId="38" fontId="60" fillId="23" borderId="21" xfId="0" applyNumberFormat="1" applyFont="1" applyFill="1" applyBorder="1" applyAlignment="1">
      <alignment horizontal="right"/>
    </xf>
    <xf numFmtId="38" fontId="60" fillId="23" borderId="14" xfId="0" applyNumberFormat="1" applyFont="1" applyFill="1" applyBorder="1" applyAlignment="1">
      <alignment horizontal="right"/>
    </xf>
    <xf numFmtId="38" fontId="59" fillId="23" borderId="13"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21" xfId="1"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38" fontId="60" fillId="23" borderId="19" xfId="0" applyNumberFormat="1" applyFont="1" applyFill="1" applyBorder="1" applyAlignment="1" applyProtection="1">
      <alignment horizontal="right"/>
    </xf>
    <xf numFmtId="38" fontId="60" fillId="23" borderId="20"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0" fontId="62" fillId="23" borderId="31" xfId="0" applyFont="1" applyFill="1" applyBorder="1" applyAlignment="1">
      <alignment horizontal="center" vertical="center"/>
    </xf>
    <xf numFmtId="38" fontId="60" fillId="23" borderId="13" xfId="0" applyNumberFormat="1" applyFont="1" applyFill="1" applyBorder="1" applyAlignment="1" applyProtection="1">
      <alignment horizontal="right"/>
    </xf>
    <xf numFmtId="38" fontId="60" fillId="23" borderId="11" xfId="0" applyNumberFormat="1" applyFont="1" applyFill="1" applyBorder="1" applyAlignment="1" applyProtection="1">
      <alignment horizontal="right"/>
    </xf>
    <xf numFmtId="38" fontId="60" fillId="23" borderId="49" xfId="0" applyNumberFormat="1" applyFont="1" applyFill="1" applyBorder="1" applyAlignment="1" applyProtection="1">
      <alignment horizontal="right"/>
    </xf>
    <xf numFmtId="38" fontId="60" fillId="23" borderId="34" xfId="0" applyNumberFormat="1" applyFont="1" applyFill="1" applyBorder="1" applyAlignment="1" applyProtection="1">
      <alignment horizontal="right"/>
    </xf>
    <xf numFmtId="38" fontId="60" fillId="23" borderId="31" xfId="0" applyNumberFormat="1" applyFont="1" applyFill="1" applyBorder="1" applyAlignment="1" applyProtection="1">
      <alignment horizontal="right"/>
    </xf>
    <xf numFmtId="3" fontId="59" fillId="23" borderId="13" xfId="0" applyNumberFormat="1" applyFont="1" applyFill="1" applyBorder="1" applyAlignment="1" applyProtection="1">
      <alignment horizontal="right" vertical="center"/>
    </xf>
    <xf numFmtId="3" fontId="59" fillId="23" borderId="21" xfId="0" applyNumberFormat="1" applyFont="1" applyFill="1" applyBorder="1" applyAlignment="1" applyProtection="1">
      <alignment horizontal="right" vertical="center"/>
    </xf>
    <xf numFmtId="3" fontId="59" fillId="23"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3" borderId="13" xfId="0" applyNumberFormat="1" applyFont="1" applyFill="1" applyBorder="1" applyAlignment="1" applyProtection="1">
      <alignment horizontal="center" vertical="center"/>
    </xf>
    <xf numFmtId="49" fontId="69" fillId="23" borderId="21" xfId="0" applyNumberFormat="1" applyFont="1" applyFill="1" applyBorder="1" applyAlignment="1" applyProtection="1">
      <alignment horizontal="center" vertical="center"/>
    </xf>
    <xf numFmtId="3" fontId="60" fillId="23" borderId="21" xfId="0" applyNumberFormat="1" applyFont="1" applyFill="1" applyBorder="1" applyAlignment="1" applyProtection="1">
      <alignment horizontal="center"/>
    </xf>
    <xf numFmtId="3" fontId="62" fillId="23" borderId="21" xfId="0" applyNumberFormat="1" applyFont="1" applyFill="1" applyBorder="1" applyAlignment="1" applyProtection="1">
      <alignment horizontal="center"/>
    </xf>
    <xf numFmtId="38" fontId="62" fillId="23" borderId="21" xfId="0" applyNumberFormat="1" applyFont="1" applyFill="1" applyBorder="1" applyAlignment="1" applyProtection="1">
      <alignment horizontal="center"/>
    </xf>
    <xf numFmtId="3" fontId="62" fillId="23" borderId="14" xfId="0" applyNumberFormat="1" applyFont="1" applyFill="1" applyBorder="1" applyAlignment="1" applyProtection="1">
      <alignment horizontal="center"/>
    </xf>
    <xf numFmtId="0" fontId="59" fillId="23" borderId="49" xfId="0" applyFont="1" applyFill="1" applyBorder="1" applyAlignment="1" applyProtection="1">
      <alignment horizontal="center" vertical="center" wrapText="1"/>
    </xf>
    <xf numFmtId="0" fontId="60" fillId="23" borderId="34"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wrapText="1"/>
    </xf>
    <xf numFmtId="0" fontId="62" fillId="23" borderId="31"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7"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5" xfId="0" applyNumberFormat="1" applyFont="1" applyFill="1" applyBorder="1" applyAlignment="1">
      <alignment horizontal="left" vertical="center" wrapText="1"/>
    </xf>
    <xf numFmtId="49" fontId="69" fillId="17" borderId="127"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5"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7" xfId="0" applyFont="1" applyFill="1" applyBorder="1" applyAlignment="1">
      <alignment horizontal="left" vertical="center" wrapText="1"/>
    </xf>
    <xf numFmtId="3" fontId="69" fillId="17" borderId="127" xfId="0" applyNumberFormat="1" applyFont="1" applyFill="1" applyBorder="1" applyAlignment="1">
      <alignment horizontal="left" vertical="center" wrapText="1"/>
    </xf>
    <xf numFmtId="38" fontId="60" fillId="24" borderId="19" xfId="0" applyNumberFormat="1" applyFont="1" applyFill="1" applyBorder="1" applyAlignment="1">
      <alignment horizontal="right"/>
    </xf>
    <xf numFmtId="38" fontId="60" fillId="24" borderId="20" xfId="0" applyNumberFormat="1" applyFont="1" applyFill="1" applyBorder="1" applyAlignment="1">
      <alignment horizontal="right"/>
    </xf>
    <xf numFmtId="38" fontId="60" fillId="24" borderId="11" xfId="0" applyNumberFormat="1" applyFont="1" applyFill="1" applyBorder="1" applyAlignment="1">
      <alignment horizontal="right"/>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3" borderId="13" xfId="0" applyFont="1" applyFill="1" applyBorder="1" applyAlignment="1">
      <alignment horizontal="left" vertical="center"/>
    </xf>
    <xf numFmtId="0" fontId="70" fillId="23" borderId="21" xfId="0" applyFont="1" applyFill="1" applyBorder="1" applyAlignment="1">
      <alignment horizontal="left" vertical="center"/>
    </xf>
    <xf numFmtId="0" fontId="70" fillId="23"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9" xfId="0" applyFont="1" applyBorder="1" applyAlignment="1">
      <alignment horizontal="centerContinuous" vertical="center"/>
    </xf>
    <xf numFmtId="0" fontId="60" fillId="0" borderId="160" xfId="0" applyFont="1" applyBorder="1" applyAlignment="1">
      <alignment horizontal="centerContinuous" vertical="center"/>
    </xf>
    <xf numFmtId="0" fontId="62" fillId="0" borderId="160" xfId="0" applyFont="1" applyBorder="1" applyAlignment="1">
      <alignment horizontal="centerContinuous" vertical="center"/>
    </xf>
    <xf numFmtId="0" fontId="69" fillId="0" borderId="105" xfId="0" applyFont="1" applyBorder="1" applyAlignment="1">
      <alignment horizontal="center"/>
    </xf>
    <xf numFmtId="0" fontId="62" fillId="23" borderId="16" xfId="3" applyFont="1" applyFill="1" applyBorder="1" applyAlignment="1">
      <alignment horizontal="left" vertical="center"/>
    </xf>
    <xf numFmtId="0" fontId="62" fillId="23" borderId="10" xfId="3" applyFont="1" applyFill="1" applyBorder="1" applyAlignment="1">
      <alignment horizontal="left" vertical="center"/>
    </xf>
    <xf numFmtId="0" fontId="62" fillId="23" borderId="19" xfId="3" applyNumberFormat="1" applyFont="1" applyFill="1" applyBorder="1" applyAlignment="1">
      <alignment vertical="center"/>
    </xf>
    <xf numFmtId="0" fontId="62" fillId="23" borderId="20" xfId="3" applyNumberFormat="1" applyFont="1" applyFill="1" applyBorder="1" applyAlignment="1">
      <alignment vertical="center"/>
    </xf>
    <xf numFmtId="0" fontId="62" fillId="23" borderId="11" xfId="3" applyNumberFormat="1" applyFont="1" applyFill="1" applyBorder="1" applyAlignment="1">
      <alignment vertical="center"/>
    </xf>
    <xf numFmtId="0" fontId="11" fillId="0" borderId="0" xfId="17" quotePrefix="1" applyNumberFormat="1" applyFont="1"/>
    <xf numFmtId="0" fontId="132" fillId="20" borderId="157" xfId="17" applyFont="1" applyFill="1" applyBorder="1" applyAlignment="1" applyProtection="1">
      <alignment horizontal="left" vertical="top" wrapText="1"/>
    </xf>
    <xf numFmtId="49" fontId="132" fillId="20" borderId="157" xfId="17" applyNumberFormat="1" applyFont="1" applyFill="1" applyBorder="1" applyAlignment="1" applyProtection="1">
      <alignment horizontal="center" vertical="top"/>
    </xf>
    <xf numFmtId="0" fontId="132" fillId="20" borderId="157" xfId="17" applyFont="1" applyFill="1" applyBorder="1" applyAlignment="1" applyProtection="1">
      <alignment vertical="top"/>
    </xf>
    <xf numFmtId="38" fontId="132" fillId="20" borderId="157" xfId="17" applyNumberFormat="1" applyFont="1" applyFill="1" applyBorder="1" applyAlignment="1" applyProtection="1">
      <alignment horizontal="right" vertical="top"/>
    </xf>
    <xf numFmtId="38" fontId="132" fillId="20" borderId="157" xfId="17" applyNumberFormat="1" applyFont="1" applyFill="1" applyBorder="1" applyAlignment="1" applyProtection="1">
      <alignment vertical="top"/>
    </xf>
    <xf numFmtId="0" fontId="12" fillId="0" borderId="157" xfId="17" applyBorder="1" applyAlignment="1" applyProtection="1">
      <alignment horizontal="left" vertical="top" wrapText="1"/>
      <protection locked="0"/>
    </xf>
    <xf numFmtId="0" fontId="12" fillId="0" borderId="157" xfId="17" applyBorder="1" applyAlignment="1" applyProtection="1">
      <alignment vertical="top"/>
      <protection locked="0"/>
    </xf>
    <xf numFmtId="0" fontId="11" fillId="0" borderId="157" xfId="17" applyFont="1" applyBorder="1" applyAlignment="1" applyProtection="1">
      <alignment horizontal="left" vertical="top" wrapText="1"/>
      <protection locked="0"/>
    </xf>
    <xf numFmtId="0" fontId="11" fillId="0" borderId="157" xfId="17" applyFont="1" applyBorder="1" applyAlignment="1" applyProtection="1">
      <alignment vertical="top"/>
      <protection locked="0"/>
    </xf>
    <xf numFmtId="0" fontId="12" fillId="0" borderId="0" xfId="17" applyAlignment="1">
      <alignment horizontal="center" vertical="center" wrapText="1"/>
    </xf>
    <xf numFmtId="0" fontId="10" fillId="0" borderId="0" xfId="17" applyFont="1" applyAlignment="1">
      <alignment horizontal="left" vertical="center" wrapText="1"/>
    </xf>
    <xf numFmtId="0" fontId="10" fillId="0" borderId="0" xfId="17" applyFont="1" applyAlignment="1">
      <alignment vertical="center"/>
    </xf>
    <xf numFmtId="0" fontId="12" fillId="0" borderId="0" xfId="17" applyAlignment="1">
      <alignment vertical="center"/>
    </xf>
    <xf numFmtId="0" fontId="132" fillId="0" borderId="98" xfId="17" applyFont="1" applyBorder="1" applyAlignment="1">
      <alignment horizontal="left" vertical="top"/>
    </xf>
    <xf numFmtId="0" fontId="132" fillId="0" borderId="78" xfId="17" applyFont="1" applyBorder="1" applyAlignment="1">
      <alignment horizontal="left" vertical="top"/>
    </xf>
    <xf numFmtId="0" fontId="132" fillId="0" borderId="99" xfId="17" applyFont="1" applyBorder="1" applyAlignment="1">
      <alignment horizontal="left" vertical="top"/>
    </xf>
    <xf numFmtId="0" fontId="38" fillId="0" borderId="0" xfId="2" applyNumberFormat="1" applyAlignment="1" applyProtection="1">
      <alignment vertical="center"/>
    </xf>
    <xf numFmtId="0" fontId="69" fillId="0" borderId="5" xfId="3" applyFont="1" applyFill="1" applyBorder="1" applyAlignment="1" applyProtection="1"/>
    <xf numFmtId="49" fontId="12" fillId="0" borderId="157" xfId="17" applyNumberFormat="1" applyBorder="1" applyAlignment="1" applyProtection="1">
      <alignment horizontal="center" vertical="center"/>
      <protection locked="0"/>
    </xf>
    <xf numFmtId="49" fontId="10" fillId="0" borderId="157" xfId="17" applyNumberFormat="1" applyFont="1" applyBorder="1" applyAlignment="1" applyProtection="1">
      <alignment horizontal="center" vertical="center"/>
      <protection locked="0"/>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38" fontId="60" fillId="16" borderId="27" xfId="0" applyNumberFormat="1" applyFont="1" applyFill="1" applyBorder="1" applyAlignment="1">
      <alignment horizontal="right"/>
    </xf>
    <xf numFmtId="38" fontId="60" fillId="16" borderId="2" xfId="0" applyNumberFormat="1" applyFont="1" applyFill="1" applyBorder="1" applyAlignment="1">
      <alignment horizontal="right"/>
    </xf>
    <xf numFmtId="38" fontId="60" fillId="16" borderId="4" xfId="0" applyNumberFormat="1" applyFont="1" applyFill="1" applyBorder="1" applyAlignment="1">
      <alignment horizontal="right"/>
    </xf>
    <xf numFmtId="49" fontId="69" fillId="16" borderId="36" xfId="0" applyNumberFormat="1" applyFont="1" applyFill="1" applyBorder="1" applyAlignment="1">
      <alignment horizontal="center" vertical="center"/>
    </xf>
    <xf numFmtId="38" fontId="60" fillId="16" borderId="30" xfId="0" applyNumberFormat="1" applyFont="1" applyFill="1" applyBorder="1" applyAlignment="1">
      <alignment horizontal="right"/>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38" fontId="60" fillId="16" borderId="32" xfId="0" applyNumberFormat="1" applyFont="1" applyFill="1" applyBorder="1" applyAlignment="1">
      <alignment horizontal="right"/>
    </xf>
    <xf numFmtId="0" fontId="69" fillId="16" borderId="27" xfId="0" applyFont="1" applyFill="1" applyBorder="1" applyAlignment="1">
      <alignment horizontal="center" vertical="center"/>
    </xf>
    <xf numFmtId="38" fontId="60" fillId="16" borderId="33" xfId="0" applyNumberFormat="1" applyFont="1" applyFill="1" applyBorder="1" applyAlignment="1">
      <alignment horizontal="right"/>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8" fontId="60" fillId="16" borderId="26" xfId="0" applyNumberFormat="1" applyFont="1" applyFill="1" applyBorder="1" applyAlignment="1">
      <alignment horizontal="right"/>
    </xf>
    <xf numFmtId="38" fontId="60" fillId="16" borderId="28" xfId="0" applyNumberFormat="1" applyFont="1" applyFill="1" applyBorder="1" applyAlignment="1">
      <alignment horizontal="right"/>
    </xf>
    <xf numFmtId="38" fontId="60" fillId="16" borderId="29" xfId="0" applyNumberFormat="1" applyFont="1" applyFill="1" applyBorder="1" applyAlignment="1">
      <alignment horizontal="right"/>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8" fontId="60" fillId="16" borderId="27" xfId="0" applyNumberFormat="1" applyFont="1" applyFill="1" applyBorder="1" applyAlignment="1" applyProtection="1">
      <alignment horizontal="right"/>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38" fontId="60" fillId="16" borderId="3" xfId="0" applyNumberFormat="1" applyFont="1" applyFill="1" applyBorder="1" applyAlignment="1">
      <alignment horizontal="right"/>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38" fontId="60" fillId="16" borderId="33" xfId="0" applyNumberFormat="1" applyFont="1" applyFill="1" applyBorder="1" applyAlignment="1" applyProtection="1">
      <alignment horizontal="right"/>
    </xf>
    <xf numFmtId="38" fontId="60" fillId="16" borderId="32" xfId="0" applyNumberFormat="1" applyFont="1" applyFill="1" applyBorder="1" applyAlignment="1" applyProtection="1">
      <alignment horizontal="right"/>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38" fontId="60" fillId="16" borderId="36" xfId="0" applyNumberFormat="1" applyFont="1" applyFill="1" applyBorder="1" applyAlignment="1" applyProtection="1">
      <alignment horizontal="right"/>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37" fontId="60" fillId="16" borderId="36" xfId="0" applyNumberFormat="1" applyFont="1" applyFill="1" applyBorder="1" applyAlignment="1" applyProtection="1">
      <alignment horizontal="right"/>
    </xf>
    <xf numFmtId="37" fontId="60" fillId="16" borderId="27" xfId="0" applyNumberFormat="1" applyFont="1" applyFill="1" applyBorder="1" applyAlignment="1" applyProtection="1">
      <alignment horizontal="right"/>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38" fontId="60" fillId="16" borderId="37" xfId="0" applyNumberFormat="1" applyFont="1" applyFill="1" applyBorder="1" applyAlignment="1" applyProtection="1">
      <alignment horizontal="right"/>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38" fontId="60" fillId="16" borderId="12" xfId="0" applyNumberFormat="1" applyFont="1" applyFill="1" applyBorder="1" applyAlignment="1" applyProtection="1">
      <alignment horizontal="right"/>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38" fontId="60" fillId="16" borderId="3" xfId="0" applyNumberFormat="1" applyFont="1" applyFill="1" applyBorder="1" applyAlignment="1" applyProtection="1">
      <alignment horizontal="right"/>
    </xf>
    <xf numFmtId="38" fontId="60" fillId="16" borderId="55" xfId="0" applyNumberFormat="1" applyFont="1" applyFill="1" applyBorder="1" applyAlignment="1" applyProtection="1">
      <alignment horizontal="right"/>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8" fontId="62" fillId="16" borderId="2" xfId="0" applyNumberFormat="1" applyFont="1" applyFill="1" applyBorder="1" applyAlignment="1" applyProtection="1">
      <alignment horizontal="right" vertical="center"/>
    </xf>
    <xf numFmtId="38"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38" fontId="60" fillId="16" borderId="30"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38" fontId="60" fillId="16" borderId="26" xfId="0" applyNumberFormat="1" applyFont="1" applyFill="1" applyBorder="1" applyAlignment="1" applyProtection="1">
      <alignment horizontal="right"/>
    </xf>
    <xf numFmtId="0" fontId="69" fillId="16" borderId="30" xfId="0" applyFont="1" applyFill="1" applyBorder="1" applyAlignment="1" applyProtection="1">
      <alignment horizontal="center" vertical="center"/>
    </xf>
    <xf numFmtId="38" fontId="60" fillId="16" borderId="4" xfId="0" applyNumberFormat="1" applyFont="1" applyFill="1" applyBorder="1" applyAlignment="1" applyProtection="1">
      <alignment horizontal="right"/>
    </xf>
    <xf numFmtId="38" fontId="60" fillId="16" borderId="2" xfId="0" applyNumberFormat="1" applyFont="1" applyFill="1" applyBorder="1" applyAlignment="1" applyProtection="1">
      <alignment horizontal="right"/>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38" fontId="60" fillId="16" borderId="28" xfId="0" applyNumberFormat="1" applyFont="1" applyFill="1" applyBorder="1" applyAlignment="1" applyProtection="1">
      <alignment horizontal="right"/>
    </xf>
    <xf numFmtId="38" fontId="60" fillId="16" borderId="18" xfId="0" applyNumberFormat="1" applyFont="1" applyFill="1" applyBorder="1" applyAlignment="1" applyProtection="1">
      <alignment horizontal="right"/>
    </xf>
    <xf numFmtId="38" fontId="60" fillId="16" borderId="0" xfId="0" applyNumberFormat="1" applyFont="1" applyFill="1" applyAlignment="1" applyProtection="1">
      <alignment horizontal="right"/>
    </xf>
    <xf numFmtId="38" fontId="60" fillId="16" borderId="127" xfId="0" applyNumberFormat="1" applyFont="1" applyFill="1" applyBorder="1" applyAlignment="1" applyProtection="1">
      <alignment horizontal="right" vertical="center"/>
      <protection locked="0"/>
    </xf>
    <xf numFmtId="38" fontId="60" fillId="16" borderId="2" xfId="0" applyNumberFormat="1" applyFont="1" applyFill="1" applyBorder="1" applyAlignment="1" applyProtection="1">
      <alignment horizontal="right" vertical="center"/>
      <protection locked="0"/>
    </xf>
    <xf numFmtId="38" fontId="60" fillId="16" borderId="27" xfId="0" applyNumberFormat="1" applyFont="1" applyFill="1" applyBorder="1" applyAlignment="1" applyProtection="1">
      <alignment horizontal="right" vertical="center"/>
      <protection locked="0"/>
    </xf>
    <xf numFmtId="38" fontId="60" fillId="16" borderId="127"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horizontal="right" vertical="center"/>
    </xf>
    <xf numFmtId="0" fontId="69" fillId="16" borderId="27" xfId="0" applyFont="1" applyFill="1" applyBorder="1" applyAlignment="1">
      <alignment horizontal="left" vertical="center" wrapText="1" indent="1"/>
    </xf>
    <xf numFmtId="38" fontId="60" fillId="16" borderId="27" xfId="0" applyNumberFormat="1" applyFont="1" applyFill="1" applyBorder="1" applyAlignment="1" applyProtection="1">
      <alignment horizontal="right" vertical="center"/>
    </xf>
    <xf numFmtId="38" fontId="60" fillId="16" borderId="2" xfId="9" applyNumberFormat="1" applyFont="1" applyFill="1" applyBorder="1" applyAlignment="1" applyProtection="1">
      <alignment horizontal="right"/>
    </xf>
    <xf numFmtId="49" fontId="67" fillId="16" borderId="41"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38" fontId="60" fillId="16" borderId="60" xfId="0" applyNumberFormat="1" applyFont="1" applyFill="1" applyBorder="1" applyAlignment="1" applyProtection="1"/>
    <xf numFmtId="38" fontId="60" fillId="16" borderId="41" xfId="0" applyNumberFormat="1" applyFont="1" applyFill="1" applyBorder="1" applyAlignment="1" applyProtection="1">
      <alignment horizontal="right"/>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3" fontId="69" fillId="16" borderId="57" xfId="10" applyNumberFormat="1" applyFont="1" applyFill="1" applyBorder="1" applyAlignment="1" applyProtection="1">
      <alignmen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38" fontId="69" fillId="16" borderId="47" xfId="10" applyNumberFormat="1" applyFont="1" applyFill="1" applyBorder="1" applyAlignment="1">
      <alignment horizontal="right"/>
    </xf>
    <xf numFmtId="0" fontId="67" fillId="16" borderId="0" xfId="10" quotePrefix="1" applyFont="1" applyFill="1" applyAlignment="1">
      <alignment horizontal="left" vertical="center"/>
    </xf>
    <xf numFmtId="38" fontId="67" fillId="16" borderId="58" xfId="10" applyNumberFormat="1" applyFont="1" applyFill="1" applyBorder="1" applyAlignment="1" applyProtection="1">
      <alignment horizontal="right"/>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40" fontId="69" fillId="16" borderId="47" xfId="10" applyNumberFormat="1" applyFont="1" applyFill="1" applyBorder="1" applyAlignment="1" applyProtection="1">
      <alignment horizontal="right"/>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38" fontId="69" fillId="16" borderId="9" xfId="11" applyNumberFormat="1" applyFont="1" applyFill="1" applyBorder="1" applyAlignment="1" applyProtection="1">
      <alignment horizontal="right"/>
    </xf>
    <xf numFmtId="38" fontId="67" fillId="16" borderId="6" xfId="11" applyNumberFormat="1" applyFont="1" applyFill="1" applyBorder="1" applyAlignment="1" applyProtection="1">
      <alignment horizontal="right"/>
    </xf>
    <xf numFmtId="0" fontId="67" fillId="16" borderId="0" xfId="11" applyFont="1" applyFill="1" applyAlignment="1">
      <alignment vertical="center"/>
    </xf>
    <xf numFmtId="40" fontId="67" fillId="16" borderId="9" xfId="11" applyNumberFormat="1" applyFont="1" applyFill="1" applyBorder="1" applyAlignment="1" applyProtection="1">
      <alignment horizontal="right"/>
    </xf>
    <xf numFmtId="40" fontId="69" fillId="16" borderId="57" xfId="11" applyNumberFormat="1" applyFont="1" applyFill="1" applyBorder="1" applyAlignment="1" applyProtection="1">
      <alignment horizontal="right"/>
    </xf>
    <xf numFmtId="38" fontId="12" fillId="16" borderId="157" xfId="17" applyNumberFormat="1" applyFill="1" applyBorder="1" applyAlignment="1" applyProtection="1">
      <alignment vertical="top"/>
    </xf>
    <xf numFmtId="38" fontId="12" fillId="16" borderId="158" xfId="17" applyNumberFormat="1" applyFill="1" applyBorder="1" applyAlignment="1" applyProtection="1">
      <alignment horizontal="right" vertical="top"/>
    </xf>
    <xf numFmtId="38" fontId="12" fillId="16" borderId="158" xfId="17" applyNumberFormat="1" applyFill="1" applyBorder="1" applyAlignment="1" applyProtection="1">
      <alignment vertical="top"/>
    </xf>
    <xf numFmtId="0" fontId="12" fillId="16" borderId="158" xfId="17" applyFill="1" applyBorder="1" applyAlignment="1" applyProtection="1">
      <alignment horizontal="left" vertical="top" wrapText="1"/>
    </xf>
    <xf numFmtId="49" fontId="12" fillId="16" borderId="158" xfId="17" applyNumberFormat="1" applyFill="1" applyBorder="1" applyAlignment="1" applyProtection="1">
      <alignment vertical="top"/>
    </xf>
    <xf numFmtId="0" fontId="12" fillId="16" borderId="158" xfId="17" applyFill="1" applyBorder="1" applyAlignment="1" applyProtection="1">
      <alignment vertical="top"/>
    </xf>
    <xf numFmtId="0" fontId="60" fillId="16" borderId="126" xfId="0" applyFont="1" applyFill="1" applyBorder="1"/>
    <xf numFmtId="37" fontId="60" fillId="16" borderId="126" xfId="0" applyNumberFormat="1" applyFont="1" applyFill="1" applyBorder="1"/>
    <xf numFmtId="37" fontId="60" fillId="16" borderId="128" xfId="0" applyNumberFormat="1" applyFont="1" applyFill="1" applyBorder="1"/>
    <xf numFmtId="0" fontId="60" fillId="16" borderId="14" xfId="0" applyFont="1" applyFill="1" applyBorder="1"/>
    <xf numFmtId="0" fontId="60" fillId="16" borderId="21" xfId="0" applyFont="1" applyFill="1" applyBorder="1"/>
    <xf numFmtId="37" fontId="60" fillId="16" borderId="14" xfId="0" applyNumberFormat="1" applyFont="1" applyFill="1" applyBorder="1"/>
    <xf numFmtId="37" fontId="60" fillId="16" borderId="21" xfId="0" applyNumberFormat="1" applyFont="1" applyFill="1" applyBorder="1"/>
    <xf numFmtId="38" fontId="60" fillId="16" borderId="14" xfId="0" applyNumberFormat="1" applyFont="1" applyFill="1" applyBorder="1"/>
    <xf numFmtId="0" fontId="67" fillId="16" borderId="0" xfId="0" applyFont="1" applyFill="1" applyBorder="1" applyAlignment="1">
      <alignment horizontal="right"/>
    </xf>
    <xf numFmtId="38" fontId="60" fillId="16" borderId="18" xfId="0" applyNumberFormat="1" applyFont="1" applyFill="1" applyBorder="1"/>
    <xf numFmtId="0" fontId="60" fillId="16" borderId="13" xfId="0" applyFont="1" applyFill="1" applyBorder="1" applyAlignment="1">
      <alignment horizontal="right"/>
    </xf>
    <xf numFmtId="10" fontId="59" fillId="16" borderId="14" xfId="0" applyNumberFormat="1" applyFont="1" applyFill="1" applyBorder="1" applyAlignment="1">
      <alignment horizontal="left" indent="2"/>
    </xf>
    <xf numFmtId="38" fontId="60" fillId="16" borderId="2" xfId="3" applyNumberFormat="1" applyFont="1" applyFill="1" applyBorder="1" applyAlignment="1">
      <alignment vertical="center"/>
    </xf>
    <xf numFmtId="38" fontId="60" fillId="16" borderId="2" xfId="3" applyNumberFormat="1" applyFont="1" applyFill="1" applyBorder="1" applyAlignment="1" applyProtection="1">
      <alignment vertical="center"/>
    </xf>
    <xf numFmtId="38" fontId="60" fillId="16" borderId="27" xfId="3" applyNumberFormat="1" applyFont="1" applyFill="1" applyBorder="1" applyAlignment="1">
      <alignment vertical="center"/>
    </xf>
    <xf numFmtId="9" fontId="60" fillId="16" borderId="4" xfId="3" applyNumberFormat="1" applyFont="1" applyFill="1" applyBorder="1" applyAlignment="1">
      <alignment horizontal="center" vertical="center"/>
    </xf>
    <xf numFmtId="38" fontId="60" fillId="16" borderId="22" xfId="3" applyNumberFormat="1" applyFont="1" applyFill="1" applyBorder="1" applyAlignment="1">
      <alignment horizontal="right" vertical="center"/>
    </xf>
    <xf numFmtId="38" fontId="60" fillId="16" borderId="41"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60" fillId="16" borderId="127" xfId="0" applyNumberFormat="1" applyFont="1" applyFill="1" applyBorder="1" applyAlignment="1" applyProtection="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38" fontId="60" fillId="15" borderId="26" xfId="0" applyNumberFormat="1" applyFont="1" applyFill="1" applyBorder="1" applyAlignment="1">
      <alignment horizontal="right"/>
    </xf>
    <xf numFmtId="38" fontId="60" fillId="15" borderId="3" xfId="0" applyNumberFormat="1" applyFont="1" applyFill="1" applyBorder="1" applyAlignment="1">
      <alignment horizontal="right"/>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8" fontId="60" fillId="26" borderId="26" xfId="0" applyNumberFormat="1" applyFont="1" applyFill="1" applyBorder="1" applyAlignment="1">
      <alignment horizontal="right"/>
    </xf>
    <xf numFmtId="3" fontId="67" fillId="0" borderId="12" xfId="0" applyNumberFormat="1" applyFont="1" applyBorder="1" applyAlignment="1">
      <alignment horizontal="left" vertical="top" wrapText="1" indent="1"/>
    </xf>
    <xf numFmtId="38" fontId="60" fillId="16" borderId="19" xfId="0" applyNumberFormat="1" applyFont="1" applyFill="1" applyBorder="1" applyAlignment="1" applyProtection="1">
      <alignment horizontal="right"/>
    </xf>
    <xf numFmtId="49" fontId="38" fillId="0" borderId="0" xfId="2" applyNumberFormat="1" applyBorder="1" applyAlignment="1" applyProtection="1">
      <alignment horizontal="center"/>
    </xf>
    <xf numFmtId="49" fontId="9" fillId="0" borderId="157" xfId="17" applyNumberFormat="1" applyFont="1" applyBorder="1" applyAlignment="1" applyProtection="1">
      <alignment horizontal="center" vertical="center"/>
      <protection locked="0"/>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61" xfId="3" applyFont="1" applyBorder="1" applyProtection="1"/>
    <xf numFmtId="49" fontId="67" fillId="0" borderId="14" xfId="0" applyNumberFormat="1" applyFont="1" applyFill="1" applyBorder="1" applyAlignment="1" applyProtection="1">
      <alignment horizontal="center" vertical="center"/>
    </xf>
    <xf numFmtId="38" fontId="60" fillId="15" borderId="3" xfId="0" applyNumberFormat="1" applyFont="1" applyFill="1" applyBorder="1" applyAlignment="1" applyProtection="1">
      <alignment horizontal="right"/>
    </xf>
    <xf numFmtId="38" fontId="60" fillId="15" borderId="26" xfId="0" applyNumberFormat="1" applyFont="1" applyFill="1" applyBorder="1" applyAlignment="1" applyProtection="1">
      <alignment horizontal="right"/>
    </xf>
    <xf numFmtId="38" fontId="12" fillId="0" borderId="157" xfId="17" applyNumberFormat="1" applyBorder="1" applyAlignment="1" applyProtection="1">
      <alignment horizontal="right" vertical="top"/>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3" borderId="0" xfId="18" applyFont="1" applyFill="1" applyAlignment="1">
      <alignment horizontal="centerContinuous" vertical="center"/>
    </xf>
    <xf numFmtId="0" fontId="105" fillId="23" borderId="0" xfId="18" applyFont="1" applyFill="1" applyAlignment="1">
      <alignment horizontal="centerContinuous"/>
    </xf>
    <xf numFmtId="0" fontId="93" fillId="0" borderId="137"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9" fillId="0" borderId="0" xfId="18" applyFont="1" applyAlignment="1">
      <alignment wrapText="1"/>
    </xf>
    <xf numFmtId="0" fontId="137" fillId="0" borderId="162"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4"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9" xfId="18" applyFont="1" applyBorder="1" applyAlignment="1">
      <alignment horizontal="left" vertical="center" wrapText="1"/>
    </xf>
    <xf numFmtId="0" fontId="109" fillId="0" borderId="160"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32" xfId="18" applyFont="1" applyFill="1" applyBorder="1" applyAlignment="1">
      <alignment horizontal="left" vertical="center" wrapText="1"/>
    </xf>
    <xf numFmtId="49" fontId="138" fillId="0" borderId="105" xfId="18" applyNumberFormat="1" applyFont="1" applyBorder="1" applyAlignment="1" applyProtection="1">
      <alignment horizontal="center" vertical="center"/>
      <protection locked="0"/>
    </xf>
    <xf numFmtId="49" fontId="138"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8" fillId="0" borderId="107" xfId="18" applyNumberFormat="1" applyFont="1" applyFill="1" applyBorder="1" applyAlignment="1" applyProtection="1">
      <alignment horizontal="center" vertical="center"/>
      <protection locked="0"/>
    </xf>
    <xf numFmtId="0" fontId="105" fillId="0" borderId="0" xfId="18" applyFont="1" applyProtection="1"/>
    <xf numFmtId="0" fontId="9" fillId="0" borderId="0" xfId="18" applyFont="1"/>
    <xf numFmtId="0" fontId="53" fillId="0" borderId="140" xfId="18" applyFont="1" applyBorder="1" applyAlignment="1">
      <alignment vertical="top"/>
    </xf>
    <xf numFmtId="0" fontId="53" fillId="0" borderId="141" xfId="18" applyFont="1" applyBorder="1" applyAlignment="1">
      <alignment vertical="top"/>
    </xf>
    <xf numFmtId="0" fontId="54" fillId="15" borderId="76" xfId="18" applyFont="1" applyFill="1" applyBorder="1" applyAlignment="1">
      <alignment vertical="top"/>
    </xf>
    <xf numFmtId="0" fontId="53" fillId="0" borderId="140" xfId="18" applyFont="1" applyBorder="1" applyAlignment="1">
      <alignment vertical="top" wrapText="1"/>
    </xf>
    <xf numFmtId="0" fontId="53" fillId="0" borderId="141"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9"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49" fontId="69" fillId="0" borderId="2" xfId="0" applyNumberFormat="1" applyFont="1" applyFill="1" applyBorder="1" applyAlignment="1" applyProtection="1">
      <alignment horizontal="center" vertical="top" wrapText="1"/>
    </xf>
    <xf numFmtId="49" fontId="69" fillId="0" borderId="2" xfId="9" applyNumberFormat="1" applyFont="1" applyFill="1" applyBorder="1" applyAlignment="1">
      <alignment horizontal="center" vertical="top" wrapText="1"/>
    </xf>
    <xf numFmtId="49" fontId="69" fillId="5" borderId="2" xfId="9" applyNumberFormat="1" applyFont="1" applyFill="1" applyBorder="1" applyAlignment="1" applyProtection="1">
      <alignment horizontal="center" vertical="top" wrapText="1"/>
    </xf>
    <xf numFmtId="0" fontId="105" fillId="23" borderId="0" xfId="18" applyFont="1" applyFill="1" applyAlignment="1">
      <alignment horizontal="centerContinuous" vertical="center"/>
    </xf>
    <xf numFmtId="0" fontId="109" fillId="23" borderId="138" xfId="18" applyFont="1" applyFill="1" applyBorder="1" applyAlignment="1">
      <alignment horizontal="center" vertical="center" wrapText="1"/>
    </xf>
    <xf numFmtId="0" fontId="109" fillId="23" borderId="163" xfId="18" applyFont="1" applyFill="1" applyBorder="1" applyAlignment="1">
      <alignment horizontal="center" vertical="center" wrapText="1"/>
    </xf>
    <xf numFmtId="0" fontId="109" fillId="17" borderId="139"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9" xfId="18" applyFont="1" applyFill="1" applyBorder="1" applyAlignment="1" applyProtection="1">
      <alignment horizontal="right"/>
    </xf>
    <xf numFmtId="0" fontId="70" fillId="23" borderId="12" xfId="3" applyNumberFormat="1" applyFont="1" applyFill="1" applyBorder="1" applyAlignment="1">
      <alignment horizontal="left"/>
    </xf>
    <xf numFmtId="0" fontId="59" fillId="0" borderId="12" xfId="3" applyNumberFormat="1" applyFont="1" applyFill="1" applyBorder="1" applyAlignment="1">
      <alignment horizontal="centerContinuous" vertical="center"/>
    </xf>
    <xf numFmtId="0" fontId="59" fillId="0" borderId="3" xfId="3" applyNumberFormat="1" applyFont="1" applyFill="1" applyBorder="1" applyAlignment="1">
      <alignment horizontal="centerContinuous" vertical="center"/>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38" fontId="67" fillId="0" borderId="147" xfId="11" applyNumberFormat="1" applyFont="1" applyFill="1" applyBorder="1" applyAlignment="1" applyProtection="1">
      <alignment horizontal="right"/>
      <protection locked="0"/>
    </xf>
    <xf numFmtId="38" fontId="67" fillId="16" borderId="9" xfId="11" applyNumberFormat="1" applyFont="1" applyFill="1" applyBorder="1" applyAlignment="1" applyProtection="1">
      <alignment horizontal="right"/>
    </xf>
    <xf numFmtId="3" fontId="67" fillId="16" borderId="9" xfId="10" applyNumberFormat="1" applyFont="1" applyFill="1" applyBorder="1" applyAlignment="1" applyProtection="1">
      <alignment vertical="center"/>
    </xf>
    <xf numFmtId="3" fontId="67" fillId="16" borderId="6" xfId="10" applyNumberFormat="1" applyFont="1" applyFill="1" applyBorder="1" applyAlignment="1" applyProtection="1">
      <alignment vertical="center"/>
    </xf>
    <xf numFmtId="38" fontId="67" fillId="16" borderId="9" xfId="10" applyNumberFormat="1" applyFont="1" applyFill="1" applyBorder="1" applyAlignment="1" applyProtection="1">
      <alignment horizontal="right" vertical="center"/>
    </xf>
    <xf numFmtId="38" fontId="67" fillId="16" borderId="0" xfId="10" applyNumberFormat="1" applyFont="1" applyFill="1" applyAlignment="1">
      <alignment vertical="top"/>
    </xf>
    <xf numFmtId="38" fontId="67" fillId="16" borderId="6" xfId="10" applyNumberFormat="1" applyFont="1" applyFill="1" applyBorder="1" applyAlignment="1" applyProtection="1">
      <alignment horizontal="right" vertical="center"/>
    </xf>
    <xf numFmtId="38" fontId="67" fillId="16" borderId="6" xfId="10" applyNumberFormat="1" applyFont="1" applyFill="1" applyBorder="1" applyAlignment="1" applyProtection="1">
      <alignment horizontal="right"/>
    </xf>
    <xf numFmtId="38" fontId="67" fillId="16" borderId="0" xfId="10" applyNumberFormat="1" applyFont="1" applyFill="1" applyAlignment="1">
      <alignment horizontal="right"/>
    </xf>
    <xf numFmtId="38" fontId="67" fillId="16" borderId="9" xfId="10" applyNumberFormat="1" applyFont="1" applyFill="1" applyBorder="1" applyAlignment="1" applyProtection="1">
      <alignment horizontal="right"/>
    </xf>
    <xf numFmtId="38" fontId="67" fillId="16" borderId="6" xfId="10" applyNumberFormat="1" applyFont="1" applyFill="1" applyBorder="1" applyAlignment="1">
      <alignment horizontal="right"/>
    </xf>
    <xf numFmtId="38" fontId="67" fillId="16" borderId="147" xfId="10" applyNumberFormat="1" applyFont="1" applyFill="1" applyBorder="1" applyAlignment="1" applyProtection="1">
      <alignment horizontal="right"/>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69" fillId="0" borderId="0" xfId="11" applyFont="1" applyAlignment="1">
      <alignment horizontal="right" vertical="center"/>
    </xf>
    <xf numFmtId="0" fontId="69" fillId="0" borderId="0" xfId="0" applyFont="1" applyBorder="1" applyAlignment="1" applyProtection="1">
      <alignment horizontal="lef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38" fontId="8" fillId="16" borderId="157" xfId="17" applyNumberFormat="1" applyFont="1" applyFill="1" applyBorder="1" applyAlignment="1" applyProtection="1">
      <alignment horizontal="right" vertical="top"/>
    </xf>
    <xf numFmtId="38" fontId="8" fillId="16" borderId="158" xfId="17" applyNumberFormat="1" applyFont="1" applyFill="1" applyBorder="1" applyAlignment="1" applyProtection="1">
      <alignment horizontal="right" vertical="top"/>
    </xf>
    <xf numFmtId="49" fontId="8" fillId="0" borderId="157" xfId="17" applyNumberFormat="1" applyFont="1" applyBorder="1" applyAlignment="1" applyProtection="1">
      <alignment horizontal="center" vertical="top"/>
      <protection locked="0"/>
    </xf>
    <xf numFmtId="49" fontId="8" fillId="0" borderId="157" xfId="17" applyNumberFormat="1" applyFont="1" applyBorder="1" applyAlignment="1" applyProtection="1">
      <alignment horizontal="center" vertical="center"/>
      <protection locked="0"/>
    </xf>
    <xf numFmtId="0" fontId="62" fillId="0" borderId="77" xfId="3" applyNumberFormat="1" applyFont="1" applyBorder="1" applyAlignment="1" applyProtection="1">
      <alignment horizontal="center"/>
      <protection locked="0"/>
    </xf>
    <xf numFmtId="38" fontId="60" fillId="0" borderId="14"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4"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12"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55" xfId="0" applyNumberFormat="1" applyFont="1" applyBorder="1" applyAlignment="1" applyProtection="1">
      <alignment horizontal="right" vertical="center"/>
      <protection locked="0"/>
    </xf>
    <xf numFmtId="38" fontId="60" fillId="0" borderId="32" xfId="0" applyNumberFormat="1" applyFont="1" applyBorder="1" applyAlignment="1" applyProtection="1">
      <alignment horizontal="right" vertical="center"/>
      <protection locked="0"/>
    </xf>
    <xf numFmtId="38" fontId="60" fillId="0" borderId="27" xfId="0" applyNumberFormat="1" applyFont="1" applyFill="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38" fontId="60" fillId="0" borderId="2" xfId="0" applyNumberFormat="1" applyFont="1" applyFill="1" applyBorder="1" applyAlignment="1" applyProtection="1">
      <alignment horizontal="right" vertical="center"/>
      <protection locked="0"/>
    </xf>
    <xf numFmtId="38" fontId="60" fillId="0" borderId="124" xfId="0" applyNumberFormat="1" applyFont="1" applyFill="1" applyBorder="1" applyAlignment="1" applyProtection="1">
      <alignment horizontal="right"/>
      <protection locked="0"/>
    </xf>
    <xf numFmtId="38" fontId="60" fillId="0" borderId="123"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111" xfId="0" applyNumberFormat="1" applyFont="1" applyFill="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 xfId="8"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2" xfId="6" applyNumberFormat="1" applyFont="1" applyBorder="1" applyProtection="1">
      <protection locked="0"/>
    </xf>
    <xf numFmtId="0" fontId="67" fillId="0" borderId="0" xfId="3" applyFont="1" applyBorder="1" applyProtection="1">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59" fillId="0" borderId="0" xfId="3" applyFont="1" applyAlignment="1" applyProtection="1">
      <alignment horizontal="center" vertical="center"/>
    </xf>
    <xf numFmtId="0" fontId="112" fillId="67" borderId="0" xfId="0" applyFont="1" applyFill="1"/>
    <xf numFmtId="0" fontId="4" fillId="67" borderId="0" xfId="3483" applyFont="1" applyFill="1"/>
    <xf numFmtId="0" fontId="62" fillId="67" borderId="0" xfId="0" applyFont="1" applyFill="1"/>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17" xfId="12" applyNumberFormat="1" applyFont="1" applyBorder="1" applyAlignment="1" applyProtection="1">
      <alignment horizontal="left" vertical="center" indent="1"/>
      <protection locked="0"/>
    </xf>
    <xf numFmtId="0" fontId="18" fillId="0" borderId="0"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0" fontId="18" fillId="0" borderId="19" xfId="12" applyNumberFormat="1" applyFont="1" applyBorder="1" applyAlignment="1" applyProtection="1">
      <alignment horizontal="lef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14" fontId="18" fillId="0" borderId="125" xfId="12" applyNumberFormat="1" applyFont="1" applyBorder="1" applyAlignment="1" applyProtection="1">
      <alignment horizontal="left" vertical="center" indent="1"/>
      <protection locked="0"/>
    </xf>
    <xf numFmtId="0" fontId="18" fillId="0" borderId="128" xfId="12" applyNumberFormat="1"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indent="1"/>
      <protection locked="0"/>
    </xf>
    <xf numFmtId="180" fontId="18" fillId="0" borderId="125" xfId="12" applyNumberFormat="1" applyFont="1" applyBorder="1" applyAlignment="1" applyProtection="1">
      <alignment horizontal="left" vertical="center" indent="1"/>
      <protection locked="0"/>
    </xf>
    <xf numFmtId="180" fontId="18" fillId="0" borderId="128" xfId="12" applyNumberFormat="1" applyFont="1" applyBorder="1" applyAlignment="1" applyProtection="1">
      <alignment horizontal="left" vertical="center" indent="1"/>
      <protection locked="0"/>
    </xf>
    <xf numFmtId="180" fontId="18" fillId="0" borderId="126"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6" xfId="12"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8"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8" fillId="0" borderId="0" xfId="0" applyNumberFormat="1" applyFont="1" applyBorder="1" applyAlignment="1" applyProtection="1">
      <alignment horizontal="left" vertical="center" indent="1"/>
      <protection locked="0"/>
    </xf>
    <xf numFmtId="0" fontId="18" fillId="0" borderId="18" xfId="0" applyFont="1" applyBorder="1" applyAlignment="1" applyProtection="1">
      <alignment horizontal="left" vertical="center" indent="1"/>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49" fontId="18" fillId="0" borderId="0" xfId="12" applyNumberFormat="1" applyFont="1" applyBorder="1" applyAlignment="1" applyProtection="1">
      <alignment horizontal="center" vertical="center"/>
    </xf>
    <xf numFmtId="0" fontId="19" fillId="0" borderId="19" xfId="12" applyFont="1" applyBorder="1" applyAlignment="1" applyProtection="1">
      <alignment vertical="center"/>
    </xf>
    <xf numFmtId="0" fontId="1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8" fillId="0" borderId="19" xfId="12"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39" fillId="0" borderId="17" xfId="12" applyNumberFormat="1" applyFont="1" applyBorder="1" applyAlignment="1" applyProtection="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0" fontId="140" fillId="0" borderId="0" xfId="12" applyFont="1" applyBorder="1" applyAlignment="1" applyProtection="1">
      <alignment horizontal="center" vertical="center" wrapText="1"/>
    </xf>
    <xf numFmtId="0" fontId="140" fillId="0" borderId="18" xfId="12" applyFont="1" applyBorder="1" applyAlignment="1" applyProtection="1">
      <alignment horizontal="center" vertical="center" wrapText="1"/>
    </xf>
    <xf numFmtId="0" fontId="140" fillId="0" borderId="128" xfId="12" applyFont="1" applyBorder="1" applyAlignment="1" applyProtection="1">
      <alignment horizontal="center" vertical="center" wrapText="1"/>
    </xf>
    <xf numFmtId="0" fontId="140" fillId="0" borderId="126" xfId="12" applyFont="1" applyBorder="1" applyAlignment="1" applyProtection="1">
      <alignment horizontal="center" vertical="center" wrapText="1"/>
    </xf>
    <xf numFmtId="0" fontId="59" fillId="0" borderId="0" xfId="0" applyFont="1" applyBorder="1" applyAlignment="1">
      <alignment horizontal="center" vertical="center"/>
    </xf>
    <xf numFmtId="0" fontId="59" fillId="0" borderId="0" xfId="0" applyFont="1" applyBorder="1" applyAlignment="1">
      <alignment horizontal="center"/>
    </xf>
    <xf numFmtId="0" fontId="63" fillId="0" borderId="0" xfId="2" applyFont="1"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5" xfId="3" applyFont="1" applyBorder="1" applyAlignment="1" applyProtection="1">
      <alignment horizontal="left" vertical="top"/>
      <protection locked="0"/>
    </xf>
    <xf numFmtId="0" fontId="60" fillId="0" borderId="128" xfId="3" applyFont="1" applyBorder="1" applyAlignment="1" applyProtection="1">
      <alignment horizontal="left" vertical="top"/>
      <protection locked="0"/>
    </xf>
    <xf numFmtId="0" fontId="60" fillId="0" borderId="126" xfId="3" applyFont="1" applyBorder="1" applyAlignment="1" applyProtection="1">
      <alignment horizontal="left" vertical="top"/>
      <protection locked="0"/>
    </xf>
    <xf numFmtId="0" fontId="59" fillId="0" borderId="134"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5" xfId="0" applyFont="1" applyBorder="1" applyAlignment="1" applyProtection="1">
      <alignment horizontal="left" vertical="top" wrapText="1"/>
      <protection locked="0"/>
    </xf>
    <xf numFmtId="0" fontId="60" fillId="0" borderId="128" xfId="0" applyFont="1" applyBorder="1" applyAlignment="1" applyProtection="1">
      <alignment horizontal="left" vertical="top" wrapText="1"/>
      <protection locked="0"/>
    </xf>
    <xf numFmtId="0" fontId="60" fillId="0" borderId="126" xfId="0" applyFont="1" applyBorder="1" applyAlignment="1" applyProtection="1">
      <alignment horizontal="left" vertical="top" wrapText="1"/>
      <protection locked="0"/>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6" xfId="0" applyFont="1" applyFill="1" applyBorder="1" applyAlignment="1" applyProtection="1">
      <alignment horizontal="center" vertical="center" wrapText="1"/>
    </xf>
    <xf numFmtId="3" fontId="69" fillId="23" borderId="13" xfId="0" applyNumberFormat="1" applyFont="1" applyFill="1" applyBorder="1" applyAlignment="1" applyProtection="1">
      <alignment horizontal="left" vertical="center"/>
    </xf>
    <xf numFmtId="3" fontId="69" fillId="23" borderId="14" xfId="0" applyNumberFormat="1" applyFont="1" applyFill="1" applyBorder="1" applyAlignment="1" applyProtection="1">
      <alignment horizontal="left" vertical="center"/>
    </xf>
    <xf numFmtId="164" fontId="69" fillId="23" borderId="49" xfId="0" applyNumberFormat="1" applyFont="1" applyFill="1" applyBorder="1" applyAlignment="1" applyProtection="1">
      <alignment horizontal="left" vertical="center"/>
    </xf>
    <xf numFmtId="164" fontId="69" fillId="23" borderId="31" xfId="0" applyNumberFormat="1" applyFont="1" applyFill="1" applyBorder="1" applyAlignment="1" applyProtection="1">
      <alignment horizontal="left" vertical="center"/>
    </xf>
    <xf numFmtId="0" fontId="69" fillId="23" borderId="34" xfId="0" applyFont="1" applyFill="1" applyBorder="1" applyAlignment="1" applyProtection="1">
      <alignment horizontal="left" vertical="center"/>
    </xf>
    <xf numFmtId="0" fontId="69" fillId="23" borderId="31" xfId="0" applyFont="1" applyFill="1" applyBorder="1" applyAlignment="1" applyProtection="1">
      <alignment horizontal="left" vertical="center"/>
    </xf>
    <xf numFmtId="164" fontId="69" fillId="23" borderId="13" xfId="0" applyNumberFormat="1" applyFont="1" applyFill="1" applyBorder="1" applyAlignment="1" applyProtection="1">
      <alignment horizontal="left" vertical="center"/>
    </xf>
    <xf numFmtId="164" fontId="69" fillId="23"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xf>
    <xf numFmtId="0" fontId="69"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6"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5" borderId="13" xfId="0" applyNumberFormat="1" applyFont="1" applyFill="1" applyBorder="1" applyAlignment="1" applyProtection="1">
      <alignment horizontal="left" vertical="center" wrapText="1" indent="1"/>
    </xf>
    <xf numFmtId="164" fontId="69" fillId="25"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3" borderId="13" xfId="0" applyNumberFormat="1" applyFont="1" applyFill="1" applyBorder="1" applyAlignment="1" applyProtection="1">
      <alignment horizontal="left" vertical="center"/>
    </xf>
    <xf numFmtId="49" fontId="69" fillId="23" borderId="14" xfId="0" applyNumberFormat="1" applyFont="1" applyFill="1" applyBorder="1" applyAlignment="1" applyProtection="1">
      <alignment horizontal="left" vertical="center"/>
    </xf>
    <xf numFmtId="0" fontId="69" fillId="23" borderId="13" xfId="0" applyFont="1" applyFill="1" applyBorder="1" applyAlignment="1" applyProtection="1">
      <alignment vertical="center"/>
    </xf>
    <xf numFmtId="0" fontId="69" fillId="23"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0" borderId="18" xfId="0" applyNumberFormat="1" applyFont="1" applyBorder="1" applyAlignment="1" applyProtection="1">
      <alignment horizontal="center" vertical="center" wrapText="1"/>
    </xf>
    <xf numFmtId="0" fontId="70" fillId="23" borderId="19" xfId="0" applyFont="1" applyFill="1" applyBorder="1" applyAlignment="1">
      <alignment horizontal="center" vertical="center"/>
    </xf>
    <xf numFmtId="0" fontId="62" fillId="23" borderId="11" xfId="0" applyFont="1" applyFill="1" applyBorder="1" applyAlignment="1">
      <alignment horizontal="center" vertical="center"/>
    </xf>
    <xf numFmtId="0" fontId="70" fillId="24" borderId="20" xfId="0" applyFont="1" applyFill="1" applyBorder="1" applyAlignment="1">
      <alignment horizontal="center" vertical="center"/>
    </xf>
    <xf numFmtId="0" fontId="70" fillId="24" borderId="11" xfId="0" applyFont="1" applyFill="1" applyBorder="1" applyAlignment="1">
      <alignment horizontal="center" vertical="center"/>
    </xf>
    <xf numFmtId="0" fontId="62" fillId="24" borderId="11" xfId="0" applyFont="1" applyFill="1" applyBorder="1" applyAlignment="1">
      <alignment horizontal="center" vertical="center"/>
    </xf>
    <xf numFmtId="0" fontId="70" fillId="23" borderId="107" xfId="0" applyFont="1" applyFill="1" applyBorder="1" applyAlignment="1">
      <alignment horizontal="center" vertical="center"/>
    </xf>
    <xf numFmtId="0" fontId="62" fillId="23" borderId="131" xfId="0" applyFont="1" applyFill="1" applyBorder="1" applyAlignment="1">
      <alignment horizontal="center" vertical="center"/>
    </xf>
    <xf numFmtId="0" fontId="70" fillId="23"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3" borderId="20" xfId="0" applyFont="1" applyFill="1" applyBorder="1" applyAlignment="1">
      <alignment horizontal="center" vertical="center" wrapText="1"/>
    </xf>
    <xf numFmtId="0" fontId="62" fillId="23" borderId="11" xfId="0" applyFont="1" applyFill="1" applyBorder="1" applyAlignment="1">
      <alignment horizontal="center" vertical="center" wrapText="1"/>
    </xf>
    <xf numFmtId="3" fontId="70" fillId="23" borderId="13" xfId="0" applyNumberFormat="1" applyFont="1" applyFill="1" applyBorder="1" applyAlignment="1">
      <alignment horizontal="center" vertical="center"/>
    </xf>
    <xf numFmtId="0" fontId="62" fillId="23" borderId="14" xfId="0" applyFont="1" applyFill="1" applyBorder="1" applyAlignment="1">
      <alignment horizontal="center" vertical="center"/>
    </xf>
    <xf numFmtId="0" fontId="70" fillId="23" borderId="21" xfId="0" applyFont="1" applyFill="1" applyBorder="1" applyAlignment="1">
      <alignment horizontal="center" vertical="center"/>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15" borderId="10" xfId="0" applyNumberFormat="1" applyFont="1" applyFill="1" applyBorder="1" applyAlignment="1" applyProtection="1">
      <alignment horizontal="center" vertical="center" wrapText="1"/>
    </xf>
    <xf numFmtId="3" fontId="69" fillId="15" borderId="126"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70" fillId="12" borderId="13" xfId="0" applyNumberFormat="1" applyFont="1" applyFill="1" applyBorder="1" applyAlignment="1" applyProtection="1">
      <alignment horizontal="center" vertical="center"/>
    </xf>
    <xf numFmtId="0" fontId="62" fillId="12" borderId="14" xfId="0" applyFont="1" applyFill="1" applyBorder="1" applyAlignment="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70" fillId="12" borderId="13" xfId="9" applyFont="1" applyFill="1" applyBorder="1" applyAlignment="1">
      <alignment horizontal="center" vertical="center"/>
    </xf>
    <xf numFmtId="0" fontId="67" fillId="0" borderId="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Border="1" applyAlignment="1" applyProtection="1">
      <alignment horizontal="left" vertical="center" wrapText="1"/>
    </xf>
    <xf numFmtId="0" fontId="69" fillId="0" borderId="6" xfId="0" applyFont="1" applyBorder="1" applyAlignment="1" applyProtection="1">
      <alignment horizontal="left" vertical="center" wrapText="1"/>
    </xf>
    <xf numFmtId="0" fontId="62" fillId="0" borderId="6" xfId="0" applyFont="1" applyBorder="1" applyAlignment="1">
      <alignment wrapText="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7" xfId="0" applyFont="1" applyFill="1" applyBorder="1" applyAlignment="1" applyProtection="1">
      <alignment horizontal="left" vertical="center" indent="1"/>
    </xf>
    <xf numFmtId="0" fontId="69" fillId="16" borderId="146" xfId="0" applyFont="1" applyFill="1" applyBorder="1" applyAlignment="1" applyProtection="1">
      <alignment horizontal="left" vertical="center" indent="1"/>
    </xf>
    <xf numFmtId="0" fontId="69" fillId="3" borderId="147" xfId="0" applyFont="1" applyFill="1" applyBorder="1" applyAlignment="1" applyProtection="1">
      <alignment horizontal="left" vertical="center"/>
    </xf>
    <xf numFmtId="0" fontId="69" fillId="3" borderId="148" xfId="0"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7" xfId="0" applyFont="1" applyBorder="1" applyAlignment="1" applyProtection="1">
      <alignment horizontal="left" vertical="center" wrapText="1" indent="1"/>
    </xf>
    <xf numFmtId="0" fontId="67" fillId="0" borderId="148" xfId="0" applyFont="1" applyBorder="1" applyAlignment="1" applyProtection="1">
      <alignment horizontal="left" vertical="center" wrapText="1" indent="1"/>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3" borderId="146" xfId="0" applyFont="1" applyFill="1" applyBorder="1" applyAlignment="1" applyProtection="1">
      <alignment horizontal="left" vertical="center" indent="1"/>
    </xf>
    <xf numFmtId="0" fontId="70" fillId="23" borderId="147" xfId="0" applyFont="1" applyFill="1" applyBorder="1" applyAlignment="1" applyProtection="1">
      <alignment horizontal="left" vertical="center" indent="1"/>
    </xf>
    <xf numFmtId="0" fontId="70" fillId="23" borderId="148"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3" borderId="92" xfId="10" applyFont="1" applyFill="1" applyBorder="1" applyAlignment="1">
      <alignment horizontal="center" vertical="center" wrapText="1"/>
    </xf>
    <xf numFmtId="0" fontId="70" fillId="23" borderId="25" xfId="0" applyFont="1" applyFill="1" applyBorder="1" applyAlignment="1">
      <alignment horizontal="center" vertical="center" wrapText="1"/>
    </xf>
    <xf numFmtId="0" fontId="70" fillId="23" borderId="93" xfId="0" applyFont="1" applyFill="1" applyBorder="1" applyAlignment="1">
      <alignment horizontal="center" vertical="center" wrapText="1"/>
    </xf>
    <xf numFmtId="0" fontId="135" fillId="23" borderId="94" xfId="10" applyFont="1" applyFill="1" applyBorder="1" applyAlignment="1">
      <alignment horizontal="center" vertical="center"/>
    </xf>
    <xf numFmtId="0" fontId="60" fillId="23" borderId="47" xfId="0" applyFont="1" applyFill="1" applyBorder="1" applyAlignment="1">
      <alignment horizontal="center" vertical="center"/>
    </xf>
    <xf numFmtId="0" fontId="60" fillId="23"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7" applyFont="1" applyBorder="1" applyAlignment="1">
      <alignment horizontal="left" vertical="top" wrapText="1"/>
    </xf>
    <xf numFmtId="0" fontId="132" fillId="0" borderId="0" xfId="17" applyFont="1" applyBorder="1" applyAlignment="1">
      <alignment horizontal="left" vertical="top" wrapText="1"/>
    </xf>
    <xf numFmtId="0" fontId="132" fillId="0" borderId="97" xfId="17" applyFont="1" applyBorder="1" applyAlignment="1">
      <alignment horizontal="left" vertical="top" wrapText="1"/>
    </xf>
    <xf numFmtId="0" fontId="131" fillId="23" borderId="140" xfId="17" applyFont="1" applyFill="1" applyBorder="1" applyAlignment="1">
      <alignment horizontal="center" vertical="center"/>
    </xf>
    <xf numFmtId="0" fontId="131" fillId="23" borderId="141" xfId="17" applyFont="1" applyFill="1" applyBorder="1" applyAlignment="1">
      <alignment horizontal="center" vertical="center"/>
    </xf>
    <xf numFmtId="0" fontId="131" fillId="23" borderId="142" xfId="17" applyFont="1" applyFill="1" applyBorder="1" applyAlignment="1">
      <alignment horizontal="center" vertical="center"/>
    </xf>
    <xf numFmtId="0" fontId="131" fillId="23" borderId="98" xfId="17" applyFont="1" applyFill="1" applyBorder="1" applyAlignment="1">
      <alignment horizontal="center" vertical="center"/>
    </xf>
    <xf numFmtId="0" fontId="131" fillId="23" borderId="78" xfId="17" applyFont="1" applyFill="1" applyBorder="1" applyAlignment="1">
      <alignment horizontal="center" vertical="center"/>
    </xf>
    <xf numFmtId="0" fontId="131" fillId="23" borderId="99" xfId="17" applyFont="1" applyFill="1" applyBorder="1" applyAlignment="1">
      <alignment horizontal="center" vertical="center"/>
    </xf>
    <xf numFmtId="0" fontId="132" fillId="0" borderId="96" xfId="17" applyFont="1" applyBorder="1" applyAlignment="1">
      <alignment vertical="top" wrapText="1"/>
    </xf>
    <xf numFmtId="0" fontId="132" fillId="0" borderId="0" xfId="17" applyFont="1" applyBorder="1" applyAlignment="1">
      <alignment vertical="top" wrapText="1"/>
    </xf>
    <xf numFmtId="0" fontId="132" fillId="0" borderId="97" xfId="17" applyFont="1" applyBorder="1" applyAlignment="1">
      <alignment vertical="top" wrapText="1"/>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xf>
    <xf numFmtId="0" fontId="62" fillId="19" borderId="21" xfId="0" applyFont="1" applyFill="1" applyBorder="1" applyAlignment="1">
      <alignment horizontal="left" vertical="center" wrapText="1" indent="1"/>
    </xf>
    <xf numFmtId="0" fontId="62" fillId="19" borderId="14" xfId="0" applyFont="1" applyFill="1" applyBorder="1" applyAlignment="1">
      <alignment horizontal="left" vertical="center" wrapText="1" indent="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6" fillId="23" borderId="0" xfId="18" applyFont="1" applyFill="1" applyAlignment="1">
      <alignment horizontal="center" vertical="center"/>
    </xf>
    <xf numFmtId="0" fontId="78" fillId="0" borderId="137"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9" fillId="0" borderId="141" xfId="18" applyFont="1" applyBorder="1" applyAlignment="1" applyProtection="1">
      <alignment horizontal="center" vertical="top" wrapText="1"/>
      <protection locked="0"/>
    </xf>
    <xf numFmtId="0" fontId="9" fillId="0" borderId="142" xfId="18" applyFont="1" applyBorder="1" applyAlignment="1" applyProtection="1">
      <alignment horizontal="center" vertical="top" wrapText="1"/>
      <protection locked="0"/>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4" fillId="0" borderId="141" xfId="18" applyFont="1" applyBorder="1" applyAlignment="1" applyProtection="1">
      <alignment horizontal="center" vertical="top" wrapText="1"/>
      <protection locked="0"/>
    </xf>
    <xf numFmtId="0" fontId="54" fillId="0" borderId="142"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67" fillId="0" borderId="5" xfId="3" quotePrefix="1" applyNumberFormat="1" applyFont="1" applyBorder="1" applyAlignment="1">
      <alignment horizontal="left" vertical="top" wrapText="1" indent="2"/>
    </xf>
    <xf numFmtId="0" fontId="67" fillId="0" borderId="0" xfId="3" quotePrefix="1" applyNumberFormat="1" applyFont="1" applyBorder="1" applyAlignment="1">
      <alignment horizontal="left" vertical="top" wrapText="1" indent="2"/>
    </xf>
    <xf numFmtId="0" fontId="67" fillId="0" borderId="0" xfId="3" applyNumberFormat="1" applyFont="1" applyBorder="1" applyAlignment="1">
      <alignment horizontal="left" vertical="top" wrapText="1" indent="2"/>
    </xf>
    <xf numFmtId="0" fontId="62" fillId="0" borderId="0" xfId="3" applyFont="1" applyAlignment="1">
      <alignment horizontal="left" vertical="top" wrapText="1" indent="2"/>
    </xf>
    <xf numFmtId="0" fontId="67" fillId="0" borderId="0" xfId="3" applyNumberFormat="1" applyFont="1" applyAlignment="1">
      <alignment horizontal="left" vertical="top" wrapText="1" indent="2"/>
    </xf>
    <xf numFmtId="0" fontId="60" fillId="0" borderId="20" xfId="3" applyNumberFormat="1" applyFont="1" applyBorder="1" applyAlignment="1">
      <alignment horizontal="left" vertical="center" indent="1"/>
    </xf>
    <xf numFmtId="0" fontId="60" fillId="0" borderId="20" xfId="3" applyNumberFormat="1" applyFont="1" applyBorder="1" applyAlignment="1">
      <alignment horizontal="left" vertical="center"/>
    </xf>
    <xf numFmtId="0" fontId="60" fillId="23" borderId="17" xfId="3" applyNumberFormat="1" applyFont="1" applyFill="1" applyBorder="1" applyAlignment="1">
      <alignment horizontal="left" vertical="top" wrapText="1"/>
    </xf>
    <xf numFmtId="0" fontId="60" fillId="23" borderId="0" xfId="3" applyFont="1" applyFill="1" applyBorder="1" applyAlignment="1">
      <alignment vertical="top"/>
    </xf>
    <xf numFmtId="0" fontId="60" fillId="23" borderId="18" xfId="3" applyFont="1" applyFill="1" applyBorder="1" applyAlignment="1">
      <alignment vertical="top"/>
    </xf>
    <xf numFmtId="166" fontId="60" fillId="0" borderId="21" xfId="3" applyNumberFormat="1" applyFont="1" applyBorder="1" applyAlignment="1">
      <alignment horizontal="left" vertical="center" indent="1"/>
    </xf>
    <xf numFmtId="0" fontId="69" fillId="0" borderId="19" xfId="3" applyNumberFormat="1" applyFont="1" applyBorder="1" applyAlignment="1">
      <alignment horizontal="center" vertical="center"/>
    </xf>
    <xf numFmtId="0" fontId="62" fillId="0" borderId="20" xfId="3" applyFont="1" applyBorder="1" applyAlignment="1">
      <alignment horizontal="center" vertical="center"/>
    </xf>
    <xf numFmtId="0" fontId="62" fillId="0" borderId="11" xfId="3" applyFont="1" applyBorder="1" applyAlignment="1">
      <alignment horizontal="center" vertical="center"/>
    </xf>
    <xf numFmtId="0" fontId="67" fillId="0" borderId="21" xfId="3" applyNumberFormat="1" applyFont="1" applyBorder="1" applyAlignment="1">
      <alignment horizontal="left" vertical="center" wrapText="1"/>
    </xf>
    <xf numFmtId="0" fontId="62" fillId="0" borderId="21" xfId="3" applyFont="1" applyBorder="1" applyAlignment="1">
      <alignment horizontal="left" vertical="center" wrapText="1"/>
    </xf>
    <xf numFmtId="0" fontId="62" fillId="0" borderId="14" xfId="3" applyFont="1" applyBorder="1" applyAlignment="1">
      <alignment horizontal="left" vertical="center" wrapText="1"/>
    </xf>
    <xf numFmtId="0" fontId="69" fillId="0" borderId="21" xfId="3" applyNumberFormat="1" applyFont="1" applyBorder="1" applyAlignment="1">
      <alignment vertical="center"/>
    </xf>
    <xf numFmtId="0" fontId="69" fillId="0" borderId="14" xfId="3" applyNumberFormat="1" applyFont="1" applyBorder="1" applyAlignment="1">
      <alignment vertical="center"/>
    </xf>
    <xf numFmtId="0" fontId="78" fillId="0" borderId="133" xfId="3" applyFont="1" applyBorder="1" applyAlignment="1">
      <alignment horizontal="center" vertical="center" wrapText="1"/>
    </xf>
    <xf numFmtId="0" fontId="78" fillId="0" borderId="133" xfId="3" applyNumberFormat="1" applyFont="1" applyBorder="1" applyAlignment="1">
      <alignment horizontal="center"/>
    </xf>
    <xf numFmtId="0" fontId="62" fillId="0" borderId="134" xfId="3" applyNumberFormat="1" applyFont="1" applyBorder="1" applyAlignment="1" applyProtection="1">
      <alignment horizontal="center"/>
      <protection locked="0"/>
    </xf>
    <xf numFmtId="171" fontId="62" fillId="0" borderId="134" xfId="3" applyNumberFormat="1" applyFont="1" applyBorder="1" applyAlignment="1" applyProtection="1">
      <alignment horizontal="center"/>
      <protection locked="0"/>
    </xf>
    <xf numFmtId="0" fontId="62" fillId="0" borderId="134" xfId="3" applyNumberFormat="1" applyFont="1" applyBorder="1" applyAlignment="1" applyProtection="1">
      <alignment horizontal="center" vertical="center"/>
      <protection locked="0"/>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2"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4" fillId="0" borderId="116" xfId="3" applyFont="1" applyBorder="1" applyAlignment="1">
      <alignment horizontal="center" vertical="center" wrapText="1"/>
    </xf>
    <xf numFmtId="0" fontId="115" fillId="0" borderId="13" xfId="3" applyNumberFormat="1" applyFont="1" applyBorder="1" applyAlignment="1">
      <alignment vertical="top" wrapText="1"/>
    </xf>
    <xf numFmtId="0" fontId="115" fillId="0" borderId="21" xfId="3" applyNumberFormat="1" applyFont="1" applyBorder="1" applyAlignment="1">
      <alignment vertical="top" wrapText="1"/>
    </xf>
    <xf numFmtId="0" fontId="115" fillId="0" borderId="14" xfId="3" applyNumberFormat="1" applyFont="1" applyBorder="1" applyAlignment="1">
      <alignment vertical="top" wrapText="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Border="1" applyAlignment="1">
      <alignment vertical="top"/>
    </xf>
    <xf numFmtId="0" fontId="88" fillId="0" borderId="0" xfId="3" applyFont="1" applyBorder="1" applyAlignment="1">
      <alignment vertical="top"/>
    </xf>
    <xf numFmtId="0" fontId="88" fillId="0" borderId="40" xfId="3" applyFont="1" applyBorder="1" applyAlignment="1">
      <alignment vertical="top"/>
    </xf>
    <xf numFmtId="0" fontId="88" fillId="0" borderId="50" xfId="3" applyFont="1" applyBorder="1" applyAlignment="1">
      <alignment vertical="top"/>
    </xf>
    <xf numFmtId="0" fontId="88" fillId="0" borderId="9" xfId="3" applyFont="1" applyBorder="1" applyAlignment="1">
      <alignment vertical="top"/>
    </xf>
    <xf numFmtId="0" fontId="88" fillId="0" borderId="59" xfId="3" applyFont="1" applyBorder="1" applyAlignment="1">
      <alignment vertical="top"/>
    </xf>
    <xf numFmtId="0" fontId="117" fillId="12" borderId="125" xfId="0" applyFont="1" applyFill="1" applyBorder="1" applyAlignment="1">
      <alignment horizontal="center" vertical="center"/>
    </xf>
    <xf numFmtId="0" fontId="117" fillId="12" borderId="128" xfId="0" applyFont="1" applyFill="1" applyBorder="1" applyAlignment="1">
      <alignment horizontal="center" vertical="center"/>
    </xf>
    <xf numFmtId="0" fontId="117" fillId="12" borderId="153"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5" xfId="0" applyNumberFormat="1" applyFont="1" applyFill="1" applyBorder="1" applyAlignment="1">
      <alignment horizontal="center" vertical="top"/>
    </xf>
    <xf numFmtId="164" fontId="118" fillId="12" borderId="128" xfId="0" applyNumberFormat="1" applyFont="1" applyFill="1" applyBorder="1" applyAlignment="1">
      <alignment horizontal="center" vertical="top"/>
    </xf>
    <xf numFmtId="164" fontId="118" fillId="12" borderId="153"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8" xfId="0" applyNumberFormat="1" applyFont="1" applyBorder="1" applyAlignment="1">
      <alignment horizontal="left" vertical="center" wrapText="1"/>
    </xf>
    <xf numFmtId="0" fontId="62" fillId="0" borderId="126"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0" xfId="3" applyNumberFormat="1" applyFont="1" applyAlignment="1" applyProtection="1">
      <alignment horizontal="center" vertical="center"/>
    </xf>
    <xf numFmtId="0" fontId="60" fillId="0" borderId="146" xfId="3" applyNumberFormat="1" applyFont="1" applyBorder="1" applyProtection="1"/>
    <xf numFmtId="0" fontId="60" fillId="0" borderId="147"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5" xfId="3" applyNumberFormat="1" applyFont="1" applyBorder="1" applyAlignment="1" applyProtection="1">
      <alignment horizontal="left"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7" xfId="3" applyNumberFormat="1" applyFont="1" applyBorder="1" applyAlignment="1" applyProtection="1">
      <alignment horizontal="left" indent="1"/>
      <protection locked="0"/>
    </xf>
    <xf numFmtId="0" fontId="70" fillId="0" borderId="147" xfId="3" applyFont="1" applyBorder="1" applyAlignment="1" applyProtection="1">
      <alignment horizontal="left" indent="1"/>
      <protection locked="0"/>
    </xf>
    <xf numFmtId="0" fontId="70" fillId="0" borderId="148" xfId="3" applyFont="1" applyBorder="1" applyAlignment="1" applyProtection="1">
      <alignment horizontal="left" indent="1"/>
      <protection locked="0"/>
    </xf>
    <xf numFmtId="0" fontId="62" fillId="0" borderId="0" xfId="3" applyFont="1" applyAlignment="1">
      <alignment horizontal="center" vertical="center"/>
    </xf>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59"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7" fillId="0" borderId="0" xfId="3" applyFont="1" applyAlignment="1" applyProtection="1">
      <alignment horizontal="left" vertical="center" wrapText="1"/>
    </xf>
    <xf numFmtId="3" fontId="60" fillId="0" borderId="77" xfId="3" applyNumberFormat="1" applyFont="1" applyBorder="1" applyAlignment="1" applyProtection="1">
      <alignment horizontal="right" indent="1"/>
      <protection locked="0"/>
    </xf>
    <xf numFmtId="0" fontId="60" fillId="0" borderId="0" xfId="3" applyFont="1" applyBorder="1" applyAlignment="1" applyProtection="1">
      <alignment vertical="center" wrapText="1"/>
      <protection locked="0"/>
    </xf>
    <xf numFmtId="5" fontId="70" fillId="0" borderId="149" xfId="3" applyNumberFormat="1" applyFont="1" applyBorder="1" applyAlignment="1" applyProtection="1">
      <protection locked="0"/>
    </xf>
    <xf numFmtId="0" fontId="70" fillId="0" borderId="150" xfId="3" applyFont="1" applyBorder="1" applyAlignment="1" applyProtection="1">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59" fillId="0" borderId="78" xfId="3" applyFont="1" applyBorder="1" applyAlignment="1" applyProtection="1">
      <alignment horizont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0" fontId="69" fillId="0" borderId="149"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50"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9" xfId="3" applyNumberFormat="1" applyFont="1" applyBorder="1" applyProtection="1">
      <protection locked="0"/>
    </xf>
    <xf numFmtId="6" fontId="67" fillId="0" borderId="150"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7" fillId="0" borderId="149"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50"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9" xfId="3" applyFont="1" applyBorder="1" applyAlignment="1" applyProtection="1">
      <alignment horizontal="center"/>
    </xf>
    <xf numFmtId="0" fontId="67" fillId="0" borderId="76" xfId="3" applyFont="1" applyBorder="1" applyAlignment="1" applyProtection="1">
      <alignment horizontal="center"/>
    </xf>
    <xf numFmtId="0" fontId="67" fillId="0" borderId="150" xfId="3" applyFont="1" applyBorder="1" applyAlignment="1" applyProtection="1">
      <alignment horizontal="center"/>
    </xf>
    <xf numFmtId="38" fontId="67" fillId="0" borderId="149"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50" xfId="3" applyNumberFormat="1" applyFont="1" applyBorder="1" applyAlignment="1" applyProtection="1">
      <alignment horizontal="right" vertic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4" xfId="3" applyFont="1" applyBorder="1" applyAlignment="1" applyProtection="1">
      <alignment horizontal="center" vertical="center" wrapText="1"/>
    </xf>
    <xf numFmtId="0" fontId="59"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3657">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38 2 2" xfId="3548" xr:uid="{A8E3FD9E-85D0-4284-B14A-18C447FEAC64}"/>
    <cellStyle name="12 38 3" xfId="3600" xr:uid="{0D1FB3D4-0FBE-43AA-8FD2-6368427C4DD2}"/>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2 2 2" xfId="3549" xr:uid="{C08AAF08-D478-46EA-A1E2-F25DF0FAE5D5}"/>
    <cellStyle name="12 9 2 3" xfId="3601" xr:uid="{6E14C237-7B8B-4EC2-B7FC-A9855D0AC0A9}"/>
    <cellStyle name="12 9 3" xfId="284" xr:uid="{00000000-0005-0000-0000-000029000000}"/>
    <cellStyle name="12 9 4" xfId="2963" xr:uid="{00000000-0005-0000-0000-00002C000000}"/>
    <cellStyle name="12 9 4 2" xfId="3537" xr:uid="{A0BC373F-9E8F-445B-B5F2-CA3C19DF04E2}"/>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 4 3 2" xfId="3538" xr:uid="{3770A924-15A1-4E46-8078-827D0D997EA2}"/>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0 2" xfId="3598" xr:uid="{06A827D9-957E-44EE-B393-44AC8911EB71}"/>
    <cellStyle name="Comma 3 11" xfId="3497" xr:uid="{95B0499F-6E0C-4DE5-A1F3-AAC4E26FADCE}"/>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3 3 2" xfId="3540" xr:uid="{CEF53157-EED8-4401-BE88-7F3841ED1527}"/>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2 3" xfId="3624" xr:uid="{A684ED99-57F3-4630-BFCB-A10E0A5EA2D5}"/>
    <cellStyle name="Comma 3 4 2 3" xfId="3442" xr:uid="{00000000-0005-0000-0000-0000A9060000}"/>
    <cellStyle name="Comma 3 4 2 4" xfId="2942" xr:uid="{00000000-0005-0000-0000-0000A7060000}"/>
    <cellStyle name="Comma 3 4 2 5" xfId="3516" xr:uid="{09A1263A-BA34-430D-A0BB-42BAB895F4A3}"/>
    <cellStyle name="Comma 3 4 3" xfId="2880" xr:uid="{00000000-0005-0000-0000-000065060000}"/>
    <cellStyle name="Comma 3 4 3 2" xfId="2976" xr:uid="{00000000-0005-0000-0000-0000AA060000}"/>
    <cellStyle name="Comma 3 4 3 2 2" xfId="3647" xr:uid="{67E0C8F5-AE97-434A-A291-DB58A3575BFB}"/>
    <cellStyle name="Comma 3 4 3 3" xfId="3550" xr:uid="{9712691E-BD09-49E2-9062-E26808B01CFC}"/>
    <cellStyle name="Comma 3 4 4" xfId="3418" xr:uid="{00000000-0005-0000-0000-0000AB060000}"/>
    <cellStyle name="Comma 3 4 4 2" xfId="3575" xr:uid="{E5CF9FFD-FF5C-4631-B614-1D25DBC7F756}"/>
    <cellStyle name="Comma 3 4 5" xfId="2925" xr:uid="{00000000-0005-0000-0000-0000A6060000}"/>
    <cellStyle name="Comma 3 4 5 2" xfId="3602" xr:uid="{7920A734-0D61-4600-B9A7-BD0028B97EBC}"/>
    <cellStyle name="Comma 3 4 6" xfId="3499" xr:uid="{A0BFAA7E-C285-4ADB-AE8C-ACC5F0DAB46D}"/>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2 3" xfId="3628" xr:uid="{8BE49034-E730-4053-AB39-D1ECB2882189}"/>
    <cellStyle name="Comma 3 5 2 3" xfId="3446" xr:uid="{00000000-0005-0000-0000-0000AF060000}"/>
    <cellStyle name="Comma 3 5 2 4" xfId="2946" xr:uid="{00000000-0005-0000-0000-0000AD060000}"/>
    <cellStyle name="Comma 3 5 2 5" xfId="3520" xr:uid="{98F88F63-449E-4A45-A10E-1E35B8CFD755}"/>
    <cellStyle name="Comma 3 5 3" xfId="2884" xr:uid="{00000000-0005-0000-0000-000067060000}"/>
    <cellStyle name="Comma 3 5 3 2" xfId="2985" xr:uid="{00000000-0005-0000-0000-0000B0060000}"/>
    <cellStyle name="Comma 3 5 3 2 2" xfId="3651" xr:uid="{1B4F593A-B976-49C7-87BC-94BBF8182C12}"/>
    <cellStyle name="Comma 3 5 3 3" xfId="3559" xr:uid="{2A41FB89-7FFC-4399-8D63-0F89C88BAE63}"/>
    <cellStyle name="Comma 3 5 4" xfId="3428" xr:uid="{00000000-0005-0000-0000-0000B1060000}"/>
    <cellStyle name="Comma 3 5 4 2" xfId="3579" xr:uid="{7F3BFA20-23C5-4E34-A69C-7CE047A26E2E}"/>
    <cellStyle name="Comma 3 5 5" xfId="2929" xr:uid="{00000000-0005-0000-0000-0000AC060000}"/>
    <cellStyle name="Comma 3 5 5 2" xfId="3611" xr:uid="{CE7F2298-8B99-470D-9E85-E296B6725419}"/>
    <cellStyle name="Comma 3 5 6" xfId="3503" xr:uid="{470E42D1-0BFB-4450-8D92-5D8DC7F5878C}"/>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2 3" xfId="3632" xr:uid="{96A32FC2-D172-418D-940A-0E146C195420}"/>
    <cellStyle name="Comma 3 6 2 3" xfId="3450" xr:uid="{00000000-0005-0000-0000-0000B5060000}"/>
    <cellStyle name="Comma 3 6 2 4" xfId="2950" xr:uid="{00000000-0005-0000-0000-0000B3060000}"/>
    <cellStyle name="Comma 3 6 2 5" xfId="3524" xr:uid="{53B57EBE-43D7-46C4-9C4B-3F7BC4BEEF3F}"/>
    <cellStyle name="Comma 3 6 3" xfId="2888" xr:uid="{00000000-0005-0000-0000-000069060000}"/>
    <cellStyle name="Comma 3 6 3 2" xfId="2989" xr:uid="{00000000-0005-0000-0000-0000B6060000}"/>
    <cellStyle name="Comma 3 6 3 2 2" xfId="3655" xr:uid="{1C96FEFF-1A5A-4095-B681-50D25FDCE3E3}"/>
    <cellStyle name="Comma 3 6 3 3" xfId="3563" xr:uid="{D1834830-C294-44B3-A10B-20CE76CA0B52}"/>
    <cellStyle name="Comma 3 6 4" xfId="3432" xr:uid="{00000000-0005-0000-0000-0000B7060000}"/>
    <cellStyle name="Comma 3 6 4 2" xfId="3583" xr:uid="{DA51D45F-4D53-46DD-9263-7751702C27F8}"/>
    <cellStyle name="Comma 3 6 5" xfId="2933" xr:uid="{00000000-0005-0000-0000-0000B2060000}"/>
    <cellStyle name="Comma 3 6 5 2" xfId="3615" xr:uid="{ACD75EF6-917A-4184-BBA1-E22BC1C7A621}"/>
    <cellStyle name="Comma 3 6 6" xfId="3507" xr:uid="{8FEA5370-E0A3-48E2-9450-E6F6442173E5}"/>
    <cellStyle name="Comma 3 7" xfId="2848" xr:uid="{00000000-0005-0000-0000-00006B060000}"/>
    <cellStyle name="Comma 3 7 2" xfId="2895" xr:uid="{00000000-0005-0000-0000-00006B060000}"/>
    <cellStyle name="Comma 3 7 2 2" xfId="2996" xr:uid="{00000000-0005-0000-0000-0000B9060000}"/>
    <cellStyle name="Comma 3 7 2 3" xfId="3622" xr:uid="{89F248F6-66B5-49B9-9A82-EF1692B8833A}"/>
    <cellStyle name="Comma 3 7 3" xfId="3440" xr:uid="{00000000-0005-0000-0000-0000BA060000}"/>
    <cellStyle name="Comma 3 7 4" xfId="2940" xr:uid="{00000000-0005-0000-0000-0000B8060000}"/>
    <cellStyle name="Comma 3 7 5" xfId="3514" xr:uid="{F050B6D0-1C20-4A46-8CE3-45D82AAB957E}"/>
    <cellStyle name="Comma 3 8" xfId="2878" xr:uid="{00000000-0005-0000-0000-000061060000}"/>
    <cellStyle name="Comma 3 8 2" xfId="2965" xr:uid="{00000000-0005-0000-0000-0000BB060000}"/>
    <cellStyle name="Comma 3 8 2 2" xfId="3645" xr:uid="{7FC15BAC-3634-4967-89FF-D92046BB06BB}"/>
    <cellStyle name="Comma 3 8 3" xfId="3539" xr:uid="{9AABD208-E405-4643-8BA2-441F016E8A9E}"/>
    <cellStyle name="Comma 3 9" xfId="3033" xr:uid="{00000000-0005-0000-0000-0000BC060000}"/>
    <cellStyle name="Comma 3 9 2" xfId="3573" xr:uid="{4E259F70-7000-49FD-8FCB-59F2E69ACF18}"/>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2 3" xfId="3635" xr:uid="{1AB9AD61-1D1B-4FEA-A59B-E6D48829026D}"/>
    <cellStyle name="Comma 5 3" xfId="3453" xr:uid="{00000000-0005-0000-0000-0000C7060000}"/>
    <cellStyle name="Comma 5 4" xfId="2953" xr:uid="{00000000-0005-0000-0000-0000C5060000}"/>
    <cellStyle name="Comma 5 5" xfId="3527" xr:uid="{237728AA-03DE-45E4-BC39-170FE1E274C1}"/>
    <cellStyle name="Comma 58 2" xfId="1733" xr:uid="{00000000-0005-0000-0000-000075060000}"/>
    <cellStyle name="Comma 6" xfId="3474" xr:uid="{00000000-0005-0000-0000-0000C9060000}"/>
    <cellStyle name="Comma 7" xfId="3482" xr:uid="{12FB77BD-4D9F-4F2B-8874-E4D87AA4FA35}"/>
    <cellStyle name="Comma0" xfId="137" xr:uid="{00000000-0005-0000-0000-000076060000}"/>
    <cellStyle name="Comma0 2" xfId="2533" xr:uid="{00000000-0005-0000-0000-000077060000}"/>
    <cellStyle name="Comma0 3" xfId="2967" xr:uid="{00000000-0005-0000-0000-0000CC060000}"/>
    <cellStyle name="Comma0 3 2" xfId="3541" xr:uid="{CDA4A371-C016-4F11-AB72-C080AEB8F477}"/>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2 2 2" xfId="3551" xr:uid="{AB05AC69-9E02-4F9A-8511-789DA07A0B9A}"/>
    <cellStyle name="Currency 2 3 2 3" xfId="3603" xr:uid="{8514EC55-17B9-48CD-98BF-33227EB86A4A}"/>
    <cellStyle name="Currency 2 3 3" xfId="1738" xr:uid="{00000000-0005-0000-0000-000080060000}"/>
    <cellStyle name="Currency 2 3 4" xfId="2968" xr:uid="{00000000-0005-0000-0000-0000D7060000}"/>
    <cellStyle name="Currency 2 3 4 2" xfId="3542" xr:uid="{98C14A91-97C7-43FE-AF17-3E2873E9A1B4}"/>
    <cellStyle name="Currency 2 4" xfId="1740" xr:uid="{00000000-0005-0000-0000-000081060000}"/>
    <cellStyle name="Currency 2 4 2" xfId="2978" xr:uid="{00000000-0005-0000-0000-0000D9060000}"/>
    <cellStyle name="Currency 2 4 2 2" xfId="3552" xr:uid="{CFD3E2B9-DBEB-4718-B400-D5B8086837A9}"/>
    <cellStyle name="Currency 2 4 3" xfId="3604" xr:uid="{23A1B358-CAC8-490B-8E70-9191A21BDFE1}"/>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Currency0 3 2" xfId="3543" xr:uid="{46E3B3AA-8B17-4073-9308-0B9BD3FF7877}"/>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3 2 2" xfId="3553" xr:uid="{7CE54A77-4E7B-4F75-8F2A-603438DC8529}"/>
    <cellStyle name="Hyperlink 2 2 3 3" xfId="3605" xr:uid="{3B60DD85-BC3F-4020-8E2E-DB6264469F42}"/>
    <cellStyle name="Hyperlink 2 2 4" xfId="2970" xr:uid="{00000000-0005-0000-0000-000068080000}"/>
    <cellStyle name="Hyperlink 2 2 4 2" xfId="3544" xr:uid="{A7E7AC32-3DC4-4430-B026-13665563C6EB}"/>
    <cellStyle name="Hyperlink 2 3" xfId="2083" xr:uid="{00000000-0005-0000-0000-00000E080000}"/>
    <cellStyle name="Hyperlink 2 4" xfId="2084" xr:uid="{00000000-0005-0000-0000-00000F080000}"/>
    <cellStyle name="Hyperlink 2 4 2" xfId="2980" xr:uid="{00000000-0005-0000-0000-00006B080000}"/>
    <cellStyle name="Hyperlink 2 4 2 2" xfId="3554" xr:uid="{F6D55A0A-B6B6-4B58-BA16-FFFE3DB8CCB4}"/>
    <cellStyle name="Hyperlink 2 4 3" xfId="3606" xr:uid="{FC3123A2-466F-4A9A-8D2F-0E62EFEE184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2 2 2" xfId="3555" xr:uid="{2CF65226-D378-4292-906A-5BE7F94B04FD}"/>
    <cellStyle name="Normal 2 2 2 3" xfId="3607" xr:uid="{BE215CDF-4048-413C-84B9-8B45042457AB}"/>
    <cellStyle name="Normal 2 2 3" xfId="2251" xr:uid="{00000000-0005-0000-0000-00000E090000}"/>
    <cellStyle name="Normal 2 2 4" xfId="2971" xr:uid="{00000000-0005-0000-0000-0000A8090000}"/>
    <cellStyle name="Normal 2 2 4 2" xfId="3545" xr:uid="{B5D12EBA-CBCC-4C00-84C6-0718642C1C21}"/>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2 3" xfId="3617" xr:uid="{E5C4837F-EF98-49B1-B125-1C7CB84FB13D}"/>
    <cellStyle name="Normal 3 10 3" xfId="3435" xr:uid="{00000000-0005-0000-0000-0000B0090000}"/>
    <cellStyle name="Normal 3 10 4" xfId="2935" xr:uid="{00000000-0005-0000-0000-0000AE090000}"/>
    <cellStyle name="Normal 3 10 5" xfId="3509" xr:uid="{D33F5AA9-AA5A-45DB-B3EB-7239262FA98A}"/>
    <cellStyle name="Normal 3 11" xfId="2863" xr:uid="{00000000-0005-0000-0000-000015090000}"/>
    <cellStyle name="Normal 3 11 2" xfId="2909" xr:uid="{00000000-0005-0000-0000-000015090000}"/>
    <cellStyle name="Normal 3 11 2 2" xfId="3010" xr:uid="{00000000-0005-0000-0000-0000B2090000}"/>
    <cellStyle name="Normal 3 11 2 3" xfId="3636" xr:uid="{60372359-E251-4DA9-B5E2-EBA261D357DC}"/>
    <cellStyle name="Normal 3 11 3" xfId="3454" xr:uid="{00000000-0005-0000-0000-0000B3090000}"/>
    <cellStyle name="Normal 3 11 4" xfId="2954" xr:uid="{00000000-0005-0000-0000-0000B1090000}"/>
    <cellStyle name="Normal 3 11 5" xfId="3528" xr:uid="{EF57A757-C807-4131-B18B-8B33B46BC6BA}"/>
    <cellStyle name="Normal 3 12" xfId="24" xr:uid="{00000000-0005-0000-0000-000016090000}"/>
    <cellStyle name="Normal 3 12 2" xfId="2870" xr:uid="{00000000-0005-0000-0000-000016090000}"/>
    <cellStyle name="Normal 3 12 2 2" xfId="3590" xr:uid="{C1222B0C-91AD-4C52-A79A-8ACF333FAAAE}"/>
    <cellStyle name="Normal 3 12 3" xfId="2915" xr:uid="{00000000-0005-0000-0000-0000B4090000}"/>
    <cellStyle name="Normal 3 12 4" xfId="3489" xr:uid="{D0BD08AC-757D-4EA5-9C05-E04998654D5A}"/>
    <cellStyle name="Normal 3 13" xfId="19" xr:uid="{00000000-0005-0000-0000-000013090000}"/>
    <cellStyle name="Normal 3 13 2" xfId="2955" xr:uid="{00000000-0005-0000-0000-0000B5090000}"/>
    <cellStyle name="Normal 3 13 2 2" xfId="3637" xr:uid="{143C1A5F-EBB0-4A95-B565-586E7F97E55B}"/>
    <cellStyle name="Normal 3 13 3" xfId="3529" xr:uid="{E36EFEF8-BE8D-4202-AE92-A0D7439D462D}"/>
    <cellStyle name="Normal 3 14" xfId="2865" xr:uid="{00000000-0005-0000-0000-000013090000}"/>
    <cellStyle name="Normal 3 14 2" xfId="3011" xr:uid="{00000000-0005-0000-0000-0000B6090000}"/>
    <cellStyle name="Normal 3 14 3" xfId="3565" xr:uid="{9949CB72-B711-49D3-A9B4-640B7F796F9B}"/>
    <cellStyle name="Normal 3 15" xfId="3475" xr:uid="{00000000-0005-0000-0000-0000B7090000}"/>
    <cellStyle name="Normal 3 15 2" xfId="3585" xr:uid="{37C87695-25B8-46B2-ABDA-CCA8D020B8BC}"/>
    <cellStyle name="Normal 3 16" xfId="3476" xr:uid="{00000000-0005-0000-0000-000003000000}"/>
    <cellStyle name="Normal 3 17" xfId="2910" xr:uid="{00000000-0005-0000-0000-0000AD090000}"/>
    <cellStyle name="Normal 3 18" xfId="3483" xr:uid="{EA951401-D591-4E71-8E67-7826D72ECE43}"/>
    <cellStyle name="Normal 3 19" xfId="3484" xr:uid="{E3AA91AA-943D-41B6-B944-8B0D0CD68BB3}"/>
    <cellStyle name="Normal 3 2" xfId="14" xr:uid="{00000000-0005-0000-0000-000006000000}"/>
    <cellStyle name="Normal 3 2 10" xfId="3477" xr:uid="{00000000-0005-0000-0000-000004000000}"/>
    <cellStyle name="Normal 3 2 10 2" xfId="3586" xr:uid="{4D739C13-C600-481A-96A6-88DBAF4B9894}"/>
    <cellStyle name="Normal 3 2 11" xfId="2911" xr:uid="{00000000-0005-0000-0000-0000B8090000}"/>
    <cellStyle name="Normal 3 2 12" xfId="3485" xr:uid="{A2CCABB6-3C48-4780-8469-119949A3628F}"/>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3 3" xfId="3589" xr:uid="{C9B75B49-4261-4947-B3B4-D5D10FC545E2}"/>
    <cellStyle name="Normal 3 2 2 4" xfId="2869" xr:uid="{00000000-0005-0000-0000-000018090000}"/>
    <cellStyle name="Normal 3 2 2 5" xfId="2914" xr:uid="{00000000-0005-0000-0000-0000B9090000}"/>
    <cellStyle name="Normal 3 2 2 6" xfId="3488" xr:uid="{7F7D6503-163C-4D19-AB04-D2345BD1654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2 3" xfId="3627" xr:uid="{5886C03D-9574-4E3C-9306-2EF09680D284}"/>
    <cellStyle name="Normal 3 2 3 2 3" xfId="3445" xr:uid="{00000000-0005-0000-0000-0000BE090000}"/>
    <cellStyle name="Normal 3 2 3 2 4" xfId="2945" xr:uid="{00000000-0005-0000-0000-0000BC090000}"/>
    <cellStyle name="Normal 3 2 3 2 5" xfId="3519" xr:uid="{B237731D-9D93-418F-B66E-B7BC1D8E1D25}"/>
    <cellStyle name="Normal 3 2 3 3" xfId="2883" xr:uid="{00000000-0005-0000-0000-00001A090000}"/>
    <cellStyle name="Normal 3 2 3 3 2" xfId="2984" xr:uid="{00000000-0005-0000-0000-0000BF090000}"/>
    <cellStyle name="Normal 3 2 3 3 2 2" xfId="3650" xr:uid="{776AA96F-006B-4D47-A392-BF0D8D21ED73}"/>
    <cellStyle name="Normal 3 2 3 3 3" xfId="3558" xr:uid="{835A7394-7566-4AC7-88D5-593D9D25191A}"/>
    <cellStyle name="Normal 3 2 3 4" xfId="3427" xr:uid="{00000000-0005-0000-0000-0000C0090000}"/>
    <cellStyle name="Normal 3 2 3 4 2" xfId="3578" xr:uid="{54CD99EA-40FC-4542-B1C1-EE84A202CC6E}"/>
    <cellStyle name="Normal 3 2 3 5" xfId="2928" xr:uid="{00000000-0005-0000-0000-0000BB090000}"/>
    <cellStyle name="Normal 3 2 3 5 2" xfId="3610" xr:uid="{B80F1FDD-2355-4D7B-B9A1-18AE48020E23}"/>
    <cellStyle name="Normal 3 2 3 6" xfId="3502" xr:uid="{511A59FD-53DB-4441-A92F-A628943F18FA}"/>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2 3" xfId="3621" xr:uid="{B357B473-53D9-491B-A108-9E0016E65273}"/>
    <cellStyle name="Normal 3 2 4 2 3" xfId="3439" xr:uid="{00000000-0005-0000-0000-0000C4090000}"/>
    <cellStyle name="Normal 3 2 4 2 4" xfId="2939" xr:uid="{00000000-0005-0000-0000-0000C2090000}"/>
    <cellStyle name="Normal 3 2 4 2 5" xfId="3513" xr:uid="{BA423CFF-FE65-41C3-B2CE-695B7BF796E3}"/>
    <cellStyle name="Normal 3 2 4 3" xfId="2877" xr:uid="{00000000-0005-0000-0000-00001C090000}"/>
    <cellStyle name="Normal 3 2 4 3 2" xfId="2962" xr:uid="{00000000-0005-0000-0000-0000C5090000}"/>
    <cellStyle name="Normal 3 2 4 3 2 2" xfId="3644" xr:uid="{F77158BA-545B-487A-84C6-175AA74DA701}"/>
    <cellStyle name="Normal 3 2 4 3 3" xfId="3536" xr:uid="{1585C01E-E4B5-4B42-BEBA-132D978C7156}"/>
    <cellStyle name="Normal 3 2 4 4" xfId="3022" xr:uid="{00000000-0005-0000-0000-0000C6090000}"/>
    <cellStyle name="Normal 3 2 4 4 2" xfId="3572" xr:uid="{CAC00796-2E3E-4DCB-893E-4AE6F560827F}"/>
    <cellStyle name="Normal 3 2 4 5" xfId="2922" xr:uid="{00000000-0005-0000-0000-0000C1090000}"/>
    <cellStyle name="Normal 3 2 4 5 2" xfId="3597" xr:uid="{2161BA30-D439-4570-9F24-C56B991CB7D3}"/>
    <cellStyle name="Normal 3 2 4 6" xfId="3496" xr:uid="{D42F4531-0D07-469B-A3C8-190C52A14F81}"/>
    <cellStyle name="Normal 3 2 5" xfId="28" xr:uid="{00000000-0005-0000-0000-00001E090000}"/>
    <cellStyle name="Normal 3 2 5 2" xfId="2874" xr:uid="{00000000-0005-0000-0000-00001E090000}"/>
    <cellStyle name="Normal 3 2 5 2 2" xfId="2959" xr:uid="{00000000-0005-0000-0000-0000C8090000}"/>
    <cellStyle name="Normal 3 2 5 2 2 2" xfId="3641" xr:uid="{99BCA01A-4B1B-4999-A95C-6AB5FFF60258}"/>
    <cellStyle name="Normal 3 2 5 2 3" xfId="3533" xr:uid="{18459F4A-2C19-4B1F-ADBF-B5BAFE1BED94}"/>
    <cellStyle name="Normal 3 2 5 3" xfId="3015" xr:uid="{00000000-0005-0000-0000-0000C9090000}"/>
    <cellStyle name="Normal 3 2 5 3 2" xfId="3569" xr:uid="{96AADDA2-DBC7-4365-8F55-E6CE53061EC0}"/>
    <cellStyle name="Normal 3 2 5 4" xfId="2919" xr:uid="{00000000-0005-0000-0000-0000C7090000}"/>
    <cellStyle name="Normal 3 2 5 4 2" xfId="3594" xr:uid="{01315D85-1B1A-47F3-8A2E-DEEF2F293648}"/>
    <cellStyle name="Normal 3 2 5 5" xfId="3493" xr:uid="{4C0B6D69-0D0A-4062-8790-BC184D084B28}"/>
    <cellStyle name="Normal 3 2 6" xfId="2844" xr:uid="{00000000-0005-0000-0000-00001F090000}"/>
    <cellStyle name="Normal 3 2 6 2" xfId="2891" xr:uid="{00000000-0005-0000-0000-00001F090000}"/>
    <cellStyle name="Normal 3 2 6 2 2" xfId="2992" xr:uid="{00000000-0005-0000-0000-0000CB090000}"/>
    <cellStyle name="Normal 3 2 6 2 3" xfId="3618" xr:uid="{F40C897B-0E34-4481-9590-8F6B87FE10D5}"/>
    <cellStyle name="Normal 3 2 6 3" xfId="3436" xr:uid="{00000000-0005-0000-0000-0000CC090000}"/>
    <cellStyle name="Normal 3 2 6 4" xfId="2936" xr:uid="{00000000-0005-0000-0000-0000CA090000}"/>
    <cellStyle name="Normal 3 2 6 5" xfId="3510" xr:uid="{6C623D55-5F60-400F-84CA-FD5CC61B5035}"/>
    <cellStyle name="Normal 3 2 7" xfId="25" xr:uid="{00000000-0005-0000-0000-000020090000}"/>
    <cellStyle name="Normal 3 2 7 2" xfId="2871" xr:uid="{00000000-0005-0000-0000-000020090000}"/>
    <cellStyle name="Normal 3 2 7 2 2" xfId="3591" xr:uid="{7A72E0C0-F89B-4BD9-A0C8-E43B9B3B739D}"/>
    <cellStyle name="Normal 3 2 7 3" xfId="2916" xr:uid="{00000000-0005-0000-0000-0000CD090000}"/>
    <cellStyle name="Normal 3 2 7 4" xfId="3490" xr:uid="{30A2A829-97A0-4CC7-8407-92181054B80B}"/>
    <cellStyle name="Normal 3 2 8" xfId="20" xr:uid="{00000000-0005-0000-0000-000017090000}"/>
    <cellStyle name="Normal 3 2 8 2" xfId="2956" xr:uid="{00000000-0005-0000-0000-0000CE090000}"/>
    <cellStyle name="Normal 3 2 8 2 2" xfId="3638" xr:uid="{77EBE6DC-0419-49F7-92BE-51C2C5FDDBFA}"/>
    <cellStyle name="Normal 3 2 8 3" xfId="3530" xr:uid="{53F1C321-2F5B-4976-BEA4-0A5C3CAE9105}"/>
    <cellStyle name="Normal 3 2 9" xfId="2866" xr:uid="{00000000-0005-0000-0000-000017090000}"/>
    <cellStyle name="Normal 3 2 9 2" xfId="3012" xr:uid="{00000000-0005-0000-0000-0000CF090000}"/>
    <cellStyle name="Normal 3 2 9 3" xfId="3566" xr:uid="{B693AFF3-3ED4-43AB-A94E-94B50A576A9F}"/>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2 3 2" xfId="3546" xr:uid="{F67205F8-09D3-4239-B908-C57D1F91DD6D}"/>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2 3" xfId="3625" xr:uid="{E02AF3D1-AB8C-40A7-9E22-1F25F818678E}"/>
    <cellStyle name="Normal 3 4 2 3" xfId="3443" xr:uid="{00000000-0005-0000-0000-0000D8090000}"/>
    <cellStyle name="Normal 3 4 2 4" xfId="2943" xr:uid="{00000000-0005-0000-0000-0000D6090000}"/>
    <cellStyle name="Normal 3 4 2 5" xfId="3517" xr:uid="{ED8330C6-39B1-43BD-8CE0-446934702BB9}"/>
    <cellStyle name="Normal 3 4 3" xfId="2881" xr:uid="{00000000-0005-0000-0000-000025090000}"/>
    <cellStyle name="Normal 3 4 3 2" xfId="2982" xr:uid="{00000000-0005-0000-0000-0000D9090000}"/>
    <cellStyle name="Normal 3 4 3 2 2" xfId="3648" xr:uid="{5ABEEE7D-9FFA-48C0-B652-65789F504E48}"/>
    <cellStyle name="Normal 3 4 3 3" xfId="3556" xr:uid="{989F8CE3-8B52-4A8A-8E98-D7D4469D70AB}"/>
    <cellStyle name="Normal 3 4 4" xfId="3419" xr:uid="{00000000-0005-0000-0000-0000DA090000}"/>
    <cellStyle name="Normal 3 4 4 2" xfId="3576" xr:uid="{A4A8789D-03A5-4AD3-9796-E432FE369B30}"/>
    <cellStyle name="Normal 3 4 5" xfId="2926" xr:uid="{00000000-0005-0000-0000-0000D5090000}"/>
    <cellStyle name="Normal 3 4 5 2" xfId="3608" xr:uid="{E11C4C6F-CC6D-4E15-9F94-443AED146062}"/>
    <cellStyle name="Normal 3 4 6" xfId="3500" xr:uid="{CB13D0AB-5D4F-4A6C-80A0-186A312A2BCC}"/>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2 3" xfId="3629" xr:uid="{745FC46F-4524-4FF8-8674-B2E66B6D74D9}"/>
    <cellStyle name="Normal 3 5 2 3" xfId="3447" xr:uid="{00000000-0005-0000-0000-0000DE090000}"/>
    <cellStyle name="Normal 3 5 2 4" xfId="2947" xr:uid="{00000000-0005-0000-0000-0000DC090000}"/>
    <cellStyle name="Normal 3 5 2 5" xfId="3521" xr:uid="{329996C5-7F0C-4D55-9AED-163BA2DCFF70}"/>
    <cellStyle name="Normal 3 5 3" xfId="2885" xr:uid="{00000000-0005-0000-0000-000027090000}"/>
    <cellStyle name="Normal 3 5 3 2" xfId="2986" xr:uid="{00000000-0005-0000-0000-0000DF090000}"/>
    <cellStyle name="Normal 3 5 3 2 2" xfId="3652" xr:uid="{841E071C-CDE2-4BE5-A7D4-2DB4E7C1EC77}"/>
    <cellStyle name="Normal 3 5 3 3" xfId="3560" xr:uid="{DC6AEC70-FAEC-4F83-8DF0-3525015C6B0A}"/>
    <cellStyle name="Normal 3 5 4" xfId="3429" xr:uid="{00000000-0005-0000-0000-0000E0090000}"/>
    <cellStyle name="Normal 3 5 4 2" xfId="3580" xr:uid="{95CA32F6-03AB-4FE5-9BC5-54348AFD4706}"/>
    <cellStyle name="Normal 3 5 5" xfId="2930" xr:uid="{00000000-0005-0000-0000-0000DB090000}"/>
    <cellStyle name="Normal 3 5 5 2" xfId="3612" xr:uid="{F42F1C33-F343-4F3C-AD58-269FF5B85B98}"/>
    <cellStyle name="Normal 3 5 6" xfId="3504" xr:uid="{3F92ABC5-8129-4130-9DAC-A90591DF6788}"/>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2 3" xfId="3631" xr:uid="{5BF28F3D-1A10-493B-BB31-D0FF598F9CE5}"/>
    <cellStyle name="Normal 3 6 2 3" xfId="3449" xr:uid="{00000000-0005-0000-0000-0000E4090000}"/>
    <cellStyle name="Normal 3 6 2 4" xfId="2949" xr:uid="{00000000-0005-0000-0000-0000E2090000}"/>
    <cellStyle name="Normal 3 6 2 5" xfId="3523" xr:uid="{36E3B173-C4DC-4971-B574-E13DA2131573}"/>
    <cellStyle name="Normal 3 6 3" xfId="2887" xr:uid="{00000000-0005-0000-0000-000029090000}"/>
    <cellStyle name="Normal 3 6 3 2" xfId="2988" xr:uid="{00000000-0005-0000-0000-0000E5090000}"/>
    <cellStyle name="Normal 3 6 3 2 2" xfId="3654" xr:uid="{F5CFE2F0-4AEA-4C2A-AF36-8AF427CC24F7}"/>
    <cellStyle name="Normal 3 6 3 3" xfId="3562" xr:uid="{832BD9AE-E1FA-4579-AC36-56697A1FFCF4}"/>
    <cellStyle name="Normal 3 6 4" xfId="3431" xr:uid="{00000000-0005-0000-0000-0000E6090000}"/>
    <cellStyle name="Normal 3 6 4 2" xfId="3582" xr:uid="{4DBA84BE-8275-4BC2-AF52-559FBB3CCCF5}"/>
    <cellStyle name="Normal 3 6 5" xfId="2932" xr:uid="{00000000-0005-0000-0000-0000E1090000}"/>
    <cellStyle name="Normal 3 6 5 2" xfId="3614" xr:uid="{9D62E057-3443-4995-B84A-1178385993DF}"/>
    <cellStyle name="Normal 3 6 6" xfId="3506" xr:uid="{F45D8C2A-6EC0-41A9-A564-288E6CBB05DF}"/>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2 3" xfId="3620" xr:uid="{B1E6E46A-018D-4188-A928-9BBC241EF9EE}"/>
    <cellStyle name="Normal 3 7 2 3" xfId="3438" xr:uid="{00000000-0005-0000-0000-0000EA090000}"/>
    <cellStyle name="Normal 3 7 2 4" xfId="2938" xr:uid="{00000000-0005-0000-0000-0000E8090000}"/>
    <cellStyle name="Normal 3 7 2 5" xfId="3512" xr:uid="{2F8AD47F-ADFB-43EB-8753-1EAF60C31CAD}"/>
    <cellStyle name="Normal 3 7 3" xfId="2876" xr:uid="{00000000-0005-0000-0000-00002B090000}"/>
    <cellStyle name="Normal 3 7 3 2" xfId="2961" xr:uid="{00000000-0005-0000-0000-0000EB090000}"/>
    <cellStyle name="Normal 3 7 3 2 2" xfId="3643" xr:uid="{13B0205A-C4EB-44C5-B95A-468CA31E8420}"/>
    <cellStyle name="Normal 3 7 3 3" xfId="3535" xr:uid="{B2FD5286-B955-4250-9F13-05E6005D7D77}"/>
    <cellStyle name="Normal 3 7 4" xfId="3017" xr:uid="{00000000-0005-0000-0000-0000EC090000}"/>
    <cellStyle name="Normal 3 7 4 2" xfId="3571" xr:uid="{72C54AF2-0AFF-4450-A439-E95342C076FB}"/>
    <cellStyle name="Normal 3 7 5" xfId="2921" xr:uid="{00000000-0005-0000-0000-0000E7090000}"/>
    <cellStyle name="Normal 3 7 5 2" xfId="3596" xr:uid="{50171687-C34D-43DA-81D7-06A5BC672363}"/>
    <cellStyle name="Normal 3 7 6" xfId="3495" xr:uid="{A5D453CC-FCA2-4EFF-97C2-AAACB239B54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2 3" xfId="3619" xr:uid="{DB458637-666A-48B8-8E69-F21CE3DE6CF0}"/>
    <cellStyle name="Normal 3 8 2 3" xfId="3437" xr:uid="{00000000-0005-0000-0000-0000F0090000}"/>
    <cellStyle name="Normal 3 8 2 4" xfId="2937" xr:uid="{00000000-0005-0000-0000-0000EE090000}"/>
    <cellStyle name="Normal 3 8 2 5" xfId="3511" xr:uid="{59371B7A-5744-4832-B3CD-D59B07D03CE2}"/>
    <cellStyle name="Normal 3 8 3" xfId="2875" xr:uid="{00000000-0005-0000-0000-00002D090000}"/>
    <cellStyle name="Normal 3 8 3 2" xfId="2960" xr:uid="{00000000-0005-0000-0000-0000F1090000}"/>
    <cellStyle name="Normal 3 8 3 2 2" xfId="3642" xr:uid="{E7BE20CA-D31E-4902-A531-CE4153F2ABFE}"/>
    <cellStyle name="Normal 3 8 3 3" xfId="3534" xr:uid="{9298EA78-F39D-4DF6-9F79-9B2BDB0335D5}"/>
    <cellStyle name="Normal 3 8 4" xfId="3016" xr:uid="{00000000-0005-0000-0000-0000F2090000}"/>
    <cellStyle name="Normal 3 8 4 2" xfId="3570" xr:uid="{DA12F82C-91BF-446E-AF3E-7D24EE862E58}"/>
    <cellStyle name="Normal 3 8 5" xfId="2920" xr:uid="{00000000-0005-0000-0000-0000ED090000}"/>
    <cellStyle name="Normal 3 8 5 2" xfId="3595" xr:uid="{EA0C6323-DBF9-4EDC-AB98-75A920F8273A}"/>
    <cellStyle name="Normal 3 8 6" xfId="3494" xr:uid="{AD6785A8-B217-4120-A111-83BB667790EC}"/>
    <cellStyle name="Normal 3 9" xfId="27" xr:uid="{00000000-0005-0000-0000-00002F090000}"/>
    <cellStyle name="Normal 3 9 2" xfId="2873" xr:uid="{00000000-0005-0000-0000-00002F090000}"/>
    <cellStyle name="Normal 3 9 2 2" xfId="2958" xr:uid="{00000000-0005-0000-0000-0000F4090000}"/>
    <cellStyle name="Normal 3 9 2 2 2" xfId="3640" xr:uid="{15C5CE3B-1A2A-453C-A2F5-0DF48F3FF6A7}"/>
    <cellStyle name="Normal 3 9 2 3" xfId="3532" xr:uid="{18F40C8E-9190-49ED-8C24-D522B24BAD9C}"/>
    <cellStyle name="Normal 3 9 3" xfId="3014" xr:uid="{00000000-0005-0000-0000-0000F5090000}"/>
    <cellStyle name="Normal 3 9 3 2" xfId="3568" xr:uid="{553C0B76-3D48-4EB9-AAAF-F28F77CC1002}"/>
    <cellStyle name="Normal 3 9 4" xfId="2918" xr:uid="{00000000-0005-0000-0000-0000F3090000}"/>
    <cellStyle name="Normal 3 9 4 2" xfId="3593" xr:uid="{68AA5220-BFC4-4098-A2FD-8E18F3AFAFAE}"/>
    <cellStyle name="Normal 3 9 5" xfId="3492" xr:uid="{3B5E273B-982E-499A-9EDA-A6091B3D6EA0}"/>
    <cellStyle name="Normal 4" xfId="16" xr:uid="{00000000-0005-0000-0000-000008000000}"/>
    <cellStyle name="Normal 4 10" xfId="2867" xr:uid="{00000000-0005-0000-0000-000030090000}"/>
    <cellStyle name="Normal 4 10 2" xfId="3013" xr:uid="{00000000-0005-0000-0000-0000F7090000}"/>
    <cellStyle name="Normal 4 10 3" xfId="3567" xr:uid="{2946C16B-CBC1-4067-932F-C8648BDC962D}"/>
    <cellStyle name="Normal 4 11" xfId="3478" xr:uid="{00000000-0005-0000-0000-000006000000}"/>
    <cellStyle name="Normal 4 11 2" xfId="3587" xr:uid="{91851F3C-6E71-407E-B8D5-CC19CF0826DE}"/>
    <cellStyle name="Normal 4 12" xfId="2912" xr:uid="{00000000-0005-0000-0000-0000F6090000}"/>
    <cellStyle name="Normal 4 13" xfId="3486" xr:uid="{FE5E5325-5D46-4259-A80B-BA3DDD6D6ADA}"/>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2 3" xfId="3626" xr:uid="{58D4D779-ABA8-4A32-BC2B-54C91569523A}"/>
    <cellStyle name="Normal 4 2 2 3" xfId="3444" xr:uid="{00000000-0005-0000-0000-0000FB090000}"/>
    <cellStyle name="Normal 4 2 2 4" xfId="2944" xr:uid="{00000000-0005-0000-0000-0000F9090000}"/>
    <cellStyle name="Normal 4 2 2 5" xfId="3518" xr:uid="{06F4806C-749D-45BF-B0A7-D93498CE58F9}"/>
    <cellStyle name="Normal 4 2 3" xfId="2882" xr:uid="{00000000-0005-0000-0000-000031090000}"/>
    <cellStyle name="Normal 4 2 3 2" xfId="2983" xr:uid="{00000000-0005-0000-0000-0000FC090000}"/>
    <cellStyle name="Normal 4 2 3 2 2" xfId="3649" xr:uid="{C37E116D-36F1-496D-81BC-01F64321E14D}"/>
    <cellStyle name="Normal 4 2 3 3" xfId="3557" xr:uid="{03BF266D-AB7E-4D11-BE49-63334DD76696}"/>
    <cellStyle name="Normal 4 2 4" xfId="3420" xr:uid="{00000000-0005-0000-0000-0000FD090000}"/>
    <cellStyle name="Normal 4 2 4 2" xfId="3577" xr:uid="{847A7123-6279-4BE3-8FAC-9DCC2CA90CB0}"/>
    <cellStyle name="Normal 4 2 5" xfId="2927" xr:uid="{00000000-0005-0000-0000-0000F8090000}"/>
    <cellStyle name="Normal 4 2 5 2" xfId="3609" xr:uid="{5C47E0DE-485C-4416-B728-EC4564CD03C4}"/>
    <cellStyle name="Normal 4 2 6" xfId="3501" xr:uid="{B884B323-11C3-418C-B075-4EDB5F1015AB}"/>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2 3" xfId="3630" xr:uid="{45B5EFF7-111E-4EAC-AC15-B7B93981F43B}"/>
    <cellStyle name="Normal 4 3 2 3" xfId="3448" xr:uid="{00000000-0005-0000-0000-0000010A0000}"/>
    <cellStyle name="Normal 4 3 2 4" xfId="2948" xr:uid="{00000000-0005-0000-0000-0000FF090000}"/>
    <cellStyle name="Normal 4 3 2 5" xfId="3522" xr:uid="{28B622F8-B17C-42B0-8890-057AC8FCACE4}"/>
    <cellStyle name="Normal 4 3 3" xfId="2886" xr:uid="{00000000-0005-0000-0000-000033090000}"/>
    <cellStyle name="Normal 4 3 3 2" xfId="2987" xr:uid="{00000000-0005-0000-0000-0000020A0000}"/>
    <cellStyle name="Normal 4 3 3 2 2" xfId="3653" xr:uid="{F2E18C64-4A6C-44A6-9DFD-545392A58994}"/>
    <cellStyle name="Normal 4 3 3 3" xfId="3561" xr:uid="{9E4979DA-FE9B-4566-AD0F-7FCEA8A9558C}"/>
    <cellStyle name="Normal 4 3 4" xfId="3430" xr:uid="{00000000-0005-0000-0000-0000030A0000}"/>
    <cellStyle name="Normal 4 3 4 2" xfId="3581" xr:uid="{A03E6DCF-962E-4EE1-9F10-53FBB937C26E}"/>
    <cellStyle name="Normal 4 3 5" xfId="2931" xr:uid="{00000000-0005-0000-0000-0000FE090000}"/>
    <cellStyle name="Normal 4 3 5 2" xfId="3613" xr:uid="{D22842B4-9E21-4634-813B-C3E679009CC7}"/>
    <cellStyle name="Normal 4 3 6" xfId="3505" xr:uid="{20FC9981-3773-44A7-AC5F-7395E24C021F}"/>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2 3" xfId="3633" xr:uid="{8CF86045-16DE-4FB5-ADE6-B0C9B79A67F3}"/>
    <cellStyle name="Normal 4 4 2 3" xfId="3451" xr:uid="{00000000-0005-0000-0000-0000070A0000}"/>
    <cellStyle name="Normal 4 4 2 4" xfId="2951" xr:uid="{00000000-0005-0000-0000-0000050A0000}"/>
    <cellStyle name="Normal 4 4 2 5" xfId="3525" xr:uid="{C77F539F-2781-4A6A-8FDA-F1AE2C9AE05C}"/>
    <cellStyle name="Normal 4 4 3" xfId="2889" xr:uid="{00000000-0005-0000-0000-000035090000}"/>
    <cellStyle name="Normal 4 4 3 2" xfId="2990" xr:uid="{00000000-0005-0000-0000-0000080A0000}"/>
    <cellStyle name="Normal 4 4 3 2 2" xfId="3656" xr:uid="{90CB3C96-8E77-4C3A-8DC6-968291388BAE}"/>
    <cellStyle name="Normal 4 4 3 3" xfId="3564" xr:uid="{88388F4A-F6DE-4412-94B2-659B843FFF12}"/>
    <cellStyle name="Normal 4 4 4" xfId="3433" xr:uid="{00000000-0005-0000-0000-0000090A0000}"/>
    <cellStyle name="Normal 4 4 4 2" xfId="3584" xr:uid="{1DB24190-95FA-4437-A3F1-45DFF56B7843}"/>
    <cellStyle name="Normal 4 4 5" xfId="2934" xr:uid="{00000000-0005-0000-0000-0000040A0000}"/>
    <cellStyle name="Normal 4 4 5 2" xfId="3616" xr:uid="{067A1883-8D72-4488-A50C-5D03667B2D8A}"/>
    <cellStyle name="Normal 4 4 6" xfId="3508" xr:uid="{4CC21F66-464C-43A4-994F-67D459BE3BE8}"/>
    <cellStyle name="Normal 4 5" xfId="219" xr:uid="{00000000-0005-0000-0000-000037090000}"/>
    <cellStyle name="Normal 4 5 2" xfId="2879" xr:uid="{00000000-0005-0000-0000-000037090000}"/>
    <cellStyle name="Normal 4 5 2 2" xfId="2973" xr:uid="{00000000-0005-0000-0000-00000B0A0000}"/>
    <cellStyle name="Normal 4 5 2 2 2" xfId="3646" xr:uid="{FE040A25-DF44-46A8-B5AF-66A27CE544B3}"/>
    <cellStyle name="Normal 4 5 2 3" xfId="3547" xr:uid="{C84BBA8E-D296-4476-957B-6180DD238C66}"/>
    <cellStyle name="Normal 4 5 3" xfId="3034" xr:uid="{00000000-0005-0000-0000-00000C0A0000}"/>
    <cellStyle name="Normal 4 5 3 2" xfId="3574" xr:uid="{94AF94BA-C0DD-4FBF-AE49-B4DF04606519}"/>
    <cellStyle name="Normal 4 5 4" xfId="2924" xr:uid="{00000000-0005-0000-0000-00000A0A0000}"/>
    <cellStyle name="Normal 4 5 4 2" xfId="3599" xr:uid="{621DF9B7-DD0F-47B5-B36E-EF03E6A4AE52}"/>
    <cellStyle name="Normal 4 5 5" xfId="3498" xr:uid="{6761A06F-5E98-4A9D-A4E1-6FCB355C03EF}"/>
    <cellStyle name="Normal 4 6" xfId="2849" xr:uid="{00000000-0005-0000-0000-000038090000}"/>
    <cellStyle name="Normal 4 6 2" xfId="2896" xr:uid="{00000000-0005-0000-0000-000038090000}"/>
    <cellStyle name="Normal 4 6 2 2" xfId="2997" xr:uid="{00000000-0005-0000-0000-00000E0A0000}"/>
    <cellStyle name="Normal 4 6 2 3" xfId="3623" xr:uid="{0D6CFCAE-A7E0-4E66-A0B6-CC2E39390C4A}"/>
    <cellStyle name="Normal 4 6 3" xfId="3441" xr:uid="{00000000-0005-0000-0000-00000F0A0000}"/>
    <cellStyle name="Normal 4 6 4" xfId="2941" xr:uid="{00000000-0005-0000-0000-00000D0A0000}"/>
    <cellStyle name="Normal 4 6 5" xfId="3515" xr:uid="{45990206-0EA7-422D-99CB-FA18889A1778}"/>
    <cellStyle name="Normal 4 7" xfId="2864" xr:uid="{00000000-0005-0000-0000-000039090000}"/>
    <cellStyle name="Normal 4 8" xfId="26" xr:uid="{00000000-0005-0000-0000-00003A090000}"/>
    <cellStyle name="Normal 4 8 2" xfId="2872" xr:uid="{00000000-0005-0000-0000-00003A090000}"/>
    <cellStyle name="Normal 4 8 2 2" xfId="3592" xr:uid="{057D28E2-7F9B-41B7-93F8-7F68A781F94A}"/>
    <cellStyle name="Normal 4 8 3" xfId="2917" xr:uid="{00000000-0005-0000-0000-0000110A0000}"/>
    <cellStyle name="Normal 4 8 4" xfId="3491" xr:uid="{71DFF1C0-CFFE-4C04-A9D1-B22E667A0E9F}"/>
    <cellStyle name="Normal 4 9" xfId="21" xr:uid="{00000000-0005-0000-0000-000030090000}"/>
    <cellStyle name="Normal 4 9 2" xfId="2957" xr:uid="{00000000-0005-0000-0000-0000120A0000}"/>
    <cellStyle name="Normal 4 9 2 2" xfId="3639" xr:uid="{8AA7E5ED-4579-4C2D-A79C-357124890A15}"/>
    <cellStyle name="Normal 4 9 3" xfId="3531" xr:uid="{1384EAA5-F900-4A86-A3DF-F3816E31542E}"/>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4 3" xfId="3588" xr:uid="{B211D1A4-CBD8-4D6B-B1D4-BFA265969DE0}"/>
    <cellStyle name="Normal 5 5" xfId="2868" xr:uid="{00000000-0005-0000-0000-00003B090000}"/>
    <cellStyle name="Normal 5 6" xfId="2913" xr:uid="{00000000-0005-0000-0000-0000130A0000}"/>
    <cellStyle name="Normal 5 7" xfId="3487" xr:uid="{D7D142A9-468F-49D2-B206-F1DEFA0958B2}"/>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3 3" xfId="3634" xr:uid="{6E4F973F-E521-42AC-A40B-255A020BE2FD}"/>
    <cellStyle name="Normal 7 4" xfId="3452" xr:uid="{00000000-0005-0000-0000-00001B0A0000}"/>
    <cellStyle name="Normal 7 5" xfId="2952" xr:uid="{00000000-0005-0000-0000-0000180A0000}"/>
    <cellStyle name="Normal 7 6" xfId="3526" xr:uid="{8736F095-B8D6-4222-916F-85F28E9CF41D}"/>
    <cellStyle name="Normal 8" xfId="3473" xr:uid="{00000000-0005-0000-0000-00001C0A0000}"/>
    <cellStyle name="Normal 8 2" xfId="2263" xr:uid="{00000000-0005-0000-0000-000042090000}"/>
    <cellStyle name="Normal 9" xfId="3481" xr:uid="{EB3D1973-30A6-45C7-9681-F8FB2B335262}"/>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4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89" t="s">
        <v>405</v>
      </c>
      <c r="J1" s="2090"/>
      <c r="K1" s="2090"/>
      <c r="L1" s="2090"/>
      <c r="M1" s="2090"/>
      <c r="N1" s="2090"/>
      <c r="O1" s="2090"/>
      <c r="P1" s="2090"/>
      <c r="Q1" s="2090"/>
      <c r="R1" s="2090"/>
      <c r="S1" s="2090"/>
    </row>
    <row r="2" spans="1:28" ht="12" customHeight="1" x14ac:dyDescent="0.2">
      <c r="A2" s="47" t="s">
        <v>1992</v>
      </c>
      <c r="D2" s="48"/>
      <c r="I2" s="2091" t="s">
        <v>979</v>
      </c>
      <c r="J2" s="2090"/>
      <c r="K2" s="2090"/>
      <c r="L2" s="2090"/>
      <c r="M2" s="2090"/>
      <c r="N2" s="2090"/>
      <c r="O2" s="2090"/>
      <c r="P2" s="2090"/>
      <c r="Q2" s="2090"/>
      <c r="R2" s="2090"/>
      <c r="S2" s="2090"/>
    </row>
    <row r="3" spans="1:28" ht="12" customHeight="1" x14ac:dyDescent="0.2">
      <c r="A3" s="155" t="s">
        <v>1944</v>
      </c>
      <c r="B3" s="156"/>
      <c r="C3" s="156"/>
      <c r="D3" s="157"/>
      <c r="I3" s="2091" t="s">
        <v>52</v>
      </c>
      <c r="J3" s="2090"/>
      <c r="K3" s="2090"/>
      <c r="L3" s="2090"/>
      <c r="M3" s="2090"/>
      <c r="N3" s="2090"/>
      <c r="O3" s="2090"/>
      <c r="P3" s="2090"/>
      <c r="Q3" s="2090"/>
      <c r="R3" s="2090"/>
      <c r="S3" s="2090"/>
    </row>
    <row r="4" spans="1:28" ht="12" customHeight="1" x14ac:dyDescent="0.2">
      <c r="A4" s="37"/>
      <c r="I4" s="2091" t="s">
        <v>524</v>
      </c>
      <c r="J4" s="2090"/>
      <c r="K4" s="2090"/>
      <c r="L4" s="2090"/>
      <c r="M4" s="2090"/>
      <c r="N4" s="2090"/>
      <c r="O4" s="2090"/>
      <c r="P4" s="2090"/>
      <c r="Q4" s="2090"/>
      <c r="R4" s="2090"/>
      <c r="S4" s="2090"/>
    </row>
    <row r="5" spans="1:28" ht="14.1" customHeight="1" x14ac:dyDescent="0.2">
      <c r="B5" s="104" t="s">
        <v>2139</v>
      </c>
      <c r="C5" s="26" t="s">
        <v>910</v>
      </c>
      <c r="D5" s="84"/>
      <c r="E5" s="84"/>
      <c r="H5" s="38"/>
      <c r="I5" s="2098" t="s">
        <v>680</v>
      </c>
      <c r="J5" s="2043"/>
      <c r="K5" s="2043"/>
      <c r="L5" s="2043"/>
      <c r="M5" s="2043"/>
      <c r="N5" s="2043"/>
      <c r="O5" s="2043"/>
      <c r="P5" s="2043"/>
      <c r="Q5" s="2043"/>
      <c r="R5" s="2043"/>
      <c r="S5" s="2043"/>
    </row>
    <row r="6" spans="1:28" ht="14.1" customHeight="1" x14ac:dyDescent="0.2">
      <c r="B6" s="104"/>
      <c r="C6" s="26" t="s">
        <v>911</v>
      </c>
      <c r="D6" s="84"/>
      <c r="E6" s="84"/>
      <c r="I6" s="2097" t="s">
        <v>883</v>
      </c>
      <c r="J6" s="2043"/>
      <c r="K6" s="2043"/>
      <c r="L6" s="2043"/>
      <c r="M6" s="2043"/>
      <c r="N6" s="2043"/>
      <c r="O6" s="2043"/>
      <c r="P6" s="2043"/>
      <c r="Q6" s="2043"/>
      <c r="R6" s="2043"/>
      <c r="S6" s="2043"/>
    </row>
    <row r="7" spans="1:28" ht="12.2" customHeight="1" x14ac:dyDescent="0.2">
      <c r="I7" s="2092">
        <v>43646</v>
      </c>
      <c r="J7" s="2093"/>
      <c r="K7" s="2093"/>
      <c r="L7" s="2093"/>
      <c r="M7" s="2093"/>
      <c r="N7" s="2093"/>
      <c r="O7" s="2093"/>
      <c r="P7" s="2093"/>
      <c r="Q7" s="2093"/>
      <c r="R7" s="2093"/>
      <c r="S7" s="20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4" t="s">
        <v>674</v>
      </c>
      <c r="J9" s="2095"/>
      <c r="K9" s="2095"/>
      <c r="L9" s="2095"/>
      <c r="M9" s="2095"/>
      <c r="N9" s="2095"/>
      <c r="O9" s="2095"/>
      <c r="P9" s="2095"/>
      <c r="Q9" s="2095"/>
      <c r="R9" s="2095"/>
      <c r="S9" s="2096"/>
      <c r="T9" s="2039" t="s">
        <v>533</v>
      </c>
      <c r="U9" s="2040"/>
      <c r="V9" s="2040"/>
      <c r="W9" s="2040"/>
      <c r="X9" s="2040"/>
      <c r="Y9" s="2040"/>
      <c r="Z9" s="2040"/>
      <c r="AA9" s="2041"/>
    </row>
    <row r="10" spans="1:28" ht="13.5" customHeight="1" x14ac:dyDescent="0.2">
      <c r="A10" s="2048" t="s">
        <v>675</v>
      </c>
      <c r="B10" s="2049"/>
      <c r="C10" s="2049"/>
      <c r="D10" s="2049"/>
      <c r="E10" s="2049"/>
      <c r="F10" s="2049"/>
      <c r="G10" s="2049"/>
      <c r="H10" s="2050"/>
      <c r="I10" s="29"/>
      <c r="J10" s="30"/>
      <c r="K10" s="28"/>
      <c r="R10" s="30"/>
      <c r="S10" s="30"/>
      <c r="T10" s="2042"/>
      <c r="U10" s="2043"/>
      <c r="V10" s="2043"/>
      <c r="W10" s="2043"/>
      <c r="X10" s="2043"/>
      <c r="Y10" s="2043"/>
      <c r="Z10" s="2043"/>
      <c r="AA10" s="2044"/>
    </row>
    <row r="11" spans="1:28" ht="14.25" customHeight="1" x14ac:dyDescent="0.2">
      <c r="A11" s="2051" t="s">
        <v>955</v>
      </c>
      <c r="B11" s="2052"/>
      <c r="C11" s="2052"/>
      <c r="D11" s="2052"/>
      <c r="E11" s="2052"/>
      <c r="F11" s="2052"/>
      <c r="G11" s="2052"/>
      <c r="H11" s="2053"/>
      <c r="I11" s="27"/>
      <c r="J11" s="74"/>
      <c r="K11" s="27"/>
      <c r="O11" s="148" t="s">
        <v>2139</v>
      </c>
      <c r="P11" s="100" t="s">
        <v>201</v>
      </c>
      <c r="Q11" s="30"/>
      <c r="R11" s="28"/>
      <c r="S11" s="27"/>
      <c r="T11" s="2045"/>
      <c r="U11" s="2046"/>
      <c r="V11" s="2046"/>
      <c r="W11" s="2046"/>
      <c r="X11" s="2046"/>
      <c r="Y11" s="2046"/>
      <c r="Z11" s="2046"/>
      <c r="AA11" s="204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9">
        <v>44063156016</v>
      </c>
      <c r="B13" s="2060"/>
      <c r="C13" s="2060"/>
      <c r="D13" s="2060"/>
      <c r="E13" s="2060"/>
      <c r="F13" s="2060"/>
      <c r="G13" s="2060"/>
      <c r="H13" s="2061"/>
      <c r="I13" s="31"/>
      <c r="J13" s="30"/>
      <c r="K13" s="28"/>
      <c r="L13" s="30"/>
      <c r="M13" s="30"/>
      <c r="N13" s="30"/>
      <c r="O13" s="30"/>
      <c r="P13" s="30"/>
      <c r="Q13" s="30"/>
      <c r="R13" s="30"/>
      <c r="S13" s="30"/>
      <c r="T13" s="2064" t="s">
        <v>2063</v>
      </c>
      <c r="U13" s="2065"/>
      <c r="V13" s="2065"/>
      <c r="W13" s="2065"/>
      <c r="X13" s="2065"/>
      <c r="Y13" s="2066"/>
      <c r="Z13" s="2066"/>
      <c r="AA13" s="206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7" t="s">
        <v>2141</v>
      </c>
      <c r="B15" s="2062"/>
      <c r="C15" s="2062"/>
      <c r="D15" s="2062"/>
      <c r="E15" s="2062"/>
      <c r="F15" s="2062"/>
      <c r="G15" s="2062"/>
      <c r="H15" s="2063"/>
      <c r="T15" s="2025" t="s">
        <v>2140</v>
      </c>
      <c r="U15" s="2026"/>
      <c r="V15" s="2026"/>
      <c r="W15" s="2026"/>
      <c r="X15" s="2026"/>
      <c r="Y15" s="2068"/>
      <c r="Z15" s="2068"/>
      <c r="AA15" s="206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2215</v>
      </c>
      <c r="B17" s="2087"/>
      <c r="C17" s="2087"/>
      <c r="D17" s="2087"/>
      <c r="E17" s="2087"/>
      <c r="F17" s="2087"/>
      <c r="G17" s="2087"/>
      <c r="H17" s="2088"/>
      <c r="T17" s="2074" t="s">
        <v>2064</v>
      </c>
      <c r="U17" s="2075"/>
      <c r="V17" s="2075"/>
      <c r="W17" s="2075"/>
      <c r="X17" s="2075"/>
      <c r="Y17" s="2075"/>
      <c r="Z17" s="2075"/>
      <c r="AA17" s="2076"/>
    </row>
    <row r="18" spans="1:27" ht="13.5" customHeight="1" x14ac:dyDescent="0.2">
      <c r="A18" s="85" t="s">
        <v>530</v>
      </c>
      <c r="B18" s="76"/>
      <c r="C18" s="72"/>
      <c r="D18" s="76"/>
      <c r="E18" s="76"/>
      <c r="F18" s="76"/>
      <c r="G18" s="76"/>
      <c r="H18" s="56"/>
      <c r="I18" s="2084" t="s">
        <v>676</v>
      </c>
      <c r="J18" s="2085"/>
      <c r="K18" s="2085"/>
      <c r="L18" s="2085"/>
      <c r="M18" s="2085"/>
      <c r="N18" s="2085"/>
      <c r="O18" s="2085"/>
      <c r="P18" s="2085"/>
      <c r="Q18" s="2085"/>
      <c r="R18" s="2085"/>
      <c r="S18" s="2086"/>
      <c r="T18" s="85" t="s">
        <v>711</v>
      </c>
      <c r="U18" s="51"/>
      <c r="V18" s="72"/>
      <c r="W18" s="50"/>
      <c r="X18" s="85" t="s">
        <v>266</v>
      </c>
      <c r="Y18" s="81"/>
      <c r="Z18" s="159" t="s">
        <v>677</v>
      </c>
      <c r="AA18" s="46"/>
    </row>
    <row r="19" spans="1:27" ht="13.5" customHeight="1" x14ac:dyDescent="0.2">
      <c r="A19" s="2057" t="s">
        <v>2142</v>
      </c>
      <c r="B19" s="2058"/>
      <c r="C19" s="2058"/>
      <c r="D19" s="2058"/>
      <c r="E19" s="2058"/>
      <c r="F19" s="2058"/>
      <c r="G19" s="2058"/>
      <c r="H19" s="2056"/>
      <c r="I19" s="30"/>
      <c r="J19" s="99"/>
      <c r="K19" s="40"/>
      <c r="L19" s="38"/>
      <c r="M19" s="112" t="s">
        <v>315</v>
      </c>
      <c r="P19" s="27"/>
      <c r="Q19" s="27"/>
      <c r="R19" s="27"/>
      <c r="S19" s="31"/>
      <c r="T19" s="2057" t="s">
        <v>2065</v>
      </c>
      <c r="U19" s="2055"/>
      <c r="V19" s="2055"/>
      <c r="W19" s="2056"/>
      <c r="X19" s="2072" t="s">
        <v>2066</v>
      </c>
      <c r="Y19" s="2073"/>
      <c r="Z19" s="2070">
        <v>60050</v>
      </c>
      <c r="AA19" s="207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54" t="s">
        <v>2065</v>
      </c>
      <c r="B21" s="2055"/>
      <c r="C21" s="2055"/>
      <c r="D21" s="2055"/>
      <c r="E21" s="2055"/>
      <c r="F21" s="2055"/>
      <c r="G21" s="2055"/>
      <c r="H21" s="2056"/>
      <c r="I21" s="2080" t="s">
        <v>678</v>
      </c>
      <c r="J21" s="2043"/>
      <c r="K21" s="2043"/>
      <c r="L21" s="2043"/>
      <c r="M21" s="2043"/>
      <c r="N21" s="2043"/>
      <c r="O21" s="2043"/>
      <c r="P21" s="2043"/>
      <c r="Q21" s="2043"/>
      <c r="R21" s="2043"/>
      <c r="S21" s="2044"/>
      <c r="T21" s="2022" t="s">
        <v>2067</v>
      </c>
      <c r="U21" s="2023"/>
      <c r="V21" s="2023"/>
      <c r="W21" s="2023"/>
      <c r="X21" s="2036" t="s">
        <v>2068</v>
      </c>
      <c r="Y21" s="2037"/>
      <c r="Z21" s="2037"/>
      <c r="AA21" s="2038"/>
    </row>
    <row r="22" spans="1:27" ht="13.5" customHeight="1" x14ac:dyDescent="0.2">
      <c r="A22" s="87" t="s">
        <v>531</v>
      </c>
      <c r="B22" s="59"/>
      <c r="C22" s="59"/>
      <c r="D22" s="59"/>
      <c r="E22" s="59"/>
      <c r="F22" s="59"/>
      <c r="G22" s="59"/>
      <c r="H22" s="60"/>
      <c r="I22" s="2081" t="s">
        <v>1429</v>
      </c>
      <c r="J22" s="2082"/>
      <c r="K22" s="2082"/>
      <c r="L22" s="2082"/>
      <c r="M22" s="2082"/>
      <c r="N22" s="2082"/>
      <c r="O22" s="2082"/>
      <c r="P22" s="2082"/>
      <c r="Q22" s="2082"/>
      <c r="R22" s="2082"/>
      <c r="S22" s="2083"/>
      <c r="T22" s="85" t="s">
        <v>1516</v>
      </c>
      <c r="U22" s="51"/>
      <c r="V22" s="72"/>
      <c r="W22" s="51"/>
      <c r="X22" s="160" t="s">
        <v>1318</v>
      </c>
      <c r="Z22" s="45"/>
      <c r="AA22" s="46"/>
    </row>
    <row r="23" spans="1:27" ht="13.5" customHeight="1" x14ac:dyDescent="0.2">
      <c r="A23" s="2077" t="s">
        <v>2143</v>
      </c>
      <c r="B23" s="2078"/>
      <c r="C23" s="2078"/>
      <c r="D23" s="2078"/>
      <c r="E23" s="2078"/>
      <c r="F23" s="2078"/>
      <c r="G23" s="2078"/>
      <c r="H23" s="2079"/>
      <c r="T23" s="2017" t="s">
        <v>2069</v>
      </c>
      <c r="U23" s="2018"/>
      <c r="V23" s="2018"/>
      <c r="W23" s="2018"/>
      <c r="X23" s="2033">
        <v>44530</v>
      </c>
      <c r="Y23" s="2034"/>
      <c r="Z23" s="2034"/>
      <c r="AA23" s="2035"/>
    </row>
    <row r="24" spans="1:27" ht="14.1" customHeight="1" x14ac:dyDescent="0.2">
      <c r="A24" s="88" t="s">
        <v>677</v>
      </c>
      <c r="B24" s="49"/>
      <c r="C24" s="49"/>
      <c r="D24" s="49"/>
      <c r="E24" s="49"/>
      <c r="F24" s="49"/>
      <c r="G24" s="49"/>
      <c r="H24" s="61"/>
      <c r="J24" s="2119">
        <f>IF(B5="x",IF(AUDITCHECK!D29="AFR form Incomplete.","",IF(AUDITCHECK!D29="Deficit reduction plan is required.","School District must complete a deficit reduction plan in the 2019-2020 Budget",)),"")</f>
        <v>0</v>
      </c>
      <c r="K24" s="2119"/>
      <c r="L24" s="2119"/>
      <c r="M24" s="2119"/>
      <c r="N24" s="2119"/>
      <c r="O24" s="2119"/>
      <c r="P24" s="2119"/>
      <c r="Q24" s="2119"/>
      <c r="R24" s="2119"/>
      <c r="S24" s="2120"/>
      <c r="T24" s="105" t="s">
        <v>531</v>
      </c>
      <c r="U24" s="106"/>
      <c r="V24" s="106"/>
      <c r="W24" s="106"/>
      <c r="X24" s="107"/>
      <c r="Y24" s="107"/>
      <c r="Z24" s="107"/>
      <c r="AA24" s="108"/>
    </row>
    <row r="25" spans="1:27" ht="14.1" customHeight="1" x14ac:dyDescent="0.2">
      <c r="A25" s="2054">
        <v>60050</v>
      </c>
      <c r="B25" s="2055"/>
      <c r="C25" s="2055"/>
      <c r="D25" s="2055"/>
      <c r="E25" s="2055"/>
      <c r="F25" s="2055"/>
      <c r="G25" s="2055"/>
      <c r="H25" s="2056"/>
      <c r="I25" s="113"/>
      <c r="J25" s="2121"/>
      <c r="K25" s="2121"/>
      <c r="L25" s="2121"/>
      <c r="M25" s="2121"/>
      <c r="N25" s="2121"/>
      <c r="O25" s="2121"/>
      <c r="P25" s="2121"/>
      <c r="Q25" s="2121"/>
      <c r="R25" s="2121"/>
      <c r="S25" s="2122"/>
      <c r="T25" s="2014" t="s">
        <v>2070</v>
      </c>
      <c r="U25" s="2015"/>
      <c r="V25" s="2015"/>
      <c r="W25" s="2015"/>
      <c r="X25" s="2015"/>
      <c r="Y25" s="2015"/>
      <c r="Z25" s="2015"/>
      <c r="AA25" s="201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12" t="s">
        <v>1511</v>
      </c>
      <c r="J27" s="2085"/>
      <c r="K27" s="2085"/>
      <c r="L27" s="2085"/>
      <c r="M27" s="2085"/>
      <c r="N27" s="2085"/>
      <c r="O27" s="2085"/>
      <c r="P27" s="2085"/>
      <c r="Q27" s="2085"/>
      <c r="R27" s="2085"/>
      <c r="S27" s="208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2139</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2139</v>
      </c>
      <c r="C30" s="124" t="s">
        <v>1164</v>
      </c>
      <c r="D30" s="28"/>
      <c r="E30" s="28"/>
      <c r="F30" s="140"/>
      <c r="G30" s="114"/>
      <c r="H30" s="114"/>
      <c r="I30" s="54"/>
      <c r="J30" s="148" t="s">
        <v>2139</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2139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8"/>
      <c r="Q35" s="2055"/>
      <c r="R35" s="205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2144</v>
      </c>
      <c r="B38" s="2087"/>
      <c r="C38" s="2087"/>
      <c r="D38" s="2087"/>
      <c r="E38" s="2087"/>
      <c r="F38" s="2055"/>
      <c r="G38" s="2055"/>
      <c r="H38" s="2056"/>
      <c r="I38" s="2106"/>
      <c r="J38" s="2026"/>
      <c r="K38" s="2026"/>
      <c r="L38" s="2026"/>
      <c r="M38" s="2026"/>
      <c r="N38" s="2026"/>
      <c r="O38" s="2026"/>
      <c r="P38" s="2027"/>
      <c r="Q38" s="2027"/>
      <c r="R38" s="2027"/>
      <c r="S38" s="2028"/>
      <c r="T38" s="2025"/>
      <c r="U38" s="2026"/>
      <c r="V38" s="2026"/>
      <c r="W38" s="2026"/>
      <c r="X38" s="2027"/>
      <c r="Y38" s="2027"/>
      <c r="Z38" s="2027"/>
      <c r="AA38" s="2028"/>
    </row>
    <row r="39" spans="1:27" ht="12" customHeight="1" x14ac:dyDescent="0.2">
      <c r="A39" s="2110" t="s">
        <v>531</v>
      </c>
      <c r="B39" s="2111"/>
      <c r="C39" s="72"/>
      <c r="D39" s="69"/>
      <c r="E39" s="69"/>
      <c r="F39" s="79"/>
      <c r="G39" s="69"/>
      <c r="H39" s="56"/>
      <c r="I39" s="2110" t="s">
        <v>531</v>
      </c>
      <c r="J39" s="2111"/>
      <c r="K39" s="2111"/>
      <c r="L39" s="2111"/>
      <c r="M39" s="2111"/>
      <c r="N39" s="67"/>
      <c r="O39" s="72"/>
      <c r="P39" s="72"/>
      <c r="Q39" s="78"/>
      <c r="R39" s="72"/>
      <c r="S39" s="56"/>
      <c r="T39" s="72" t="s">
        <v>531</v>
      </c>
      <c r="U39" s="51"/>
      <c r="V39" s="72"/>
      <c r="W39" s="50"/>
      <c r="X39" s="78"/>
      <c r="Y39" s="45"/>
      <c r="Z39" s="45"/>
      <c r="AA39" s="46"/>
    </row>
    <row r="40" spans="1:27" ht="13.5" customHeight="1" x14ac:dyDescent="0.2">
      <c r="A40" s="2113" t="s">
        <v>2143</v>
      </c>
      <c r="B40" s="2114"/>
      <c r="C40" s="2115"/>
      <c r="D40" s="2115"/>
      <c r="E40" s="2115"/>
      <c r="F40" s="2116"/>
      <c r="G40" s="2116"/>
      <c r="H40" s="2117"/>
      <c r="I40" s="2029"/>
      <c r="J40" s="2031"/>
      <c r="K40" s="2031"/>
      <c r="L40" s="2031"/>
      <c r="M40" s="2031"/>
      <c r="N40" s="2031"/>
      <c r="O40" s="2031"/>
      <c r="P40" s="2031"/>
      <c r="Q40" s="2031"/>
      <c r="R40" s="2031"/>
      <c r="S40" s="2032"/>
      <c r="T40" s="2029"/>
      <c r="U40" s="2030"/>
      <c r="V40" s="2031"/>
      <c r="W40" s="2031"/>
      <c r="X40" s="2031"/>
      <c r="Y40" s="2031"/>
      <c r="Z40" s="2031"/>
      <c r="AA40" s="203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03" t="s">
        <v>2145</v>
      </c>
      <c r="B42" s="2104"/>
      <c r="C42" s="2105"/>
      <c r="D42" s="2118" t="s">
        <v>2146</v>
      </c>
      <c r="E42" s="2104"/>
      <c r="F42" s="2104"/>
      <c r="G42" s="2104"/>
      <c r="H42" s="2105"/>
      <c r="I42" s="2024"/>
      <c r="J42" s="2020"/>
      <c r="K42" s="2020"/>
      <c r="L42" s="2020"/>
      <c r="M42" s="2020"/>
      <c r="N42" s="2020"/>
      <c r="O42" s="2021"/>
      <c r="P42" s="2019"/>
      <c r="Q42" s="2020"/>
      <c r="R42" s="2020"/>
      <c r="S42" s="2021"/>
      <c r="T42" s="2024"/>
      <c r="U42" s="2020"/>
      <c r="V42" s="2020"/>
      <c r="W42" s="2021"/>
      <c r="X42" s="2019"/>
      <c r="Y42" s="2020"/>
      <c r="Z42" s="2020"/>
      <c r="AA42" s="202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7"/>
      <c r="B44" s="2108"/>
      <c r="C44" s="2108"/>
      <c r="D44" s="2108"/>
      <c r="E44" s="2108"/>
      <c r="F44" s="2108"/>
      <c r="G44" s="2108"/>
      <c r="H44" s="2109"/>
      <c r="I44" s="2099"/>
      <c r="J44" s="2101"/>
      <c r="K44" s="2101"/>
      <c r="L44" s="2101"/>
      <c r="M44" s="2101"/>
      <c r="N44" s="2101"/>
      <c r="O44" s="2101"/>
      <c r="P44" s="2101"/>
      <c r="Q44" s="2101"/>
      <c r="R44" s="2101"/>
      <c r="S44" s="2102"/>
      <c r="T44" s="2099"/>
      <c r="U44" s="2100"/>
      <c r="V44" s="2100"/>
      <c r="W44" s="2100"/>
      <c r="X44" s="2100"/>
      <c r="Y44" s="2100"/>
      <c r="Z44" s="2101"/>
      <c r="AA44" s="210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20"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54"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09" t="s">
        <v>1611</v>
      </c>
    </row>
    <row r="23" spans="1:5" x14ac:dyDescent="0.2">
      <c r="A23" s="168"/>
      <c r="B23" s="162" t="s">
        <v>1856</v>
      </c>
      <c r="D23" s="167" t="s">
        <v>637</v>
      </c>
      <c r="E23" s="1809"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6" t="s">
        <v>1065</v>
      </c>
      <c r="B35" s="2126"/>
      <c r="C35" s="2126"/>
      <c r="D35" s="2126"/>
      <c r="E35" s="212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3" t="s">
        <v>691</v>
      </c>
      <c r="B40" s="2123"/>
      <c r="C40" s="2123"/>
      <c r="D40" s="2123"/>
      <c r="E40" s="2123"/>
    </row>
    <row r="41" spans="1:5" x14ac:dyDescent="0.2">
      <c r="A41" s="2124" t="s">
        <v>1608</v>
      </c>
      <c r="B41" s="2124"/>
      <c r="C41" s="2124"/>
      <c r="D41" s="2124"/>
      <c r="E41" s="2124"/>
    </row>
    <row r="42" spans="1:5" ht="12.75" customHeight="1" x14ac:dyDescent="0.2">
      <c r="A42" s="2125" t="s">
        <v>1022</v>
      </c>
      <c r="B42" s="2125"/>
      <c r="C42" s="2125"/>
      <c r="D42" s="2125"/>
      <c r="E42" s="212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58" t="s">
        <v>1775</v>
      </c>
    </row>
    <row r="60" spans="1:3" x14ac:dyDescent="0.2">
      <c r="A60" s="196"/>
      <c r="B60" s="1458" t="s">
        <v>1776</v>
      </c>
    </row>
    <row r="61" spans="1:3" ht="6" customHeight="1" x14ac:dyDescent="0.2">
      <c r="A61" s="197"/>
      <c r="B61" s="189"/>
    </row>
    <row r="62" spans="1:3" x14ac:dyDescent="0.2">
      <c r="A62" s="169" t="s">
        <v>1616</v>
      </c>
      <c r="B62" s="198" t="s">
        <v>1772</v>
      </c>
    </row>
    <row r="63" spans="1:3" x14ac:dyDescent="0.2">
      <c r="A63" s="188"/>
      <c r="B63" s="169" t="s">
        <v>1787</v>
      </c>
    </row>
    <row r="64" spans="1:3" x14ac:dyDescent="0.2">
      <c r="A64" s="195"/>
      <c r="B64" s="146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59" t="s">
        <v>1619</v>
      </c>
    </row>
    <row r="72" spans="1:9" ht="9" customHeight="1" x14ac:dyDescent="0.2">
      <c r="A72" s="192"/>
      <c r="B72" s="199"/>
    </row>
    <row r="73" spans="1:9" x14ac:dyDescent="0.2">
      <c r="A73" s="189" t="s">
        <v>1620</v>
      </c>
      <c r="B73" s="169" t="s">
        <v>1783</v>
      </c>
    </row>
    <row r="74" spans="1:9" x14ac:dyDescent="0.2">
      <c r="A74" s="189"/>
      <c r="B74" s="169" t="s">
        <v>1782</v>
      </c>
    </row>
    <row r="75" spans="1:9" ht="8.25" customHeight="1" x14ac:dyDescent="0.2">
      <c r="A75" s="189"/>
      <c r="B75" s="189"/>
    </row>
    <row r="76" spans="1:9" ht="12.2" customHeight="1" x14ac:dyDescent="0.2">
      <c r="A76" s="189" t="s">
        <v>1621</v>
      </c>
      <c r="B76" s="198" t="s">
        <v>1784</v>
      </c>
    </row>
    <row r="77" spans="1:9" ht="12.2" customHeight="1" x14ac:dyDescent="0.2">
      <c r="A77" s="190"/>
      <c r="B77" s="169" t="s">
        <v>1622</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7"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7" t="s">
        <v>1168</v>
      </c>
      <c r="B2" s="2127"/>
      <c r="C2" s="2127"/>
      <c r="D2" s="2127"/>
      <c r="E2" s="2127"/>
      <c r="F2" s="2127"/>
      <c r="G2" s="2127"/>
      <c r="H2" s="2127"/>
      <c r="I2" s="2127"/>
      <c r="J2" s="212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2156</v>
      </c>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1" t="s">
        <v>1633</v>
      </c>
      <c r="B35" s="2142"/>
      <c r="C35" s="2142"/>
      <c r="D35" s="2142"/>
      <c r="E35" s="2143"/>
      <c r="F35" s="2143"/>
      <c r="G35" s="2143"/>
      <c r="H35" s="2143"/>
      <c r="I35" s="214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1" t="s">
        <v>313</v>
      </c>
      <c r="B47" s="2144"/>
      <c r="C47" s="2144"/>
      <c r="D47" s="2144"/>
      <c r="E47" s="2145"/>
      <c r="F47" s="2145"/>
      <c r="G47" s="2145"/>
      <c r="H47" s="2145"/>
      <c r="I47" s="214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2139</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2139</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8" t="s">
        <v>2214</v>
      </c>
      <c r="C57" s="2149"/>
      <c r="D57" s="2149"/>
      <c r="E57" s="2149"/>
      <c r="F57" s="2149"/>
      <c r="G57" s="2149"/>
      <c r="H57" s="2149"/>
      <c r="I57" s="2149"/>
      <c r="J57" s="2150"/>
    </row>
    <row r="58" spans="1:10" s="181" customFormat="1" x14ac:dyDescent="0.2">
      <c r="A58" s="253"/>
      <c r="B58" s="2151"/>
      <c r="C58" s="2152"/>
      <c r="D58" s="2152"/>
      <c r="E58" s="2152"/>
      <c r="F58" s="2152"/>
      <c r="G58" s="2152"/>
      <c r="H58" s="2152"/>
      <c r="I58" s="2152"/>
      <c r="J58" s="2153"/>
    </row>
    <row r="59" spans="1:10" s="181" customFormat="1" x14ac:dyDescent="0.2">
      <c r="A59" s="253"/>
      <c r="B59" s="2151"/>
      <c r="C59" s="2152"/>
      <c r="D59" s="2152"/>
      <c r="E59" s="2152"/>
      <c r="F59" s="2152"/>
      <c r="G59" s="2152"/>
      <c r="H59" s="2152"/>
      <c r="I59" s="2152"/>
      <c r="J59" s="2153"/>
    </row>
    <row r="60" spans="1:10" s="181" customFormat="1" x14ac:dyDescent="0.2">
      <c r="A60" s="253"/>
      <c r="B60" s="2151"/>
      <c r="C60" s="2152"/>
      <c r="D60" s="2152"/>
      <c r="E60" s="2152"/>
      <c r="F60" s="2152"/>
      <c r="G60" s="2152"/>
      <c r="H60" s="2152"/>
      <c r="I60" s="2152"/>
      <c r="J60" s="2153"/>
    </row>
    <row r="61" spans="1:10" s="181" customFormat="1" x14ac:dyDescent="0.2">
      <c r="A61" s="253"/>
      <c r="B61" s="2151"/>
      <c r="C61" s="2152"/>
      <c r="D61" s="2152"/>
      <c r="E61" s="2152"/>
      <c r="F61" s="2152"/>
      <c r="G61" s="2152"/>
      <c r="H61" s="2152"/>
      <c r="I61" s="2152"/>
      <c r="J61" s="2153"/>
    </row>
    <row r="62" spans="1:10" s="181" customFormat="1" x14ac:dyDescent="0.2">
      <c r="A62" s="253"/>
      <c r="B62" s="2151"/>
      <c r="C62" s="2152"/>
      <c r="D62" s="2152"/>
      <c r="E62" s="2152"/>
      <c r="F62" s="2152"/>
      <c r="G62" s="2152"/>
      <c r="H62" s="2152"/>
      <c r="I62" s="2152"/>
      <c r="J62" s="2153"/>
    </row>
    <row r="63" spans="1:10" s="181" customFormat="1" x14ac:dyDescent="0.2">
      <c r="A63" s="253"/>
      <c r="B63" s="2151"/>
      <c r="C63" s="2152"/>
      <c r="D63" s="2152"/>
      <c r="E63" s="2152"/>
      <c r="F63" s="2152"/>
      <c r="G63" s="2152"/>
      <c r="H63" s="2152"/>
      <c r="I63" s="2152"/>
      <c r="J63" s="2153"/>
    </row>
    <row r="64" spans="1:10" s="181" customFormat="1" x14ac:dyDescent="0.2">
      <c r="A64" s="253"/>
      <c r="B64" s="2151"/>
      <c r="C64" s="2152"/>
      <c r="D64" s="2152"/>
      <c r="E64" s="2152"/>
      <c r="F64" s="2152"/>
      <c r="G64" s="2152"/>
      <c r="H64" s="2152"/>
      <c r="I64" s="2152"/>
      <c r="J64" s="2153"/>
    </row>
    <row r="65" spans="1:10" s="181" customFormat="1" x14ac:dyDescent="0.2">
      <c r="A65" s="253"/>
      <c r="B65" s="2151"/>
      <c r="C65" s="2152"/>
      <c r="D65" s="2152"/>
      <c r="E65" s="2152"/>
      <c r="F65" s="2152"/>
      <c r="G65" s="2152"/>
      <c r="H65" s="2152"/>
      <c r="I65" s="2152"/>
      <c r="J65" s="2153"/>
    </row>
    <row r="66" spans="1:10" s="181" customFormat="1" x14ac:dyDescent="0.2">
      <c r="A66" s="253"/>
      <c r="B66" s="2151"/>
      <c r="C66" s="2152"/>
      <c r="D66" s="2152"/>
      <c r="E66" s="2152"/>
      <c r="F66" s="2152"/>
      <c r="G66" s="2152"/>
      <c r="H66" s="2152"/>
      <c r="I66" s="2152"/>
      <c r="J66" s="2153"/>
    </row>
    <row r="67" spans="1:10" s="181" customFormat="1" ht="9" customHeight="1" x14ac:dyDescent="0.2">
      <c r="A67" s="254"/>
      <c r="B67" s="2154"/>
      <c r="C67" s="2155"/>
      <c r="D67" s="2155"/>
      <c r="E67" s="2155"/>
      <c r="F67" s="2155"/>
      <c r="G67" s="2155"/>
      <c r="H67" s="2155"/>
      <c r="I67" s="2155"/>
      <c r="J67" s="215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1" t="s">
        <v>1323</v>
      </c>
      <c r="B70" s="2144"/>
      <c r="C70" s="2144"/>
      <c r="D70" s="2144"/>
      <c r="E70" s="2145"/>
      <c r="F70" s="2145"/>
      <c r="G70" s="2145"/>
      <c r="H70" s="2145"/>
      <c r="I70" s="214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6" t="s">
        <v>1320</v>
      </c>
      <c r="B83" s="2146"/>
      <c r="C83" s="2146"/>
      <c r="D83" s="214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8"/>
      <c r="C102" s="2129"/>
      <c r="D102" s="2129"/>
      <c r="E102" s="2129"/>
      <c r="F102" s="2129"/>
      <c r="G102" s="2129"/>
      <c r="H102" s="2129"/>
      <c r="I102" s="2130"/>
    </row>
    <row r="103" spans="1:9" s="181" customFormat="1" ht="11.25" customHeight="1" x14ac:dyDescent="0.2">
      <c r="A103" s="316"/>
      <c r="B103" s="2131"/>
      <c r="C103" s="2132"/>
      <c r="D103" s="2132"/>
      <c r="E103" s="2132"/>
      <c r="F103" s="2132"/>
      <c r="G103" s="2132"/>
      <c r="H103" s="2132"/>
      <c r="I103" s="2133"/>
    </row>
    <row r="104" spans="1:9" s="181" customFormat="1" ht="11.25" customHeight="1" x14ac:dyDescent="0.2">
      <c r="A104" s="316"/>
      <c r="B104" s="2131"/>
      <c r="C104" s="2132"/>
      <c r="D104" s="2132"/>
      <c r="E104" s="2132"/>
      <c r="F104" s="2132"/>
      <c r="G104" s="2132"/>
      <c r="H104" s="2132"/>
      <c r="I104" s="2133"/>
    </row>
    <row r="105" spans="1:9" s="181" customFormat="1" x14ac:dyDescent="0.2">
      <c r="A105" s="316"/>
      <c r="B105" s="2131"/>
      <c r="C105" s="2132"/>
      <c r="D105" s="2132"/>
      <c r="E105" s="2132"/>
      <c r="F105" s="2132"/>
      <c r="G105" s="2132"/>
      <c r="H105" s="2132"/>
      <c r="I105" s="2133"/>
    </row>
    <row r="106" spans="1:9" s="181" customFormat="1" ht="11.25" customHeight="1" x14ac:dyDescent="0.2">
      <c r="A106" s="316"/>
      <c r="B106" s="2131"/>
      <c r="C106" s="2132"/>
      <c r="D106" s="2132"/>
      <c r="E106" s="2132"/>
      <c r="F106" s="2132"/>
      <c r="G106" s="2132"/>
      <c r="H106" s="2132"/>
      <c r="I106" s="2133"/>
    </row>
    <row r="107" spans="1:9" s="181" customFormat="1" ht="11.25" customHeight="1" x14ac:dyDescent="0.2">
      <c r="A107" s="316"/>
      <c r="B107" s="2131"/>
      <c r="C107" s="2132"/>
      <c r="D107" s="2132"/>
      <c r="E107" s="2132"/>
      <c r="F107" s="2132"/>
      <c r="G107" s="2132"/>
      <c r="H107" s="2132"/>
      <c r="I107" s="2133"/>
    </row>
    <row r="108" spans="1:9" s="181" customFormat="1" ht="11.25" customHeight="1" x14ac:dyDescent="0.2">
      <c r="A108" s="316"/>
      <c r="B108" s="2131"/>
      <c r="C108" s="2132"/>
      <c r="D108" s="2132"/>
      <c r="E108" s="2132"/>
      <c r="F108" s="2132"/>
      <c r="G108" s="2132"/>
      <c r="H108" s="2132"/>
      <c r="I108" s="2133"/>
    </row>
    <row r="109" spans="1:9" s="181" customFormat="1" ht="11.25" customHeight="1" x14ac:dyDescent="0.2">
      <c r="A109" s="316"/>
      <c r="B109" s="2131"/>
      <c r="C109" s="2132"/>
      <c r="D109" s="2132"/>
      <c r="E109" s="2132"/>
      <c r="F109" s="2132"/>
      <c r="G109" s="2132"/>
      <c r="H109" s="2132"/>
      <c r="I109" s="2133"/>
    </row>
    <row r="110" spans="1:9" s="181" customFormat="1" ht="11.25" customHeight="1" x14ac:dyDescent="0.2">
      <c r="A110" s="316"/>
      <c r="B110" s="2131"/>
      <c r="C110" s="2132"/>
      <c r="D110" s="2132"/>
      <c r="E110" s="2132"/>
      <c r="F110" s="2132"/>
      <c r="G110" s="2132"/>
      <c r="H110" s="2132"/>
      <c r="I110" s="2133"/>
    </row>
    <row r="111" spans="1:9" s="181" customFormat="1" ht="11.25" customHeight="1" x14ac:dyDescent="0.2">
      <c r="A111" s="316"/>
      <c r="B111" s="2131"/>
      <c r="C111" s="2132"/>
      <c r="D111" s="2132"/>
      <c r="E111" s="2132"/>
      <c r="F111" s="2132"/>
      <c r="G111" s="2132"/>
      <c r="H111" s="2132"/>
      <c r="I111" s="2133"/>
    </row>
    <row r="112" spans="1:9" s="181" customFormat="1" ht="11.25" customHeight="1" x14ac:dyDescent="0.2">
      <c r="A112" s="316"/>
      <c r="B112" s="2134"/>
      <c r="C112" s="2135"/>
      <c r="D112" s="2135"/>
      <c r="E112" s="2135"/>
      <c r="F112" s="2135"/>
      <c r="G112" s="2135"/>
      <c r="H112" s="2135"/>
      <c r="I112" s="213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7"/>
      <c r="D114" s="213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8" t="s">
        <v>1330</v>
      </c>
      <c r="D117" s="2139"/>
      <c r="E117" s="2140"/>
      <c r="F117" s="2140"/>
      <c r="G117" s="2140"/>
      <c r="H117" s="2140"/>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1905</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52" colorId="8" zoomScale="110" zoomScaleNormal="110" workbookViewId="0">
      <selection activeCell="B31" sqref="B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7" t="s">
        <v>386</v>
      </c>
      <c r="B1" s="2157"/>
      <c r="C1" s="2157"/>
      <c r="D1" s="2157"/>
      <c r="E1" s="2157"/>
      <c r="F1" s="2157"/>
      <c r="G1" s="2157"/>
      <c r="H1" s="2157"/>
      <c r="I1" s="2157"/>
      <c r="J1" s="2157"/>
      <c r="K1" s="2157"/>
      <c r="L1" s="2157"/>
      <c r="M1" s="215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1094194517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1.7982999999999999E-2</v>
      </c>
      <c r="E10" s="356" t="s">
        <v>1005</v>
      </c>
      <c r="F10" s="355">
        <v>2.4009999999999999E-3</v>
      </c>
      <c r="G10" s="356" t="s">
        <v>1005</v>
      </c>
      <c r="H10" s="355">
        <v>4.6000000000000001E-4</v>
      </c>
      <c r="I10" s="356" t="s">
        <v>1006</v>
      </c>
      <c r="J10" s="1705">
        <f>ROUND(D10+F10+H10,5)</f>
        <v>2.0840000000000001E-2</v>
      </c>
      <c r="K10" s="222"/>
      <c r="L10" s="355">
        <v>1.05E-4</v>
      </c>
      <c r="M10" s="222"/>
    </row>
    <row r="11" spans="1:14" ht="7.5" customHeight="1" x14ac:dyDescent="0.2">
      <c r="B11" s="222"/>
      <c r="C11" s="222"/>
      <c r="D11" s="2167" t="str">
        <f>IF(SUM(J10)&lt;=0.0999999,"","Enter the Tax Rates by moving the decimal two places to the left.")</f>
        <v/>
      </c>
      <c r="E11" s="2168"/>
      <c r="F11" s="2168"/>
      <c r="G11" s="2168"/>
      <c r="H11" s="2168"/>
      <c r="I11" s="2168"/>
      <c r="J11" s="216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33053633</v>
      </c>
      <c r="E16" s="356"/>
      <c r="F16" s="1706">
        <f>SUM('Acct Summary 7-8'!C17,'Acct Summary 7-8'!D17,'Acct Summary 7-8'!F17)</f>
        <v>32213107</v>
      </c>
      <c r="G16" s="356"/>
      <c r="H16" s="1706">
        <f>SUM(D16-F16)</f>
        <v>840526</v>
      </c>
      <c r="I16" s="222"/>
      <c r="J16" s="1706">
        <f>SUM('Acct Summary 7-8'!C81,'Acct Summary 7-8'!D81,'Acct Summary 7-8'!F81,'Acct Summary 7-8'!I81)</f>
        <v>22021651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2139</v>
      </c>
      <c r="C31" s="367" t="s">
        <v>586</v>
      </c>
      <c r="D31" s="237" t="s">
        <v>1072</v>
      </c>
      <c r="E31" s="222"/>
      <c r="F31" s="222"/>
      <c r="G31" s="363"/>
      <c r="H31" s="1708">
        <f>IF(B31="X",(J7*0.069),IF(B32="X",(J7*0.138),"Enter x in a.or b."))</f>
        <v>75499421.673000008</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47890000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8"/>
      <c r="C54" s="2159"/>
      <c r="D54" s="2159"/>
      <c r="E54" s="2159"/>
      <c r="F54" s="2159"/>
      <c r="G54" s="2159"/>
      <c r="H54" s="2159"/>
      <c r="I54" s="2159"/>
      <c r="J54" s="2159"/>
      <c r="K54" s="2159"/>
      <c r="L54" s="2160"/>
      <c r="M54" s="380"/>
    </row>
    <row r="55" spans="1:13" ht="12.75" customHeight="1" x14ac:dyDescent="0.2">
      <c r="B55" s="2161"/>
      <c r="C55" s="2162"/>
      <c r="D55" s="2162"/>
      <c r="E55" s="2162"/>
      <c r="F55" s="2162"/>
      <c r="G55" s="2162"/>
      <c r="H55" s="2162"/>
      <c r="I55" s="2162"/>
      <c r="J55" s="2162"/>
      <c r="K55" s="2162"/>
      <c r="L55" s="2163"/>
      <c r="M55" s="380"/>
    </row>
    <row r="56" spans="1:13" ht="12.75" customHeight="1" x14ac:dyDescent="0.2">
      <c r="B56" s="2161"/>
      <c r="C56" s="2162"/>
      <c r="D56" s="2162"/>
      <c r="E56" s="2162"/>
      <c r="F56" s="2162"/>
      <c r="G56" s="2162"/>
      <c r="H56" s="2162"/>
      <c r="I56" s="2162"/>
      <c r="J56" s="2162"/>
      <c r="K56" s="2162"/>
      <c r="L56" s="2163"/>
      <c r="M56" s="222"/>
    </row>
    <row r="57" spans="1:13" ht="12.75" customHeight="1" x14ac:dyDescent="0.2">
      <c r="B57" s="2161"/>
      <c r="C57" s="2162"/>
      <c r="D57" s="2162"/>
      <c r="E57" s="2162"/>
      <c r="F57" s="2162"/>
      <c r="G57" s="2162"/>
      <c r="H57" s="2162"/>
      <c r="I57" s="2162"/>
      <c r="J57" s="2162"/>
      <c r="K57" s="2162"/>
      <c r="L57" s="2163"/>
      <c r="M57" s="222"/>
    </row>
    <row r="58" spans="1:13" x14ac:dyDescent="0.2">
      <c r="B58" s="2164"/>
      <c r="C58" s="2165"/>
      <c r="D58" s="2165"/>
      <c r="E58" s="2165"/>
      <c r="F58" s="2165"/>
      <c r="G58" s="2165"/>
      <c r="H58" s="2165"/>
      <c r="I58" s="2165"/>
      <c r="J58" s="2165"/>
      <c r="K58" s="2165"/>
      <c r="L58" s="216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9"/>
      <c r="D61" s="217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2"/>
      <c r="B1" s="2173"/>
      <c r="C1" s="2173"/>
      <c r="D1" s="384"/>
      <c r="E1" s="384"/>
      <c r="F1" s="384"/>
      <c r="G1" s="384"/>
      <c r="H1" s="384"/>
      <c r="I1" s="384"/>
      <c r="J1" s="384"/>
      <c r="K1" s="384"/>
      <c r="L1" s="384"/>
      <c r="M1" s="384"/>
      <c r="N1" s="384"/>
      <c r="O1" s="2172"/>
      <c r="P1" s="2173"/>
      <c r="Q1" s="2173"/>
    </row>
    <row r="2" spans="1:18" ht="15" x14ac:dyDescent="0.2">
      <c r="A2" s="2176" t="s">
        <v>556</v>
      </c>
      <c r="B2" s="2176"/>
      <c r="C2" s="2176"/>
      <c r="D2" s="2176"/>
      <c r="E2" s="2176"/>
      <c r="F2" s="2176"/>
      <c r="G2" s="2176"/>
      <c r="H2" s="2176"/>
      <c r="I2" s="2176"/>
      <c r="J2" s="2176"/>
      <c r="K2" s="2176"/>
      <c r="L2" s="2176"/>
      <c r="M2" s="2176"/>
      <c r="N2" s="2176"/>
      <c r="O2" s="2176"/>
      <c r="P2" s="2176"/>
      <c r="Q2" s="2176"/>
      <c r="R2" s="2176"/>
    </row>
    <row r="3" spans="1:18" ht="12.75" x14ac:dyDescent="0.2">
      <c r="A3" s="2177" t="s">
        <v>1413</v>
      </c>
      <c r="B3" s="2177"/>
      <c r="C3" s="2177"/>
      <c r="D3" s="2177"/>
      <c r="E3" s="2177"/>
      <c r="F3" s="2177"/>
      <c r="G3" s="2177"/>
      <c r="H3" s="2177"/>
      <c r="I3" s="2177"/>
      <c r="J3" s="2177"/>
      <c r="K3" s="2177"/>
      <c r="L3" s="2177"/>
      <c r="M3" s="2177"/>
      <c r="N3" s="2177"/>
      <c r="O3" s="2177"/>
      <c r="P3" s="2177"/>
      <c r="Q3" s="2177"/>
      <c r="R3" s="2177"/>
    </row>
    <row r="4" spans="1:18" x14ac:dyDescent="0.2">
      <c r="A4" s="2178" t="s">
        <v>1554</v>
      </c>
      <c r="B4" s="2178"/>
      <c r="C4" s="2178"/>
      <c r="D4" s="2178"/>
      <c r="E4" s="2178"/>
      <c r="F4" s="2178"/>
      <c r="G4" s="2178"/>
      <c r="H4" s="2178"/>
      <c r="I4" s="2178"/>
      <c r="J4" s="2178"/>
      <c r="K4" s="2178"/>
      <c r="L4" s="2178"/>
      <c r="M4" s="2178"/>
      <c r="N4" s="2178"/>
      <c r="O4" s="2178"/>
      <c r="P4" s="2178"/>
      <c r="Q4" s="2178"/>
      <c r="R4" s="217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McHenry CHSD 156</v>
      </c>
      <c r="E7" s="391"/>
      <c r="G7" s="252"/>
      <c r="H7" s="387"/>
      <c r="I7" s="387"/>
      <c r="J7" s="387"/>
      <c r="K7" s="387"/>
      <c r="L7" s="329"/>
      <c r="M7" s="329"/>
      <c r="N7" s="329"/>
      <c r="O7" s="329"/>
      <c r="P7" s="329"/>
    </row>
    <row r="8" spans="1:18" ht="12.75" x14ac:dyDescent="0.2">
      <c r="A8" s="329"/>
      <c r="B8" s="329"/>
      <c r="C8" s="389" t="s">
        <v>1125</v>
      </c>
      <c r="D8" s="392">
        <f>COVER!A13</f>
        <v>44063156016</v>
      </c>
      <c r="E8" s="393"/>
      <c r="G8" s="329"/>
      <c r="H8" s="329"/>
      <c r="I8" s="329"/>
      <c r="J8" s="329"/>
      <c r="K8" s="329"/>
      <c r="L8" s="329"/>
      <c r="M8" s="329"/>
      <c r="N8" s="329"/>
      <c r="O8" s="329"/>
      <c r="P8" s="329"/>
    </row>
    <row r="9" spans="1:18" ht="12.75" x14ac:dyDescent="0.2">
      <c r="A9" s="329"/>
      <c r="B9" s="329"/>
      <c r="C9" s="389" t="s">
        <v>713</v>
      </c>
      <c r="D9" s="394" t="str">
        <f>COVER!A15</f>
        <v xml:space="preserve">MCHENRY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22021651</v>
      </c>
      <c r="I12" s="404"/>
      <c r="J12" s="404"/>
      <c r="K12" s="405">
        <f>TRUNC((H12/H13*100000),5)/100000</f>
        <v>0.66623995609999997</v>
      </c>
      <c r="L12" s="406"/>
      <c r="M12" s="360" t="s">
        <v>1144</v>
      </c>
      <c r="N12" s="360"/>
      <c r="O12" s="407">
        <v>0.35</v>
      </c>
      <c r="P12" s="218"/>
      <c r="Q12" s="218"/>
    </row>
    <row r="13" spans="1:18" s="408" customFormat="1" ht="12.75" x14ac:dyDescent="0.2">
      <c r="A13" s="218"/>
      <c r="B13" s="401"/>
      <c r="C13" s="2174" t="s">
        <v>1324</v>
      </c>
      <c r="D13" s="2175"/>
      <c r="E13" s="218"/>
      <c r="F13" s="409" t="s">
        <v>793</v>
      </c>
      <c r="G13" s="402"/>
      <c r="H13" s="403">
        <f>SUM('Acct Summary 7-8'!C8+'Acct Summary 7-8'!D8+'Acct Summary 7-8'!F8+'Acct Summary 7-8'!I8)+H14</f>
        <v>33053633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32213107</v>
      </c>
      <c r="I17" s="404"/>
      <c r="J17" s="416"/>
      <c r="K17" s="405">
        <f>TRUNC((H17/H18*100000),5)/100000</f>
        <v>0.9745708435999999</v>
      </c>
      <c r="L17" s="406"/>
      <c r="M17" s="417" t="s">
        <v>1171</v>
      </c>
      <c r="O17" s="418" t="str">
        <f>IF(AND(O16="2", J20 &gt; 2),"1",IF(AND(O16 = "1", J20 &gt; 2),"2",IF(AND(O16="1", J20 &gt;1),"1","0")))</f>
        <v>0</v>
      </c>
      <c r="P17" s="218"/>
    </row>
    <row r="18" spans="1:18" s="408" customFormat="1" ht="11.25" x14ac:dyDescent="0.2">
      <c r="A18" s="218"/>
      <c r="B18" s="401"/>
      <c r="C18" s="2174" t="s">
        <v>1317</v>
      </c>
      <c r="D18" s="2175"/>
      <c r="E18" s="218"/>
      <c r="F18" s="419" t="s">
        <v>794</v>
      </c>
      <c r="G18" s="402"/>
      <c r="H18" s="403">
        <f>SUM('Acct Summary 7-8'!C8+'Acct Summary 7-8'!D8+'Acct Summary 7-8'!F8+'Acct Summary 7-8'!I8)+H19</f>
        <v>33053633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71" t="s">
        <v>1412</v>
      </c>
      <c r="D24" s="2171"/>
      <c r="E24" s="218"/>
      <c r="F24" s="218" t="s">
        <v>445</v>
      </c>
      <c r="G24" s="402"/>
      <c r="H24" s="403">
        <f>SUM('Assets-Liab 5-6'!C4+'Assets-Liab 5-6'!D4+'Assets-Liab 5-6'!F4+'Assets-Liab 5-6'!I4+'Assets-Liab 5-6'!C5+'Assets-Liab 5-6'!D5+'Assets-Liab 5-6'!F5+'Assets-Liab 5-6'!I5)</f>
        <v>22022821</v>
      </c>
      <c r="I24" s="422"/>
      <c r="J24" s="422"/>
      <c r="K24" s="423">
        <f>TRUNC(((H24/H25*100000)/100000),2)</f>
        <v>246.11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89480.852780000001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19382561.674139999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47890000</v>
      </c>
      <c r="I32" s="420"/>
      <c r="J32" s="420"/>
      <c r="K32" s="423">
        <f>TRUNC(100-((((H32/H33*100))*100)/100),2)</f>
        <v>36.56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75499421.673000008</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15" activePane="bottomLeft" state="frozen"/>
      <selection activeCell="AF22" sqref="AF22"/>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1" t="s">
        <v>973</v>
      </c>
      <c r="B3" s="2182"/>
      <c r="C3" s="1532"/>
      <c r="D3" s="1533"/>
      <c r="E3" s="1533"/>
      <c r="F3" s="1533"/>
      <c r="G3" s="1533"/>
      <c r="H3" s="1533"/>
      <c r="I3" s="1533"/>
      <c r="J3" s="1533"/>
      <c r="K3" s="1533"/>
      <c r="L3" s="1533"/>
      <c r="M3" s="1534"/>
      <c r="N3" s="1535"/>
    </row>
    <row r="4" spans="1:14" ht="13.5" customHeight="1" x14ac:dyDescent="0.2">
      <c r="A4" s="463" t="s">
        <v>1651</v>
      </c>
      <c r="B4" s="464"/>
      <c r="C4" s="1910">
        <v>5432567</v>
      </c>
      <c r="D4" s="1911">
        <v>415195</v>
      </c>
      <c r="E4" s="1911">
        <v>2325075</v>
      </c>
      <c r="F4" s="1911">
        <v>141927</v>
      </c>
      <c r="G4" s="1911">
        <v>101085</v>
      </c>
      <c r="H4" s="1911">
        <v>11639519</v>
      </c>
      <c r="I4" s="1911">
        <v>760182</v>
      </c>
      <c r="J4" s="1912">
        <v>14115</v>
      </c>
      <c r="K4" s="1991">
        <v>0</v>
      </c>
      <c r="L4" s="1911">
        <v>216042</v>
      </c>
      <c r="M4" s="467"/>
      <c r="N4" s="468"/>
    </row>
    <row r="5" spans="1:14" x14ac:dyDescent="0.2">
      <c r="A5" s="463" t="s">
        <v>992</v>
      </c>
      <c r="B5" s="469">
        <v>120</v>
      </c>
      <c r="C5" s="1910">
        <v>13446992</v>
      </c>
      <c r="D5" s="1911">
        <v>1371022</v>
      </c>
      <c r="E5" s="1911">
        <v>1796130</v>
      </c>
      <c r="F5" s="1911">
        <v>412113</v>
      </c>
      <c r="G5" s="1911">
        <v>293518</v>
      </c>
      <c r="H5" s="1911">
        <v>31456544</v>
      </c>
      <c r="I5" s="1911">
        <v>42823</v>
      </c>
      <c r="J5" s="1912">
        <v>48791</v>
      </c>
      <c r="K5" s="1913"/>
      <c r="L5" s="470">
        <v>70000</v>
      </c>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18879559</v>
      </c>
      <c r="D13" s="1710">
        <f t="shared" ref="D13:L13" si="0">SUM(D4:D12)</f>
        <v>1786217</v>
      </c>
      <c r="E13" s="1710">
        <f t="shared" si="0"/>
        <v>4121205</v>
      </c>
      <c r="F13" s="1710">
        <f t="shared" si="0"/>
        <v>554040</v>
      </c>
      <c r="G13" s="1710">
        <f t="shared" si="0"/>
        <v>394603</v>
      </c>
      <c r="H13" s="1710">
        <f t="shared" si="0"/>
        <v>43096063</v>
      </c>
      <c r="I13" s="1710">
        <f t="shared" si="0"/>
        <v>803005</v>
      </c>
      <c r="J13" s="1710">
        <f t="shared" si="0"/>
        <v>62906</v>
      </c>
      <c r="K13" s="1710">
        <f t="shared" si="0"/>
        <v>0</v>
      </c>
      <c r="L13" s="1710">
        <f t="shared" si="0"/>
        <v>286042</v>
      </c>
      <c r="M13" s="467"/>
      <c r="N13" s="468"/>
    </row>
    <row r="14" spans="1:14" ht="18" customHeight="1" thickTop="1" x14ac:dyDescent="0.2">
      <c r="A14" s="2183" t="s">
        <v>147</v>
      </c>
      <c r="B14" s="2184"/>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3150000</v>
      </c>
      <c r="N16" s="480"/>
    </row>
    <row r="17" spans="1:14" s="481" customFormat="1" ht="12.75" customHeight="1" x14ac:dyDescent="0.2">
      <c r="A17" s="478" t="s">
        <v>1403</v>
      </c>
      <c r="B17" s="479">
        <v>230</v>
      </c>
      <c r="C17" s="473"/>
      <c r="D17" s="473"/>
      <c r="E17" s="473"/>
      <c r="F17" s="473"/>
      <c r="G17" s="473"/>
      <c r="H17" s="473"/>
      <c r="I17" s="473"/>
      <c r="J17" s="473"/>
      <c r="K17" s="473"/>
      <c r="L17" s="473"/>
      <c r="M17" s="1912">
        <v>29456245</v>
      </c>
      <c r="N17" s="480"/>
    </row>
    <row r="18" spans="1:14" s="481" customFormat="1" ht="12.75" customHeight="1" x14ac:dyDescent="0.2">
      <c r="A18" s="478" t="s">
        <v>1404</v>
      </c>
      <c r="B18" s="479">
        <v>240</v>
      </c>
      <c r="C18" s="473"/>
      <c r="D18" s="473"/>
      <c r="E18" s="473"/>
      <c r="F18" s="473"/>
      <c r="G18" s="473"/>
      <c r="H18" s="473"/>
      <c r="I18" s="473"/>
      <c r="J18" s="473"/>
      <c r="K18" s="473"/>
      <c r="L18" s="473"/>
      <c r="M18" s="1912">
        <v>4107233</v>
      </c>
      <c r="N18" s="480"/>
    </row>
    <row r="19" spans="1:14" s="481" customFormat="1" ht="12.75" customHeight="1" x14ac:dyDescent="0.2">
      <c r="A19" s="478" t="s">
        <v>1405</v>
      </c>
      <c r="B19" s="479">
        <v>250</v>
      </c>
      <c r="C19" s="473"/>
      <c r="D19" s="473"/>
      <c r="E19" s="473"/>
      <c r="F19" s="473"/>
      <c r="G19" s="473"/>
      <c r="H19" s="473"/>
      <c r="I19" s="473"/>
      <c r="J19" s="473"/>
      <c r="K19" s="473"/>
      <c r="L19" s="473"/>
      <c r="M19" s="1912">
        <v>1606616</v>
      </c>
      <c r="N19" s="480"/>
    </row>
    <row r="20" spans="1:14" s="481" customFormat="1" ht="12.75" customHeight="1" x14ac:dyDescent="0.2">
      <c r="A20" s="478" t="s">
        <v>1406</v>
      </c>
      <c r="B20" s="479">
        <v>260</v>
      </c>
      <c r="C20" s="473"/>
      <c r="D20" s="473"/>
      <c r="E20" s="473"/>
      <c r="F20" s="473"/>
      <c r="G20" s="473"/>
      <c r="H20" s="473"/>
      <c r="I20" s="473"/>
      <c r="J20" s="473"/>
      <c r="K20" s="473"/>
      <c r="L20" s="473"/>
      <c r="M20" s="1912">
        <v>1895404</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4121205</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43768795</v>
      </c>
    </row>
    <row r="23" spans="1:14" ht="13.5" customHeight="1" thickBot="1" x14ac:dyDescent="0.25">
      <c r="A23" s="1709" t="s">
        <v>643</v>
      </c>
      <c r="B23" s="1714"/>
      <c r="C23" s="467"/>
      <c r="D23" s="467"/>
      <c r="E23" s="467"/>
      <c r="F23" s="467"/>
      <c r="G23" s="467"/>
      <c r="H23" s="467"/>
      <c r="I23" s="467"/>
      <c r="J23" s="467"/>
      <c r="K23" s="467"/>
      <c r="L23" s="467"/>
      <c r="M23" s="1661">
        <f>SUM(M15:M22)</f>
        <v>40215498</v>
      </c>
      <c r="N23" s="1661">
        <f>SUM(N21:N22)</f>
        <v>47890000</v>
      </c>
    </row>
    <row r="24" spans="1:14" ht="18" customHeight="1" thickTop="1" x14ac:dyDescent="0.2">
      <c r="A24" s="2185" t="s">
        <v>598</v>
      </c>
      <c r="B24" s="2186"/>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1170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0</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286042</v>
      </c>
      <c r="M33" s="467"/>
      <c r="N33" s="468"/>
    </row>
    <row r="34" spans="1:14" ht="13.5" customHeight="1" thickBot="1" x14ac:dyDescent="0.25">
      <c r="A34" s="1711" t="s">
        <v>654</v>
      </c>
      <c r="B34" s="1712"/>
      <c r="C34" s="1713">
        <f>SUM(C25:C33)</f>
        <v>1170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286042</v>
      </c>
      <c r="M34" s="467"/>
      <c r="N34" s="476"/>
    </row>
    <row r="35" spans="1:14" ht="18" customHeight="1" thickTop="1" x14ac:dyDescent="0.2">
      <c r="A35" s="2187" t="s">
        <v>529</v>
      </c>
      <c r="B35" s="2188"/>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47890000</v>
      </c>
    </row>
    <row r="37" spans="1:14" ht="13.5" thickBot="1" x14ac:dyDescent="0.25">
      <c r="A37" s="1709" t="s">
        <v>653</v>
      </c>
      <c r="B37" s="1714"/>
      <c r="C37" s="473"/>
      <c r="D37" s="473"/>
      <c r="E37" s="473"/>
      <c r="F37" s="473"/>
      <c r="G37" s="473"/>
      <c r="H37" s="473"/>
      <c r="I37" s="473"/>
      <c r="J37" s="473"/>
      <c r="K37" s="473"/>
      <c r="L37" s="476"/>
      <c r="M37" s="467"/>
      <c r="N37" s="1661">
        <f>SUM(N36:N36)</f>
        <v>47890000</v>
      </c>
    </row>
    <row r="38" spans="1:14" s="329" customFormat="1" ht="13.5" customHeight="1" thickTop="1" x14ac:dyDescent="0.2">
      <c r="A38" s="489" t="s">
        <v>420</v>
      </c>
      <c r="B38" s="479">
        <v>714</v>
      </c>
      <c r="C38" s="1911">
        <v>305616</v>
      </c>
      <c r="D38" s="1911"/>
      <c r="E38" s="1911"/>
      <c r="F38" s="1911"/>
      <c r="G38" s="1911">
        <v>233003</v>
      </c>
      <c r="H38" s="1911">
        <v>692817</v>
      </c>
      <c r="I38" s="1911"/>
      <c r="J38" s="1912"/>
      <c r="K38" s="1911"/>
      <c r="L38" s="477"/>
      <c r="M38" s="490"/>
      <c r="N38" s="490"/>
    </row>
    <row r="39" spans="1:14" s="329" customFormat="1" ht="13.5" customHeight="1" x14ac:dyDescent="0.2">
      <c r="A39" s="489" t="s">
        <v>342</v>
      </c>
      <c r="B39" s="479">
        <v>730</v>
      </c>
      <c r="C39" s="1911">
        <v>18572773</v>
      </c>
      <c r="D39" s="1911">
        <v>1786217</v>
      </c>
      <c r="E39" s="1911">
        <v>4121205</v>
      </c>
      <c r="F39" s="1911">
        <v>554040</v>
      </c>
      <c r="G39" s="1911">
        <v>161600</v>
      </c>
      <c r="H39" s="1911">
        <v>42403246</v>
      </c>
      <c r="I39" s="1911">
        <v>803005</v>
      </c>
      <c r="J39" s="1912">
        <v>62906</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40215498</v>
      </c>
      <c r="N40" s="490"/>
    </row>
    <row r="41" spans="1:14" ht="13.5" customHeight="1" thickBot="1" x14ac:dyDescent="0.25">
      <c r="A41" s="1709" t="s">
        <v>655</v>
      </c>
      <c r="B41" s="1679"/>
      <c r="C41" s="1661">
        <f>(SUM(C34,C37,C38,C39))</f>
        <v>18879559</v>
      </c>
      <c r="D41" s="1661">
        <f t="shared" ref="D41:L41" si="2">SUM(D34,D37,D38:D39)</f>
        <v>1786217</v>
      </c>
      <c r="E41" s="1661">
        <f t="shared" si="2"/>
        <v>4121205</v>
      </c>
      <c r="F41" s="1661">
        <f t="shared" si="2"/>
        <v>554040</v>
      </c>
      <c r="G41" s="1661">
        <f t="shared" si="2"/>
        <v>394603</v>
      </c>
      <c r="H41" s="1661">
        <f t="shared" si="2"/>
        <v>43096063</v>
      </c>
      <c r="I41" s="1661">
        <f t="shared" si="2"/>
        <v>803005</v>
      </c>
      <c r="J41" s="1661">
        <f t="shared" si="2"/>
        <v>62906</v>
      </c>
      <c r="K41" s="1661">
        <f t="shared" si="2"/>
        <v>0</v>
      </c>
      <c r="L41" s="1661">
        <f t="shared" si="2"/>
        <v>286042</v>
      </c>
      <c r="M41" s="1661">
        <f>SUM(M40)</f>
        <v>40215498</v>
      </c>
      <c r="N41" s="1661">
        <f>SUM(N37)</f>
        <v>47890000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66" activePane="bottomLeft" state="frozen"/>
      <selection activeCell="AF22" sqref="AF22"/>
      <selection pane="bottomLeft" activeCell="C79" sqref="C79:K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7"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8"/>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9" t="s">
        <v>1175</v>
      </c>
      <c r="B3" s="2210"/>
      <c r="C3" s="1546"/>
      <c r="D3" s="1547"/>
      <c r="E3" s="1547"/>
      <c r="F3" s="1547"/>
      <c r="G3" s="1547"/>
      <c r="H3" s="1547"/>
      <c r="I3" s="1547"/>
      <c r="J3" s="1547"/>
      <c r="K3" s="1548"/>
      <c r="L3" s="499"/>
    </row>
    <row r="4" spans="1:13" ht="15.75" customHeight="1" x14ac:dyDescent="0.2">
      <c r="A4" s="1901" t="s">
        <v>1499</v>
      </c>
      <c r="B4" s="1902">
        <v>1000</v>
      </c>
      <c r="C4" s="1715">
        <f>'Revenues 9-14'!C109</f>
        <v>21519065</v>
      </c>
      <c r="D4" s="1715">
        <f>'Revenues 9-14'!D109</f>
        <v>2556897</v>
      </c>
      <c r="E4" s="1715">
        <f>'Revenues 9-14'!E109</f>
        <v>4587757</v>
      </c>
      <c r="F4" s="1715">
        <f>'Revenues 9-14'!F109</f>
        <v>529660</v>
      </c>
      <c r="G4" s="1715">
        <f>'Revenues 9-14'!G109</f>
        <v>893869</v>
      </c>
      <c r="H4" s="1715">
        <f>'Revenues 9-14'!H109</f>
        <v>134904</v>
      </c>
      <c r="I4" s="1715">
        <f>'Revenues 9-14'!I109</f>
        <v>112046</v>
      </c>
      <c r="J4" s="1715">
        <f>'Revenues 9-14'!J109</f>
        <v>127674</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6124923</v>
      </c>
      <c r="D6" s="1716">
        <f>'Revenues 9-14'!D170</f>
        <v>0</v>
      </c>
      <c r="E6" s="1716">
        <f>'Revenues 9-14'!E170</f>
        <v>0</v>
      </c>
      <c r="F6" s="1716">
        <f>'Revenues 9-14'!F170</f>
        <v>808783</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1402259</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29046247</v>
      </c>
      <c r="D8" s="1661">
        <f t="shared" ref="D8:K8" si="0">SUM(D4:D7)</f>
        <v>2556897</v>
      </c>
      <c r="E8" s="1661">
        <f t="shared" si="0"/>
        <v>4587757</v>
      </c>
      <c r="F8" s="1661">
        <f t="shared" si="0"/>
        <v>1338443</v>
      </c>
      <c r="G8" s="1661">
        <f t="shared" si="0"/>
        <v>893869</v>
      </c>
      <c r="H8" s="1661">
        <f t="shared" si="0"/>
        <v>134904</v>
      </c>
      <c r="I8" s="1661">
        <f t="shared" si="0"/>
        <v>112046</v>
      </c>
      <c r="J8" s="1661">
        <f t="shared" si="0"/>
        <v>127674</v>
      </c>
      <c r="K8" s="1661">
        <f t="shared" si="0"/>
        <v>0</v>
      </c>
      <c r="L8" s="347"/>
    </row>
    <row r="9" spans="1:13" ht="15.75" thickTop="1" x14ac:dyDescent="0.2">
      <c r="A9" s="507" t="s">
        <v>1653</v>
      </c>
      <c r="B9" s="508">
        <v>3998</v>
      </c>
      <c r="C9" s="477">
        <v>10480729</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39526976</v>
      </c>
      <c r="D10" s="1661">
        <f t="shared" ref="D10:K10" si="1">SUM(D8:D9)</f>
        <v>2556897</v>
      </c>
      <c r="E10" s="1661">
        <f t="shared" si="1"/>
        <v>4587757</v>
      </c>
      <c r="F10" s="1661">
        <f t="shared" si="1"/>
        <v>1338443</v>
      </c>
      <c r="G10" s="1661">
        <f t="shared" si="1"/>
        <v>893869</v>
      </c>
      <c r="H10" s="1661">
        <f t="shared" si="1"/>
        <v>134904</v>
      </c>
      <c r="I10" s="1661">
        <f t="shared" si="1"/>
        <v>112046</v>
      </c>
      <c r="J10" s="1661">
        <f t="shared" si="1"/>
        <v>127674</v>
      </c>
      <c r="K10" s="1661">
        <f t="shared" si="1"/>
        <v>0</v>
      </c>
      <c r="L10" s="511"/>
    </row>
    <row r="11" spans="1:13" s="512" customFormat="1" ht="16.7" customHeight="1" thickTop="1" x14ac:dyDescent="0.2">
      <c r="A11" s="2183" t="s">
        <v>1176</v>
      </c>
      <c r="B11" s="2184"/>
      <c r="C11" s="1543"/>
      <c r="D11" s="1544"/>
      <c r="E11" s="1544"/>
      <c r="F11" s="1544"/>
      <c r="G11" s="1544"/>
      <c r="H11" s="1544"/>
      <c r="I11" s="1544"/>
      <c r="J11" s="1544"/>
      <c r="K11" s="1545"/>
      <c r="L11" s="511"/>
    </row>
    <row r="12" spans="1:13" ht="15.75" customHeight="1" x14ac:dyDescent="0.2">
      <c r="A12" s="1549" t="s">
        <v>456</v>
      </c>
      <c r="B12" s="1551">
        <v>1000</v>
      </c>
      <c r="C12" s="1715">
        <f>'Expenditures 15-22'!K33</f>
        <v>18153107</v>
      </c>
      <c r="D12" s="513" t="s">
        <v>1169</v>
      </c>
      <c r="E12" s="467" t="s">
        <v>1169</v>
      </c>
      <c r="F12" s="467" t="s">
        <v>1169</v>
      </c>
      <c r="G12" s="1715">
        <f>'Expenditures 15-22'!K229</f>
        <v>295388</v>
      </c>
      <c r="H12" s="514"/>
      <c r="I12" s="467" t="s">
        <v>1169</v>
      </c>
      <c r="J12" s="467" t="s">
        <v>1169</v>
      </c>
      <c r="K12" s="514" t="s">
        <v>1169</v>
      </c>
      <c r="L12" s="347"/>
    </row>
    <row r="13" spans="1:13" ht="15.75" customHeight="1" x14ac:dyDescent="0.2">
      <c r="A13" s="1549" t="s">
        <v>457</v>
      </c>
      <c r="B13" s="1551">
        <v>2000</v>
      </c>
      <c r="C13" s="1716">
        <f>'Expenditures 15-22'!K74</f>
        <v>7420238</v>
      </c>
      <c r="D13" s="1716">
        <f>'Expenditures 15-22'!K129</f>
        <v>4411119</v>
      </c>
      <c r="E13" s="468" t="s">
        <v>1169</v>
      </c>
      <c r="F13" s="1716">
        <f>'Expenditures 15-22'!K184</f>
        <v>1421481</v>
      </c>
      <c r="G13" s="1716">
        <f>'Expenditures 15-22'!K279</f>
        <v>547326</v>
      </c>
      <c r="H13" s="1716">
        <f>'Expenditures 15-22'!K303</f>
        <v>1811337</v>
      </c>
      <c r="I13" s="467" t="s">
        <v>1169</v>
      </c>
      <c r="J13" s="1716">
        <f>'Expenditures 15-22'!K330</f>
        <v>179936</v>
      </c>
      <c r="K13" s="1720">
        <f>'Expenditures 15-22'!K352</f>
        <v>0</v>
      </c>
      <c r="L13" s="347"/>
    </row>
    <row r="14" spans="1:13" ht="15.75" customHeight="1" x14ac:dyDescent="0.2">
      <c r="A14" s="1549" t="s">
        <v>449</v>
      </c>
      <c r="B14" s="1551">
        <v>3000</v>
      </c>
      <c r="C14" s="1716">
        <f>'Expenditures 15-22'!K75</f>
        <v>214063</v>
      </c>
      <c r="D14" s="1716">
        <f>'Expenditures 15-22'!K130</f>
        <v>0</v>
      </c>
      <c r="E14" s="513" t="s">
        <v>1169</v>
      </c>
      <c r="F14" s="1716">
        <f>'Expenditures 15-22'!K185</f>
        <v>0</v>
      </c>
      <c r="G14" s="1716">
        <f>'Expenditures 15-22'!K280</f>
        <v>17035</v>
      </c>
      <c r="H14" s="505"/>
      <c r="I14" s="467" t="s">
        <v>1169</v>
      </c>
      <c r="J14" s="467" t="s">
        <v>1169</v>
      </c>
      <c r="K14" s="505" t="s">
        <v>1169</v>
      </c>
      <c r="L14" s="347"/>
    </row>
    <row r="15" spans="1:13" ht="15.75" customHeight="1" x14ac:dyDescent="0.2">
      <c r="A15" s="1549" t="s">
        <v>107</v>
      </c>
      <c r="B15" s="1551">
        <v>4000</v>
      </c>
      <c r="C15" s="1716">
        <f>'Expenditures 15-22'!K102</f>
        <v>593099</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5086607</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26380507</v>
      </c>
      <c r="D17" s="1661">
        <f t="shared" si="2"/>
        <v>4411119</v>
      </c>
      <c r="E17" s="1661">
        <f t="shared" si="2"/>
        <v>5086607</v>
      </c>
      <c r="F17" s="1661">
        <f t="shared" si="2"/>
        <v>1421481</v>
      </c>
      <c r="G17" s="1661">
        <f t="shared" si="2"/>
        <v>859749</v>
      </c>
      <c r="H17" s="1661">
        <f t="shared" si="2"/>
        <v>1811337</v>
      </c>
      <c r="I17" s="467"/>
      <c r="J17" s="1661">
        <f>SUM(J12:J16)</f>
        <v>179936</v>
      </c>
      <c r="K17" s="1661">
        <f>SUM(K12:K16)</f>
        <v>0</v>
      </c>
      <c r="L17" s="347"/>
    </row>
    <row r="18" spans="1:12" ht="15" customHeight="1" thickTop="1" x14ac:dyDescent="0.2">
      <c r="A18" s="1717" t="s">
        <v>1654</v>
      </c>
      <c r="B18" s="1718">
        <v>4180</v>
      </c>
      <c r="C18" s="1715">
        <f t="shared" ref="C18:H18" si="3">C9</f>
        <v>10480729</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36861236</v>
      </c>
      <c r="D19" s="1661">
        <f t="shared" si="4"/>
        <v>4411119</v>
      </c>
      <c r="E19" s="1661">
        <f t="shared" si="4"/>
        <v>5086607</v>
      </c>
      <c r="F19" s="1661">
        <f t="shared" si="4"/>
        <v>1421481</v>
      </c>
      <c r="G19" s="1661">
        <f t="shared" si="4"/>
        <v>859749</v>
      </c>
      <c r="H19" s="1661">
        <f t="shared" si="4"/>
        <v>1811337</v>
      </c>
      <c r="I19" s="467"/>
      <c r="J19" s="1661">
        <f>SUM(J17:J18)</f>
        <v>179936</v>
      </c>
      <c r="K19" s="1661">
        <f>SUM(K17:K18)</f>
        <v>0</v>
      </c>
      <c r="L19" s="347"/>
    </row>
    <row r="20" spans="1:12" ht="16.5" thickTop="1" thickBot="1" x14ac:dyDescent="0.25">
      <c r="A20" s="2199" t="s">
        <v>1655</v>
      </c>
      <c r="B20" s="2200"/>
      <c r="C20" s="1719">
        <f>C8-C17</f>
        <v>2665740</v>
      </c>
      <c r="D20" s="1719">
        <f t="shared" ref="D20:K20" si="5">D8-D17</f>
        <v>-1854222</v>
      </c>
      <c r="E20" s="1719">
        <f t="shared" si="5"/>
        <v>-498850</v>
      </c>
      <c r="F20" s="1719">
        <f t="shared" si="5"/>
        <v>-83038</v>
      </c>
      <c r="G20" s="1719">
        <f t="shared" si="5"/>
        <v>34120</v>
      </c>
      <c r="H20" s="1719">
        <f t="shared" si="5"/>
        <v>-1676433</v>
      </c>
      <c r="I20" s="1719">
        <f t="shared" si="5"/>
        <v>112046</v>
      </c>
      <c r="J20" s="1719">
        <f t="shared" si="5"/>
        <v>-52262</v>
      </c>
      <c r="K20" s="1719">
        <f t="shared" si="5"/>
        <v>0</v>
      </c>
      <c r="L20" s="347"/>
    </row>
    <row r="21" spans="1:12" ht="16.7" customHeight="1" thickTop="1" x14ac:dyDescent="0.2">
      <c r="A21" s="2211" t="s">
        <v>595</v>
      </c>
      <c r="B21" s="2212"/>
      <c r="C21" s="1543"/>
      <c r="D21" s="1544"/>
      <c r="E21" s="1544"/>
      <c r="F21" s="1544"/>
      <c r="G21" s="1544"/>
      <c r="H21" s="1544"/>
      <c r="I21" s="1544"/>
      <c r="J21" s="1544"/>
      <c r="K21" s="1545"/>
      <c r="L21" s="517"/>
    </row>
    <row r="22" spans="1:12" ht="15.75" customHeight="1" collapsed="1" x14ac:dyDescent="0.2">
      <c r="A22" s="2207" t="s">
        <v>596</v>
      </c>
      <c r="B22" s="2208"/>
      <c r="C22" s="473"/>
      <c r="D22" s="473"/>
      <c r="E22" s="473"/>
      <c r="F22" s="473"/>
      <c r="G22" s="473"/>
      <c r="H22" s="473"/>
      <c r="I22" s="473"/>
      <c r="J22" s="473"/>
      <c r="K22" s="473"/>
      <c r="L22" s="347"/>
    </row>
    <row r="23" spans="1:12" s="481" customFormat="1" ht="15.75" customHeight="1" x14ac:dyDescent="0.2">
      <c r="A23" s="2203" t="s">
        <v>293</v>
      </c>
      <c r="B23" s="2204"/>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1793</v>
      </c>
      <c r="B30" s="520">
        <v>7160</v>
      </c>
      <c r="C30" s="473"/>
      <c r="D30" s="1922">
        <v>0</v>
      </c>
      <c r="E30" s="473"/>
      <c r="F30" s="473"/>
      <c r="G30" s="473"/>
      <c r="H30" s="473"/>
      <c r="I30" s="473"/>
      <c r="J30" s="473"/>
      <c r="K30" s="473"/>
      <c r="L30" s="517"/>
    </row>
    <row r="31" spans="1:12" s="481" customFormat="1" ht="26.25" x14ac:dyDescent="0.2">
      <c r="A31" s="1462" t="s">
        <v>1797</v>
      </c>
      <c r="B31" s="520">
        <v>7170</v>
      </c>
      <c r="C31" s="473"/>
      <c r="D31" s="473"/>
      <c r="E31" s="1923">
        <v>0</v>
      </c>
      <c r="F31" s="473"/>
      <c r="G31" s="473"/>
      <c r="H31" s="473"/>
      <c r="I31" s="473"/>
      <c r="J31" s="473"/>
      <c r="K31" s="473"/>
      <c r="L31" s="517"/>
    </row>
    <row r="32" spans="1:12" s="481" customFormat="1" ht="15.75" customHeight="1" x14ac:dyDescent="0.2">
      <c r="A32" s="2205" t="s">
        <v>981</v>
      </c>
      <c r="B32" s="2206"/>
      <c r="C32" s="473"/>
      <c r="D32" s="473"/>
      <c r="E32" s="472"/>
      <c r="F32" s="473"/>
      <c r="G32" s="473"/>
      <c r="H32" s="473"/>
      <c r="I32" s="473"/>
      <c r="J32" s="473"/>
      <c r="K32" s="473"/>
      <c r="L32" s="517"/>
    </row>
    <row r="33" spans="1:12" s="481" customFormat="1" x14ac:dyDescent="0.2">
      <c r="A33" s="1462" t="s">
        <v>412</v>
      </c>
      <c r="B33" s="518">
        <v>7210</v>
      </c>
      <c r="C33" s="1922">
        <v>0</v>
      </c>
      <c r="D33" s="1922">
        <v>0</v>
      </c>
      <c r="E33" s="1922">
        <v>2038790</v>
      </c>
      <c r="F33" s="1922">
        <v>0</v>
      </c>
      <c r="G33" s="473"/>
      <c r="H33" s="1922">
        <v>41186210</v>
      </c>
      <c r="I33" s="1922">
        <v>0</v>
      </c>
      <c r="J33" s="1922">
        <v>0</v>
      </c>
      <c r="K33" s="1922">
        <v>0</v>
      </c>
      <c r="L33" s="517"/>
    </row>
    <row r="34" spans="1:12" s="481" customFormat="1" x14ac:dyDescent="0.2">
      <c r="A34" s="1462" t="s">
        <v>1001</v>
      </c>
      <c r="B34" s="518">
        <v>7220</v>
      </c>
      <c r="C34" s="1922">
        <v>0</v>
      </c>
      <c r="D34" s="1922">
        <v>0</v>
      </c>
      <c r="E34" s="1922">
        <v>0</v>
      </c>
      <c r="F34" s="1922">
        <v>0</v>
      </c>
      <c r="G34" s="473"/>
      <c r="H34" s="474">
        <v>2827806</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13" t="s">
        <v>374</v>
      </c>
      <c r="B44" s="2214"/>
      <c r="C44" s="1676">
        <f>SUM(C24:C43)</f>
        <v>0</v>
      </c>
      <c r="D44" s="1676">
        <f t="shared" ref="D44:K44" si="6">SUM(D24:D43)</f>
        <v>0</v>
      </c>
      <c r="E44" s="1676">
        <f t="shared" si="6"/>
        <v>2038790</v>
      </c>
      <c r="F44" s="1676">
        <f t="shared" si="6"/>
        <v>0</v>
      </c>
      <c r="G44" s="1676">
        <f t="shared" si="6"/>
        <v>0</v>
      </c>
      <c r="H44" s="1676">
        <f t="shared" si="6"/>
        <v>44014016</v>
      </c>
      <c r="I44" s="1676">
        <f t="shared" si="6"/>
        <v>0</v>
      </c>
      <c r="J44" s="1676">
        <f t="shared" si="6"/>
        <v>0</v>
      </c>
      <c r="K44" s="1676">
        <f t="shared" si="6"/>
        <v>0</v>
      </c>
      <c r="L44" s="517"/>
    </row>
    <row r="45" spans="1:12" ht="15.75" customHeight="1" thickTop="1" x14ac:dyDescent="0.2">
      <c r="A45" s="2207" t="s">
        <v>108</v>
      </c>
      <c r="B45" s="2208"/>
      <c r="C45" s="521"/>
      <c r="D45" s="521"/>
      <c r="E45" s="521"/>
      <c r="F45" s="521"/>
      <c r="G45" s="521"/>
      <c r="H45" s="521"/>
      <c r="I45" s="521"/>
      <c r="J45" s="521"/>
      <c r="K45" s="521"/>
      <c r="L45" s="347"/>
    </row>
    <row r="46" spans="1:12" s="481" customFormat="1" ht="15.75" customHeight="1" x14ac:dyDescent="0.2">
      <c r="A46" s="2215" t="s">
        <v>109</v>
      </c>
      <c r="B46" s="2216"/>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1796</v>
      </c>
      <c r="B52" s="479">
        <v>8160</v>
      </c>
      <c r="C52" s="473"/>
      <c r="D52" s="473"/>
      <c r="E52" s="473"/>
      <c r="F52" s="473"/>
      <c r="G52" s="473"/>
      <c r="H52" s="473"/>
      <c r="I52" s="473"/>
      <c r="J52" s="473"/>
      <c r="K52" s="1716">
        <f>D30</f>
        <v>0</v>
      </c>
      <c r="L52" s="517"/>
    </row>
    <row r="53" spans="1:12" s="481" customFormat="1" ht="26.25" x14ac:dyDescent="0.2">
      <c r="A53" s="1463" t="s">
        <v>1795</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9" t="s">
        <v>440</v>
      </c>
      <c r="B76" s="2190"/>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91" t="s">
        <v>1177</v>
      </c>
      <c r="B77" s="2192"/>
      <c r="C77" s="1676">
        <f t="shared" ref="C77:K77" si="8">C44-C76</f>
        <v>0</v>
      </c>
      <c r="D77" s="1676">
        <f t="shared" si="8"/>
        <v>0</v>
      </c>
      <c r="E77" s="1676">
        <f t="shared" si="8"/>
        <v>2038790</v>
      </c>
      <c r="F77" s="1676">
        <f t="shared" si="8"/>
        <v>0</v>
      </c>
      <c r="G77" s="1676">
        <f t="shared" si="8"/>
        <v>0</v>
      </c>
      <c r="H77" s="1676">
        <f t="shared" si="8"/>
        <v>44014016</v>
      </c>
      <c r="I77" s="1676">
        <f t="shared" si="8"/>
        <v>0</v>
      </c>
      <c r="J77" s="1676">
        <f t="shared" si="8"/>
        <v>0</v>
      </c>
      <c r="K77" s="1676">
        <f t="shared" si="8"/>
        <v>0</v>
      </c>
      <c r="L77" s="347"/>
    </row>
    <row r="78" spans="1:12" ht="21.75" customHeight="1" thickTop="1" thickBot="1" x14ac:dyDescent="0.25">
      <c r="A78" s="2195" t="s">
        <v>597</v>
      </c>
      <c r="B78" s="2196"/>
      <c r="C78" s="1675">
        <f t="shared" ref="C78:K78" si="9">C20+C77</f>
        <v>2665740</v>
      </c>
      <c r="D78" s="1675">
        <f t="shared" si="9"/>
        <v>-1854222</v>
      </c>
      <c r="E78" s="1675">
        <f t="shared" si="9"/>
        <v>1539940</v>
      </c>
      <c r="F78" s="1675">
        <f t="shared" si="9"/>
        <v>-83038</v>
      </c>
      <c r="G78" s="1675">
        <f t="shared" si="9"/>
        <v>34120</v>
      </c>
      <c r="H78" s="1675">
        <f t="shared" si="9"/>
        <v>42337583</v>
      </c>
      <c r="I78" s="1675">
        <f t="shared" si="9"/>
        <v>112046</v>
      </c>
      <c r="J78" s="1675">
        <f t="shared" si="9"/>
        <v>-52262</v>
      </c>
      <c r="K78" s="1675">
        <f t="shared" si="9"/>
        <v>0</v>
      </c>
      <c r="L78" s="524"/>
    </row>
    <row r="79" spans="1:12" ht="13.5" thickTop="1" x14ac:dyDescent="0.2">
      <c r="A79" s="1467" t="s">
        <v>1948</v>
      </c>
      <c r="B79" s="525"/>
      <c r="C79" s="474">
        <v>16212649</v>
      </c>
      <c r="D79" s="1930">
        <v>3640439</v>
      </c>
      <c r="E79" s="1930">
        <v>2581265</v>
      </c>
      <c r="F79" s="1930">
        <v>637078</v>
      </c>
      <c r="G79" s="1930">
        <v>360483</v>
      </c>
      <c r="H79" s="1930">
        <v>758480</v>
      </c>
      <c r="I79" s="1930">
        <v>690959</v>
      </c>
      <c r="J79" s="1930">
        <v>115168</v>
      </c>
      <c r="K79" s="1930">
        <v>0</v>
      </c>
      <c r="L79" s="347"/>
    </row>
    <row r="80" spans="1:12" x14ac:dyDescent="0.2">
      <c r="A80" s="2201" t="s">
        <v>1794</v>
      </c>
      <c r="B80" s="2202"/>
      <c r="C80" s="466"/>
      <c r="D80" s="466"/>
      <c r="E80" s="466"/>
      <c r="F80" s="466"/>
      <c r="G80" s="466"/>
      <c r="H80" s="466"/>
      <c r="I80" s="466"/>
      <c r="J80" s="466"/>
      <c r="K80" s="466"/>
      <c r="L80" s="347"/>
    </row>
    <row r="81" spans="1:12" ht="13.5" thickBot="1" x14ac:dyDescent="0.25">
      <c r="A81" s="2193" t="s">
        <v>1949</v>
      </c>
      <c r="B81" s="2194"/>
      <c r="C81" s="1661">
        <f>(SUM(C78:C80))</f>
        <v>18878389</v>
      </c>
      <c r="D81" s="1661">
        <f>SUM(D78:D80)</f>
        <v>1786217</v>
      </c>
      <c r="E81" s="1661">
        <f t="shared" ref="E81:K81" si="10">SUM(E78:E80)</f>
        <v>4121205</v>
      </c>
      <c r="F81" s="1661">
        <f t="shared" si="10"/>
        <v>554040</v>
      </c>
      <c r="G81" s="1661">
        <f t="shared" si="10"/>
        <v>394603</v>
      </c>
      <c r="H81" s="1661">
        <f t="shared" si="10"/>
        <v>43096063</v>
      </c>
      <c r="I81" s="1661">
        <f t="shared" si="10"/>
        <v>803005</v>
      </c>
      <c r="J81" s="1661">
        <f t="shared" si="10"/>
        <v>62906</v>
      </c>
      <c r="K81" s="1661">
        <f t="shared" si="10"/>
        <v>0</v>
      </c>
      <c r="L81" s="347"/>
    </row>
    <row r="82" spans="1:12" ht="0.75" customHeight="1" thickTop="1" thickBot="1" x14ac:dyDescent="0.25">
      <c r="A82" s="526" t="s">
        <v>343</v>
      </c>
      <c r="B82" s="527"/>
      <c r="C82" s="528">
        <f>(C81-C79)</f>
        <v>2665740</v>
      </c>
      <c r="D82" s="528">
        <f t="shared" ref="D82:K82" si="11">(D81-D79)</f>
        <v>-1854222</v>
      </c>
      <c r="E82" s="528">
        <f t="shared" si="11"/>
        <v>1539940</v>
      </c>
      <c r="F82" s="528">
        <f t="shared" si="11"/>
        <v>-83038</v>
      </c>
      <c r="G82" s="528">
        <f t="shared" si="11"/>
        <v>34120</v>
      </c>
      <c r="H82" s="528">
        <f t="shared" si="11"/>
        <v>42337583</v>
      </c>
      <c r="I82" s="528">
        <f t="shared" si="11"/>
        <v>112046</v>
      </c>
      <c r="J82" s="528">
        <f t="shared" si="11"/>
        <v>-52262</v>
      </c>
      <c r="K82" s="528">
        <f t="shared" si="11"/>
        <v>0</v>
      </c>
    </row>
    <row r="83" spans="1:12" ht="14.25" hidden="1" thickTop="1" thickBot="1" x14ac:dyDescent="0.25">
      <c r="A83" s="529" t="s">
        <v>344</v>
      </c>
      <c r="B83" s="464"/>
      <c r="C83" s="530">
        <f>C82/C81</f>
        <v>0.14120590480469494</v>
      </c>
      <c r="D83" s="530">
        <f t="shared" ref="D83:K83" si="12">D82/D81</f>
        <v>-1.0380720819474902</v>
      </c>
      <c r="E83" s="530">
        <f t="shared" si="12"/>
        <v>0.37366255743162496</v>
      </c>
      <c r="F83" s="530">
        <f t="shared" si="12"/>
        <v>-0.14987726517940944</v>
      </c>
      <c r="G83" s="530">
        <f t="shared" si="12"/>
        <v>8.6466651292564936E-2</v>
      </c>
      <c r="H83" s="530">
        <f t="shared" si="12"/>
        <v>0.98240024848673535</v>
      </c>
      <c r="I83" s="530">
        <f t="shared" si="12"/>
        <v>0.13953337774982721</v>
      </c>
      <c r="J83" s="530">
        <f t="shared" si="12"/>
        <v>-0.83079515467522969</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3" activePane="bottomLeft" state="frozen"/>
      <selection activeCell="AF22" sqref="AF22"/>
      <selection pane="bottomLeft" activeCell="K265" sqref="K26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7" t="s">
        <v>1801</v>
      </c>
      <c r="B1" s="452"/>
      <c r="C1" s="453" t="s">
        <v>425</v>
      </c>
      <c r="D1" s="453" t="s">
        <v>426</v>
      </c>
      <c r="E1" s="453" t="s">
        <v>427</v>
      </c>
      <c r="F1" s="453" t="s">
        <v>428</v>
      </c>
      <c r="G1" s="453" t="s">
        <v>429</v>
      </c>
      <c r="H1" s="453" t="s">
        <v>430</v>
      </c>
      <c r="I1" s="453" t="s">
        <v>431</v>
      </c>
      <c r="J1" s="453" t="s">
        <v>432</v>
      </c>
      <c r="K1" s="453" t="s">
        <v>756</v>
      </c>
    </row>
    <row r="2" spans="1:12" ht="36" x14ac:dyDescent="0.2">
      <c r="A2" s="2198"/>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19200446</v>
      </c>
      <c r="D5" s="477">
        <v>2308090</v>
      </c>
      <c r="E5" s="1926">
        <v>4554532</v>
      </c>
      <c r="F5" s="1934">
        <v>506298</v>
      </c>
      <c r="G5" s="1932">
        <v>361413</v>
      </c>
      <c r="H5" s="1932">
        <v>0</v>
      </c>
      <c r="I5" s="1932">
        <v>110388</v>
      </c>
      <c r="J5" s="1936">
        <v>125785</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255983</v>
      </c>
      <c r="D7" s="1926">
        <v>0</v>
      </c>
      <c r="E7" s="467"/>
      <c r="F7" s="1933">
        <v>0</v>
      </c>
      <c r="G7" s="1933">
        <v>0</v>
      </c>
      <c r="H7" s="1933">
        <v>0</v>
      </c>
      <c r="I7" s="467"/>
      <c r="J7" s="467"/>
      <c r="K7" s="467"/>
    </row>
    <row r="8" spans="1:12" x14ac:dyDescent="0.2">
      <c r="A8" s="463" t="s">
        <v>413</v>
      </c>
      <c r="B8" s="469">
        <v>1150</v>
      </c>
      <c r="C8" s="472"/>
      <c r="D8" s="472"/>
      <c r="E8" s="473"/>
      <c r="F8" s="473"/>
      <c r="G8" s="477">
        <v>433584</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19456429</v>
      </c>
      <c r="D12" s="1680">
        <f t="shared" si="0"/>
        <v>2308090</v>
      </c>
      <c r="E12" s="1680">
        <f t="shared" si="0"/>
        <v>4554532</v>
      </c>
      <c r="F12" s="1680">
        <f t="shared" si="0"/>
        <v>506298</v>
      </c>
      <c r="G12" s="1680">
        <f t="shared" si="0"/>
        <v>794997</v>
      </c>
      <c r="H12" s="1680">
        <f t="shared" si="0"/>
        <v>0</v>
      </c>
      <c r="I12" s="1680">
        <f t="shared" si="0"/>
        <v>110388</v>
      </c>
      <c r="J12" s="1680">
        <f t="shared" si="0"/>
        <v>125785</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247012</v>
      </c>
      <c r="D16" s="1935">
        <v>0</v>
      </c>
      <c r="E16" s="1935">
        <v>0</v>
      </c>
      <c r="F16" s="1935">
        <v>0</v>
      </c>
      <c r="G16" s="1935">
        <v>82337</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247012</v>
      </c>
      <c r="D18" s="1683">
        <f t="shared" ref="D18:K18" si="1">SUM(D14:D17)</f>
        <v>0</v>
      </c>
      <c r="E18" s="1683">
        <f t="shared" si="1"/>
        <v>0</v>
      </c>
      <c r="F18" s="1683">
        <f t="shared" si="1"/>
        <v>0</v>
      </c>
      <c r="G18" s="1683">
        <f t="shared" si="1"/>
        <v>82337</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70367</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70367</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7281</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3880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11161</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388830</v>
      </c>
      <c r="D65" s="1935">
        <v>47242</v>
      </c>
      <c r="E65" s="1935">
        <v>33225</v>
      </c>
      <c r="F65" s="1936">
        <v>12201</v>
      </c>
      <c r="G65" s="1935">
        <v>16535</v>
      </c>
      <c r="H65" s="1935">
        <v>75812</v>
      </c>
      <c r="I65" s="1935">
        <v>1658</v>
      </c>
      <c r="J65" s="1936">
        <v>1889</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388830</v>
      </c>
      <c r="D67" s="1661">
        <f t="shared" ref="D67:K67" si="2">SUM(D65:D66)</f>
        <v>47242</v>
      </c>
      <c r="E67" s="1661">
        <f t="shared" si="2"/>
        <v>33225</v>
      </c>
      <c r="F67" s="1661">
        <f t="shared" si="2"/>
        <v>12201</v>
      </c>
      <c r="G67" s="1661">
        <f t="shared" si="2"/>
        <v>16535</v>
      </c>
      <c r="H67" s="1661">
        <f t="shared" si="2"/>
        <v>75812</v>
      </c>
      <c r="I67" s="1661">
        <f t="shared" si="2"/>
        <v>1658</v>
      </c>
      <c r="J67" s="1661">
        <f t="shared" si="2"/>
        <v>1889</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0</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433354</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15850</v>
      </c>
      <c r="D74" s="467"/>
      <c r="E74" s="467"/>
      <c r="F74" s="467"/>
      <c r="G74" s="467"/>
      <c r="H74" s="467"/>
      <c r="I74" s="467"/>
      <c r="J74" s="467"/>
      <c r="K74" s="467"/>
    </row>
    <row r="75" spans="1:11" ht="12.75" customHeight="1" thickBot="1" x14ac:dyDescent="0.25">
      <c r="A75" s="1681" t="s">
        <v>548</v>
      </c>
      <c r="B75" s="1682"/>
      <c r="C75" s="1661">
        <f>SUM(C69:C74)</f>
        <v>449204</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31905</v>
      </c>
      <c r="D77" s="1935">
        <v>0</v>
      </c>
      <c r="E77" s="467"/>
      <c r="F77" s="467"/>
      <c r="G77" s="467"/>
      <c r="H77" s="467"/>
      <c r="I77" s="467"/>
      <c r="J77" s="467"/>
      <c r="K77" s="467"/>
    </row>
    <row r="78" spans="1:11" ht="12.75" customHeight="1" x14ac:dyDescent="0.2">
      <c r="A78" s="463" t="s">
        <v>76</v>
      </c>
      <c r="B78" s="469">
        <v>1719</v>
      </c>
      <c r="C78" s="1940">
        <v>-50</v>
      </c>
      <c r="D78" s="1935">
        <v>0</v>
      </c>
      <c r="E78" s="467"/>
      <c r="F78" s="467"/>
      <c r="G78" s="467"/>
      <c r="H78" s="467"/>
      <c r="I78" s="467"/>
      <c r="J78" s="467"/>
      <c r="K78" s="467"/>
    </row>
    <row r="79" spans="1:11" ht="12.75" customHeight="1" x14ac:dyDescent="0.2">
      <c r="A79" s="463" t="s">
        <v>550</v>
      </c>
      <c r="B79" s="469">
        <v>1720</v>
      </c>
      <c r="C79" s="1940">
        <v>526927</v>
      </c>
      <c r="D79" s="1935">
        <v>62118</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177234</v>
      </c>
      <c r="D81" s="1935">
        <v>0</v>
      </c>
      <c r="E81" s="467"/>
      <c r="F81" s="467"/>
      <c r="G81" s="467"/>
      <c r="H81" s="467"/>
      <c r="I81" s="467"/>
      <c r="J81" s="467"/>
      <c r="K81" s="467"/>
    </row>
    <row r="82" spans="1:11" ht="12.75" customHeight="1" thickBot="1" x14ac:dyDescent="0.25">
      <c r="A82" s="1681" t="s">
        <v>241</v>
      </c>
      <c r="B82" s="1682"/>
      <c r="C82" s="1680">
        <f>SUM(C77:C81)</f>
        <v>736016</v>
      </c>
      <c r="D82" s="1661">
        <f>SUM(D77:D81)</f>
        <v>62118</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0</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13027</v>
      </c>
      <c r="D95" s="1940">
        <v>99720</v>
      </c>
      <c r="E95" s="514"/>
      <c r="F95" s="514"/>
      <c r="G95" s="514"/>
      <c r="H95" s="514"/>
      <c r="I95" s="514"/>
      <c r="J95" s="514"/>
      <c r="K95" s="514"/>
    </row>
    <row r="96" spans="1:11" ht="12.75" customHeight="1" x14ac:dyDescent="0.2">
      <c r="A96" s="463" t="s">
        <v>391</v>
      </c>
      <c r="B96" s="469">
        <v>1920</v>
      </c>
      <c r="C96" s="1940">
        <v>4589</v>
      </c>
      <c r="D96" s="1940">
        <v>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51255</v>
      </c>
      <c r="D98" s="1935">
        <v>0</v>
      </c>
      <c r="E98" s="505"/>
      <c r="F98" s="1935">
        <v>0</v>
      </c>
      <c r="G98" s="505"/>
      <c r="H98" s="505"/>
      <c r="I98" s="503"/>
      <c r="J98" s="505"/>
      <c r="K98" s="505"/>
    </row>
    <row r="99" spans="1:12" ht="12.75" customHeight="1" x14ac:dyDescent="0.2">
      <c r="A99" s="463" t="s">
        <v>821</v>
      </c>
      <c r="B99" s="469">
        <v>1950</v>
      </c>
      <c r="C99" s="1939">
        <v>0</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36853</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65483</v>
      </c>
      <c r="D106" s="1939">
        <v>0</v>
      </c>
      <c r="E106" s="1936">
        <v>0</v>
      </c>
      <c r="F106" s="1942">
        <v>0</v>
      </c>
      <c r="G106" s="1942">
        <v>0</v>
      </c>
      <c r="H106" s="1942">
        <v>59092</v>
      </c>
      <c r="I106" s="514"/>
      <c r="J106" s="1942">
        <v>0</v>
      </c>
      <c r="K106" s="1942">
        <v>0</v>
      </c>
    </row>
    <row r="107" spans="1:12" ht="12.75" customHeight="1" x14ac:dyDescent="0.2">
      <c r="A107" s="463" t="s">
        <v>78</v>
      </c>
      <c r="B107" s="469">
        <v>1999</v>
      </c>
      <c r="C107" s="1940">
        <v>0</v>
      </c>
      <c r="D107" s="1935">
        <v>39727</v>
      </c>
      <c r="E107" s="1935">
        <v>0</v>
      </c>
      <c r="F107" s="1941">
        <v>0</v>
      </c>
      <c r="G107" s="1941">
        <v>0</v>
      </c>
      <c r="H107" s="1941">
        <v>0</v>
      </c>
      <c r="I107" s="1941">
        <v>0</v>
      </c>
      <c r="J107" s="1942">
        <v>0</v>
      </c>
      <c r="K107" s="1941">
        <v>0</v>
      </c>
    </row>
    <row r="108" spans="1:12" ht="12.75" customHeight="1" thickBot="1" x14ac:dyDescent="0.25">
      <c r="A108" s="1681" t="s">
        <v>487</v>
      </c>
      <c r="B108" s="1685"/>
      <c r="C108" s="1680">
        <f>SUM(C95:C107)</f>
        <v>171207</v>
      </c>
      <c r="D108" s="1680">
        <f t="shared" ref="D108:K108" si="3">SUM(D95:D107)</f>
        <v>139447</v>
      </c>
      <c r="E108" s="1680">
        <f t="shared" si="3"/>
        <v>0</v>
      </c>
      <c r="F108" s="1680">
        <f t="shared" si="3"/>
        <v>0</v>
      </c>
      <c r="G108" s="1680">
        <f t="shared" si="3"/>
        <v>0</v>
      </c>
      <c r="H108" s="1680">
        <f t="shared" si="3"/>
        <v>59092</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21519065</v>
      </c>
      <c r="D109" s="1688">
        <f t="shared" si="4"/>
        <v>2556897</v>
      </c>
      <c r="E109" s="1688">
        <f t="shared" si="4"/>
        <v>4587757</v>
      </c>
      <c r="F109" s="1688">
        <f t="shared" si="4"/>
        <v>529660</v>
      </c>
      <c r="G109" s="1688">
        <f t="shared" si="4"/>
        <v>893869</v>
      </c>
      <c r="H109" s="1688">
        <f t="shared" si="4"/>
        <v>134904</v>
      </c>
      <c r="I109" s="1688">
        <f t="shared" si="4"/>
        <v>112046</v>
      </c>
      <c r="J109" s="1688">
        <f t="shared" si="4"/>
        <v>127674</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5231428</v>
      </c>
      <c r="D117" s="477">
        <v>0</v>
      </c>
      <c r="E117" s="1941">
        <v>0</v>
      </c>
      <c r="F117" s="477">
        <v>0</v>
      </c>
      <c r="G117" s="477">
        <v>0</v>
      </c>
      <c r="H117" s="1941">
        <v>0</v>
      </c>
      <c r="I117" s="467"/>
      <c r="J117" s="1942">
        <v>0</v>
      </c>
      <c r="K117" s="1941">
        <v>0</v>
      </c>
    </row>
    <row r="118" spans="1:11" ht="12.75" customHeight="1" x14ac:dyDescent="0.2">
      <c r="A118" s="463" t="s">
        <v>1798</v>
      </c>
      <c r="B118" s="550">
        <v>3002</v>
      </c>
      <c r="C118" s="1944">
        <v>451</v>
      </c>
      <c r="D118" s="1941">
        <v>0</v>
      </c>
      <c r="E118" s="1941">
        <v>0</v>
      </c>
      <c r="F118" s="1941">
        <v>0</v>
      </c>
      <c r="G118" s="1941">
        <v>0</v>
      </c>
      <c r="H118" s="1941">
        <v>0</v>
      </c>
      <c r="I118" s="467"/>
      <c r="J118" s="1942">
        <v>0</v>
      </c>
      <c r="K118" s="1941">
        <v>0</v>
      </c>
    </row>
    <row r="119" spans="1:11" ht="12.75" customHeight="1" x14ac:dyDescent="0.2">
      <c r="A119" s="463" t="s">
        <v>1799</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1935</v>
      </c>
      <c r="B120" s="550">
        <v>3030</v>
      </c>
      <c r="C120" s="1944">
        <v>0</v>
      </c>
      <c r="D120" s="1941">
        <v>0</v>
      </c>
      <c r="E120" s="1941">
        <v>0</v>
      </c>
      <c r="F120" s="1941">
        <v>0</v>
      </c>
      <c r="G120" s="1941">
        <v>0</v>
      </c>
      <c r="H120" s="1941">
        <v>0</v>
      </c>
      <c r="I120" s="467"/>
      <c r="J120" s="466">
        <v>0</v>
      </c>
      <c r="K120" s="465">
        <v>0</v>
      </c>
    </row>
    <row r="121" spans="1:11" x14ac:dyDescent="0.2">
      <c r="A121" s="1469" t="s">
        <v>1800</v>
      </c>
      <c r="B121" s="552">
        <v>3099</v>
      </c>
      <c r="C121" s="1944">
        <v>107931</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5339810</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627901</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627901</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78916</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78916</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4757</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62519</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19205</v>
      </c>
      <c r="G152" s="1946">
        <v>0</v>
      </c>
      <c r="H152" s="467"/>
      <c r="I152" s="467"/>
      <c r="J152" s="467"/>
      <c r="K152" s="467"/>
    </row>
    <row r="153" spans="1:11" ht="12.75" customHeight="1" x14ac:dyDescent="0.2">
      <c r="A153" s="463" t="s">
        <v>1057</v>
      </c>
      <c r="B153" s="550">
        <v>3510</v>
      </c>
      <c r="C153" s="1954">
        <v>0</v>
      </c>
      <c r="D153" s="1945">
        <v>0</v>
      </c>
      <c r="E153" s="549"/>
      <c r="F153" s="1945">
        <v>789578</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808783</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11020</v>
      </c>
      <c r="D168" s="1961">
        <v>0</v>
      </c>
      <c r="E168" s="1961">
        <v>0</v>
      </c>
      <c r="F168" s="1961">
        <v>0</v>
      </c>
      <c r="G168" s="1962">
        <v>0</v>
      </c>
      <c r="H168" s="1963">
        <v>0</v>
      </c>
      <c r="I168" s="1962">
        <v>0</v>
      </c>
      <c r="J168" s="1962">
        <v>0</v>
      </c>
      <c r="K168" s="1963">
        <v>0</v>
      </c>
    </row>
    <row r="169" spans="1:11" ht="12.75" customHeight="1" thickTop="1" thickBot="1" x14ac:dyDescent="0.25">
      <c r="A169" s="2217" t="s">
        <v>398</v>
      </c>
      <c r="B169" s="2218"/>
      <c r="C169" s="1695">
        <f t="shared" ref="C169:K169" si="6">SUM(C132,C141,C145,C146:C150,C155,C156:C167,C168)</f>
        <v>785113</v>
      </c>
      <c r="D169" s="1695">
        <f t="shared" si="6"/>
        <v>0</v>
      </c>
      <c r="E169" s="1695">
        <f t="shared" si="6"/>
        <v>0</v>
      </c>
      <c r="F169" s="1695">
        <f t="shared" si="6"/>
        <v>808783</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6124923</v>
      </c>
      <c r="D170" s="1688">
        <f t="shared" si="7"/>
        <v>0</v>
      </c>
      <c r="E170" s="1688">
        <f t="shared" si="7"/>
        <v>0</v>
      </c>
      <c r="F170" s="1688">
        <f t="shared" si="7"/>
        <v>808783</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9" t="s">
        <v>1492</v>
      </c>
      <c r="B172" s="2220"/>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3" t="s">
        <v>1665</v>
      </c>
      <c r="B175" s="2224"/>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7" t="s">
        <v>1664</v>
      </c>
      <c r="B176" s="2228"/>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5" t="s">
        <v>785</v>
      </c>
      <c r="B181" s="2226"/>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21" t="s">
        <v>1802</v>
      </c>
      <c r="B182" s="2222"/>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281583</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37266</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318849</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272185</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272185</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6464</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6464</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421</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408870</v>
      </c>
      <c r="D213" s="1945">
        <v>0</v>
      </c>
      <c r="E213" s="467"/>
      <c r="F213" s="1945">
        <v>0</v>
      </c>
      <c r="G213" s="1945">
        <v>0</v>
      </c>
      <c r="H213" s="467"/>
      <c r="I213" s="467"/>
      <c r="J213" s="467"/>
      <c r="K213" s="467"/>
    </row>
    <row r="214" spans="1:11" ht="12.75" customHeight="1" x14ac:dyDescent="0.2">
      <c r="A214" s="463" t="s">
        <v>1054</v>
      </c>
      <c r="B214" s="469">
        <v>4625</v>
      </c>
      <c r="C214" s="1954">
        <v>138461</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547752</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58544</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58544</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82197</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1936</v>
      </c>
      <c r="B261" s="469">
        <v>4981</v>
      </c>
      <c r="C261" s="1986">
        <v>0</v>
      </c>
      <c r="D261" s="1987">
        <v>0</v>
      </c>
      <c r="E261" s="467"/>
      <c r="F261" s="1987">
        <v>0</v>
      </c>
      <c r="G261" s="1987">
        <v>0</v>
      </c>
      <c r="H261" s="467"/>
      <c r="I261" s="467"/>
      <c r="J261" s="467"/>
      <c r="K261" s="467"/>
    </row>
    <row r="262" spans="1:11" ht="12.75" customHeight="1" thickTop="1" thickBot="1" x14ac:dyDescent="0.25">
      <c r="A262" s="1904" t="s">
        <v>1937</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13682</v>
      </c>
      <c r="D263" s="1980">
        <v>0</v>
      </c>
      <c r="E263" s="467"/>
      <c r="F263" s="1980">
        <v>0</v>
      </c>
      <c r="G263" s="1980">
        <v>0</v>
      </c>
      <c r="H263" s="467"/>
      <c r="I263" s="467"/>
      <c r="J263" s="467"/>
      <c r="K263" s="467"/>
    </row>
    <row r="264" spans="1:11" ht="12.75" customHeight="1" thickTop="1" thickBot="1" x14ac:dyDescent="0.25">
      <c r="A264" s="463" t="s">
        <v>377</v>
      </c>
      <c r="B264" s="469">
        <v>4992</v>
      </c>
      <c r="C264" s="1979">
        <v>102586</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1402259</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1402259</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29046247</v>
      </c>
      <c r="D268" s="1688">
        <f t="shared" si="12"/>
        <v>2556897</v>
      </c>
      <c r="E268" s="1688">
        <f t="shared" si="12"/>
        <v>4587757</v>
      </c>
      <c r="F268" s="1688">
        <f t="shared" si="12"/>
        <v>1338443</v>
      </c>
      <c r="G268" s="1688">
        <f t="shared" si="12"/>
        <v>893869</v>
      </c>
      <c r="H268" s="1688">
        <f t="shared" si="12"/>
        <v>134904</v>
      </c>
      <c r="I268" s="1688">
        <f t="shared" si="12"/>
        <v>112046</v>
      </c>
      <c r="J268" s="1688">
        <f t="shared" si="12"/>
        <v>127674</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306" activePane="bottomLeft" state="frozen"/>
      <selection activeCell="AF22" sqref="AF22"/>
      <selection pane="bottomLeft" activeCell="L312" sqref="L312"/>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7" t="s">
        <v>1801</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9"/>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5" t="s">
        <v>297</v>
      </c>
      <c r="B3" s="2236"/>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8886946</v>
      </c>
      <c r="D5" s="1967">
        <v>2055951</v>
      </c>
      <c r="E5" s="1967">
        <v>182214</v>
      </c>
      <c r="F5" s="1967">
        <v>352299</v>
      </c>
      <c r="G5" s="1967">
        <v>0</v>
      </c>
      <c r="H5" s="1967">
        <v>0</v>
      </c>
      <c r="I5" s="1968">
        <v>73336</v>
      </c>
      <c r="J5" s="1968">
        <v>0</v>
      </c>
      <c r="K5" s="1644">
        <f>SUM(C5:J5)</f>
        <v>11550746</v>
      </c>
      <c r="L5" s="1989">
        <v>11289405</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2702605</v>
      </c>
      <c r="D8" s="1967">
        <v>551254</v>
      </c>
      <c r="E8" s="1967">
        <v>6836</v>
      </c>
      <c r="F8" s="1967">
        <v>24890</v>
      </c>
      <c r="G8" s="1967">
        <v>0</v>
      </c>
      <c r="H8" s="1967">
        <v>5580</v>
      </c>
      <c r="I8" s="1968">
        <v>12468</v>
      </c>
      <c r="J8" s="1968">
        <v>0</v>
      </c>
      <c r="K8" s="1644">
        <f t="shared" si="0"/>
        <v>3303633</v>
      </c>
      <c r="L8" s="1989">
        <v>3531532</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215535</v>
      </c>
      <c r="D10" s="1967">
        <v>48853</v>
      </c>
      <c r="E10" s="1967">
        <v>0</v>
      </c>
      <c r="F10" s="1967">
        <v>1146</v>
      </c>
      <c r="G10" s="1967">
        <v>0</v>
      </c>
      <c r="H10" s="1967">
        <v>0</v>
      </c>
      <c r="I10" s="1968">
        <v>5300</v>
      </c>
      <c r="J10" s="1968">
        <v>0</v>
      </c>
      <c r="K10" s="1644">
        <f t="shared" si="0"/>
        <v>270834</v>
      </c>
      <c r="L10" s="1989">
        <v>302230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10360</v>
      </c>
      <c r="D13" s="1967">
        <v>95</v>
      </c>
      <c r="E13" s="1967">
        <v>35471</v>
      </c>
      <c r="F13" s="1967">
        <v>29402</v>
      </c>
      <c r="G13" s="1967">
        <v>0</v>
      </c>
      <c r="H13" s="1967">
        <v>0</v>
      </c>
      <c r="I13" s="1968">
        <v>35568</v>
      </c>
      <c r="J13" s="1968">
        <v>0</v>
      </c>
      <c r="K13" s="1644">
        <f t="shared" si="0"/>
        <v>110896</v>
      </c>
      <c r="L13" s="1989">
        <v>115600</v>
      </c>
    </row>
    <row r="14" spans="1:14" x14ac:dyDescent="0.2">
      <c r="A14" s="1477" t="s">
        <v>963</v>
      </c>
      <c r="B14" s="591">
        <v>1500</v>
      </c>
      <c r="C14" s="1967">
        <v>631157</v>
      </c>
      <c r="D14" s="1967">
        <v>6227</v>
      </c>
      <c r="E14" s="1967">
        <v>137239</v>
      </c>
      <c r="F14" s="1967">
        <v>53715</v>
      </c>
      <c r="G14" s="1967">
        <v>7388</v>
      </c>
      <c r="H14" s="1967">
        <v>5080</v>
      </c>
      <c r="I14" s="1968">
        <v>7762</v>
      </c>
      <c r="J14" s="1968">
        <v>0</v>
      </c>
      <c r="K14" s="1644">
        <f t="shared" si="0"/>
        <v>848568</v>
      </c>
      <c r="L14" s="1989">
        <v>812285</v>
      </c>
    </row>
    <row r="15" spans="1:14" x14ac:dyDescent="0.2">
      <c r="A15" s="1477" t="s">
        <v>964</v>
      </c>
      <c r="B15" s="591">
        <v>1600</v>
      </c>
      <c r="C15" s="1967">
        <v>64250</v>
      </c>
      <c r="D15" s="1967">
        <v>1383</v>
      </c>
      <c r="E15" s="1967">
        <v>3150</v>
      </c>
      <c r="F15" s="1967">
        <v>0</v>
      </c>
      <c r="G15" s="1967">
        <v>0</v>
      </c>
      <c r="H15" s="1967">
        <v>0</v>
      </c>
      <c r="I15" s="1968">
        <v>0</v>
      </c>
      <c r="J15" s="1968">
        <v>0</v>
      </c>
      <c r="K15" s="1644">
        <f t="shared" si="0"/>
        <v>68783</v>
      </c>
      <c r="L15" s="1989">
        <v>50750</v>
      </c>
    </row>
    <row r="16" spans="1:14" x14ac:dyDescent="0.2">
      <c r="A16" s="1477" t="s">
        <v>987</v>
      </c>
      <c r="B16" s="591" t="s">
        <v>424</v>
      </c>
      <c r="C16" s="1967">
        <v>0</v>
      </c>
      <c r="D16" s="1967">
        <v>0</v>
      </c>
      <c r="E16" s="1967">
        <v>0</v>
      </c>
      <c r="F16" s="1967">
        <v>0</v>
      </c>
      <c r="G16" s="1967">
        <v>0</v>
      </c>
      <c r="H16" s="1967">
        <v>0</v>
      </c>
      <c r="I16" s="1968">
        <v>0</v>
      </c>
      <c r="J16" s="1968">
        <v>0</v>
      </c>
      <c r="K16" s="1644">
        <f t="shared" si="0"/>
        <v>0</v>
      </c>
      <c r="L16" s="1989">
        <v>0</v>
      </c>
    </row>
    <row r="17" spans="1:12" x14ac:dyDescent="0.2">
      <c r="A17" s="1477" t="s">
        <v>724</v>
      </c>
      <c r="B17" s="591" t="s">
        <v>162</v>
      </c>
      <c r="C17" s="1968">
        <v>337719</v>
      </c>
      <c r="D17" s="1968">
        <v>-18716</v>
      </c>
      <c r="E17" s="1968">
        <v>972</v>
      </c>
      <c r="F17" s="1968">
        <v>3314</v>
      </c>
      <c r="G17" s="1968">
        <v>0</v>
      </c>
      <c r="H17" s="1968">
        <v>0</v>
      </c>
      <c r="I17" s="1968">
        <v>0</v>
      </c>
      <c r="J17" s="1968">
        <v>0</v>
      </c>
      <c r="K17" s="1644">
        <f t="shared" si="0"/>
        <v>323289</v>
      </c>
      <c r="L17" s="1989">
        <v>289628</v>
      </c>
    </row>
    <row r="18" spans="1:12" x14ac:dyDescent="0.2">
      <c r="A18" s="1477" t="s">
        <v>1087</v>
      </c>
      <c r="B18" s="591">
        <v>1800</v>
      </c>
      <c r="C18" s="1967">
        <v>0</v>
      </c>
      <c r="D18" s="1967">
        <v>0</v>
      </c>
      <c r="E18" s="1967">
        <v>0</v>
      </c>
      <c r="F18" s="1967">
        <v>0</v>
      </c>
      <c r="G18" s="1967">
        <v>0</v>
      </c>
      <c r="H18" s="1967">
        <v>0</v>
      </c>
      <c r="I18" s="1968">
        <v>0</v>
      </c>
      <c r="J18" s="1968">
        <v>0</v>
      </c>
      <c r="K18" s="1644">
        <f t="shared" si="0"/>
        <v>0</v>
      </c>
      <c r="L18" s="1989">
        <v>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1459</v>
      </c>
      <c r="I21" s="593"/>
      <c r="J21" s="473"/>
      <c r="K21" s="1644">
        <f t="shared" si="0"/>
        <v>1459</v>
      </c>
      <c r="L21" s="1991">
        <v>14000</v>
      </c>
    </row>
    <row r="22" spans="1:12" x14ac:dyDescent="0.2">
      <c r="A22" s="1478" t="s">
        <v>740</v>
      </c>
      <c r="B22" s="579" t="s">
        <v>727</v>
      </c>
      <c r="C22" s="473"/>
      <c r="D22" s="473"/>
      <c r="E22" s="473"/>
      <c r="F22" s="473"/>
      <c r="G22" s="473"/>
      <c r="H22" s="1970">
        <v>1674899</v>
      </c>
      <c r="I22" s="593"/>
      <c r="J22" s="473"/>
      <c r="K22" s="1644">
        <f t="shared" si="0"/>
        <v>1674899</v>
      </c>
      <c r="L22" s="1991">
        <v>1835000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12848572</v>
      </c>
      <c r="D33" s="1643">
        <f t="shared" ref="D33:L33" si="1">SUM(D5:D32)</f>
        <v>2645047</v>
      </c>
      <c r="E33" s="1643">
        <f t="shared" si="1"/>
        <v>365882</v>
      </c>
      <c r="F33" s="1643">
        <f t="shared" si="1"/>
        <v>464766</v>
      </c>
      <c r="G33" s="1643">
        <f t="shared" si="1"/>
        <v>7388</v>
      </c>
      <c r="H33" s="1643">
        <f t="shared" si="1"/>
        <v>1687018</v>
      </c>
      <c r="I33" s="1643">
        <f t="shared" si="1"/>
        <v>134434</v>
      </c>
      <c r="J33" s="1643">
        <f t="shared" si="1"/>
        <v>0</v>
      </c>
      <c r="K33" s="1643">
        <f t="shared" si="1"/>
        <v>18153107</v>
      </c>
      <c r="L33" s="1643">
        <f t="shared" si="1"/>
        <v>18240430</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271990</v>
      </c>
      <c r="D36" s="477">
        <v>36332</v>
      </c>
      <c r="E36" s="477">
        <v>0</v>
      </c>
      <c r="F36" s="477">
        <v>0</v>
      </c>
      <c r="G36" s="477">
        <v>0</v>
      </c>
      <c r="H36" s="477">
        <v>0</v>
      </c>
      <c r="I36" s="1968">
        <v>0</v>
      </c>
      <c r="J36" s="1968">
        <v>0</v>
      </c>
      <c r="K36" s="1644">
        <f t="shared" ref="K36:K41" si="2">SUM(C36:J36)</f>
        <v>308322</v>
      </c>
      <c r="L36" s="1989">
        <v>310478</v>
      </c>
    </row>
    <row r="37" spans="1:14" x14ac:dyDescent="0.2">
      <c r="A37" s="1477" t="s">
        <v>1090</v>
      </c>
      <c r="B37" s="591">
        <v>2120</v>
      </c>
      <c r="C37" s="1967">
        <v>673561</v>
      </c>
      <c r="D37" s="1967">
        <v>75413</v>
      </c>
      <c r="E37" s="1967">
        <v>820</v>
      </c>
      <c r="F37" s="1967">
        <v>2903</v>
      </c>
      <c r="G37" s="1967">
        <v>0</v>
      </c>
      <c r="H37" s="1967">
        <v>0</v>
      </c>
      <c r="I37" s="1968">
        <v>0</v>
      </c>
      <c r="J37" s="1968">
        <v>0</v>
      </c>
      <c r="K37" s="1644">
        <f t="shared" si="2"/>
        <v>752697</v>
      </c>
      <c r="L37" s="1989">
        <v>847199</v>
      </c>
    </row>
    <row r="38" spans="1:14" x14ac:dyDescent="0.2">
      <c r="A38" s="1477" t="s">
        <v>198</v>
      </c>
      <c r="B38" s="591">
        <v>2130</v>
      </c>
      <c r="C38" s="1967">
        <v>97821</v>
      </c>
      <c r="D38" s="1967">
        <v>13304</v>
      </c>
      <c r="E38" s="1967">
        <v>15025</v>
      </c>
      <c r="F38" s="1967">
        <v>2390</v>
      </c>
      <c r="G38" s="1967">
        <v>0</v>
      </c>
      <c r="H38" s="1967">
        <v>0</v>
      </c>
      <c r="I38" s="1968">
        <v>0</v>
      </c>
      <c r="J38" s="1968">
        <v>0</v>
      </c>
      <c r="K38" s="1644">
        <f t="shared" si="2"/>
        <v>128540</v>
      </c>
      <c r="L38" s="1989">
        <v>120883</v>
      </c>
    </row>
    <row r="39" spans="1:14" x14ac:dyDescent="0.2">
      <c r="A39" s="1477" t="s">
        <v>199</v>
      </c>
      <c r="B39" s="591">
        <v>2140</v>
      </c>
      <c r="C39" s="1967">
        <v>228943</v>
      </c>
      <c r="D39" s="1967">
        <v>46931</v>
      </c>
      <c r="E39" s="1967">
        <v>1200</v>
      </c>
      <c r="F39" s="1967">
        <v>0</v>
      </c>
      <c r="G39" s="1967">
        <v>0</v>
      </c>
      <c r="H39" s="1967">
        <v>0</v>
      </c>
      <c r="I39" s="1968">
        <v>0</v>
      </c>
      <c r="J39" s="1968">
        <v>0</v>
      </c>
      <c r="K39" s="1644">
        <f t="shared" si="2"/>
        <v>277074</v>
      </c>
      <c r="L39" s="1989">
        <v>295145</v>
      </c>
    </row>
    <row r="40" spans="1:14" x14ac:dyDescent="0.2">
      <c r="A40" s="1477" t="s">
        <v>200</v>
      </c>
      <c r="B40" s="591">
        <v>2150</v>
      </c>
      <c r="C40" s="1967">
        <v>0</v>
      </c>
      <c r="D40" s="1967">
        <v>0</v>
      </c>
      <c r="E40" s="1967">
        <v>0</v>
      </c>
      <c r="F40" s="1967">
        <v>0</v>
      </c>
      <c r="G40" s="1967">
        <v>0</v>
      </c>
      <c r="H40" s="1967">
        <v>0</v>
      </c>
      <c r="I40" s="1968">
        <v>0</v>
      </c>
      <c r="J40" s="1968">
        <v>0</v>
      </c>
      <c r="K40" s="1644">
        <f t="shared" si="2"/>
        <v>0</v>
      </c>
      <c r="L40" s="1989">
        <v>0</v>
      </c>
    </row>
    <row r="41" spans="1:14" x14ac:dyDescent="0.2">
      <c r="A41" s="1477" t="s">
        <v>1669</v>
      </c>
      <c r="B41" s="591">
        <v>2190</v>
      </c>
      <c r="C41" s="1967">
        <v>142809</v>
      </c>
      <c r="D41" s="1967">
        <v>0</v>
      </c>
      <c r="E41" s="1967">
        <v>0</v>
      </c>
      <c r="F41" s="1967">
        <v>0</v>
      </c>
      <c r="G41" s="1967">
        <v>0</v>
      </c>
      <c r="H41" s="1967">
        <v>0</v>
      </c>
      <c r="I41" s="1968">
        <v>0</v>
      </c>
      <c r="J41" s="1968">
        <v>0</v>
      </c>
      <c r="K41" s="1644">
        <f t="shared" si="2"/>
        <v>142809</v>
      </c>
      <c r="L41" s="1989">
        <v>125000</v>
      </c>
    </row>
    <row r="42" spans="1:14" ht="12.75" customHeight="1" thickBot="1" x14ac:dyDescent="0.25">
      <c r="A42" s="1641" t="s">
        <v>560</v>
      </c>
      <c r="B42" s="1642" t="s">
        <v>716</v>
      </c>
      <c r="C42" s="1643">
        <f>SUM(C36:C41)</f>
        <v>1415124</v>
      </c>
      <c r="D42" s="1643">
        <f t="shared" ref="D42:L42" si="3">SUM(D36:D41)</f>
        <v>171980</v>
      </c>
      <c r="E42" s="1643">
        <f t="shared" si="3"/>
        <v>17045</v>
      </c>
      <c r="F42" s="1643">
        <f t="shared" si="3"/>
        <v>5293</v>
      </c>
      <c r="G42" s="1643">
        <f t="shared" si="3"/>
        <v>0</v>
      </c>
      <c r="H42" s="1643">
        <f t="shared" si="3"/>
        <v>0</v>
      </c>
      <c r="I42" s="1643">
        <f t="shared" si="3"/>
        <v>0</v>
      </c>
      <c r="J42" s="1643">
        <f t="shared" si="3"/>
        <v>0</v>
      </c>
      <c r="K42" s="1643">
        <f t="shared" si="3"/>
        <v>1609442</v>
      </c>
      <c r="L42" s="1643">
        <f t="shared" si="3"/>
        <v>1698705</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694724</v>
      </c>
      <c r="D44" s="477">
        <v>11828</v>
      </c>
      <c r="E44" s="477">
        <v>115149</v>
      </c>
      <c r="F44" s="477">
        <v>16081</v>
      </c>
      <c r="G44" s="477">
        <v>0</v>
      </c>
      <c r="H44" s="477">
        <v>697</v>
      </c>
      <c r="I44" s="1968">
        <v>23382</v>
      </c>
      <c r="J44" s="1968">
        <v>0</v>
      </c>
      <c r="K44" s="1645">
        <f>SUM(C44:J44)</f>
        <v>861861</v>
      </c>
      <c r="L44" s="477">
        <v>1028500</v>
      </c>
    </row>
    <row r="45" spans="1:14" x14ac:dyDescent="0.2">
      <c r="A45" s="1477" t="s">
        <v>815</v>
      </c>
      <c r="B45" s="591">
        <v>2220</v>
      </c>
      <c r="C45" s="1967">
        <v>643032</v>
      </c>
      <c r="D45" s="1967">
        <v>79845</v>
      </c>
      <c r="E45" s="1967">
        <v>297451</v>
      </c>
      <c r="F45" s="1967">
        <v>122648</v>
      </c>
      <c r="G45" s="1967">
        <v>0</v>
      </c>
      <c r="H45" s="1967">
        <v>0</v>
      </c>
      <c r="I45" s="1968">
        <v>359937</v>
      </c>
      <c r="J45" s="1968">
        <v>0</v>
      </c>
      <c r="K45" s="1645">
        <f>SUM(C45:J45)</f>
        <v>1502913</v>
      </c>
      <c r="L45" s="1989">
        <v>1482561</v>
      </c>
    </row>
    <row r="46" spans="1:14" x14ac:dyDescent="0.2">
      <c r="A46" s="1477" t="s">
        <v>816</v>
      </c>
      <c r="B46" s="591">
        <v>2230</v>
      </c>
      <c r="C46" s="1967">
        <v>0</v>
      </c>
      <c r="D46" s="1967">
        <v>0</v>
      </c>
      <c r="E46" s="1967">
        <v>3116</v>
      </c>
      <c r="F46" s="1967">
        <v>3950</v>
      </c>
      <c r="G46" s="1967">
        <v>0</v>
      </c>
      <c r="H46" s="1967">
        <v>0</v>
      </c>
      <c r="I46" s="1968">
        <v>0</v>
      </c>
      <c r="J46" s="1968">
        <v>0</v>
      </c>
      <c r="K46" s="1645">
        <f>SUM(C46:J46)</f>
        <v>7066</v>
      </c>
      <c r="L46" s="1989">
        <v>15000</v>
      </c>
    </row>
    <row r="47" spans="1:14" ht="12.75" customHeight="1" thickBot="1" x14ac:dyDescent="0.25">
      <c r="A47" s="1641" t="s">
        <v>561</v>
      </c>
      <c r="B47" s="1642" t="s">
        <v>32</v>
      </c>
      <c r="C47" s="1643">
        <f>SUM(C44:C46)</f>
        <v>1337756</v>
      </c>
      <c r="D47" s="1643">
        <f t="shared" ref="D47:K47" si="4">SUM(D44:D46)</f>
        <v>91673</v>
      </c>
      <c r="E47" s="1643">
        <f t="shared" si="4"/>
        <v>415716</v>
      </c>
      <c r="F47" s="1643">
        <f t="shared" si="4"/>
        <v>142679</v>
      </c>
      <c r="G47" s="1643">
        <f t="shared" si="4"/>
        <v>0</v>
      </c>
      <c r="H47" s="1643">
        <f t="shared" si="4"/>
        <v>697</v>
      </c>
      <c r="I47" s="1643">
        <f t="shared" si="4"/>
        <v>383319</v>
      </c>
      <c r="J47" s="1643">
        <f t="shared" si="4"/>
        <v>0</v>
      </c>
      <c r="K47" s="1643">
        <f t="shared" si="4"/>
        <v>2371840</v>
      </c>
      <c r="L47" s="1643">
        <f>SUM(L44:L46)</f>
        <v>2526061</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33185</v>
      </c>
      <c r="D49" s="477">
        <v>0</v>
      </c>
      <c r="E49" s="477">
        <v>366891</v>
      </c>
      <c r="F49" s="477">
        <v>0</v>
      </c>
      <c r="G49" s="477">
        <v>0</v>
      </c>
      <c r="H49" s="477">
        <v>4928</v>
      </c>
      <c r="I49" s="1968">
        <v>0</v>
      </c>
      <c r="J49" s="1968">
        <v>0</v>
      </c>
      <c r="K49" s="1645">
        <f>SUM(C49:J49)</f>
        <v>405004</v>
      </c>
      <c r="L49" s="477">
        <v>324000</v>
      </c>
    </row>
    <row r="50" spans="1:14" x14ac:dyDescent="0.2">
      <c r="A50" s="1477" t="s">
        <v>818</v>
      </c>
      <c r="B50" s="591">
        <v>2320</v>
      </c>
      <c r="C50" s="1967">
        <v>392613</v>
      </c>
      <c r="D50" s="1967">
        <v>61016</v>
      </c>
      <c r="E50" s="1967">
        <v>48278</v>
      </c>
      <c r="F50" s="1967">
        <v>9413</v>
      </c>
      <c r="G50" s="1967">
        <v>0</v>
      </c>
      <c r="H50" s="1967">
        <v>1545</v>
      </c>
      <c r="I50" s="1968">
        <v>20020</v>
      </c>
      <c r="J50" s="1968">
        <v>0</v>
      </c>
      <c r="K50" s="1645">
        <f>SUM(C50:J50)</f>
        <v>532885</v>
      </c>
      <c r="L50" s="1989">
        <v>540907</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425798</v>
      </c>
      <c r="D53" s="1643">
        <f t="shared" ref="D53:L53" si="5">SUM(D49:D52)</f>
        <v>61016</v>
      </c>
      <c r="E53" s="1643">
        <f t="shared" si="5"/>
        <v>415169</v>
      </c>
      <c r="F53" s="1643">
        <f t="shared" si="5"/>
        <v>9413</v>
      </c>
      <c r="G53" s="1643">
        <f t="shared" si="5"/>
        <v>0</v>
      </c>
      <c r="H53" s="1643">
        <f t="shared" si="5"/>
        <v>6473</v>
      </c>
      <c r="I53" s="1643">
        <f t="shared" si="5"/>
        <v>20020</v>
      </c>
      <c r="J53" s="1643">
        <f t="shared" si="5"/>
        <v>0</v>
      </c>
      <c r="K53" s="1643">
        <f t="shared" si="5"/>
        <v>937889</v>
      </c>
      <c r="L53" s="1643">
        <f t="shared" si="5"/>
        <v>864907</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1169340</v>
      </c>
      <c r="D55" s="477">
        <v>280680</v>
      </c>
      <c r="E55" s="477">
        <v>290</v>
      </c>
      <c r="F55" s="477">
        <v>20181</v>
      </c>
      <c r="G55" s="477">
        <v>0</v>
      </c>
      <c r="H55" s="477">
        <v>4317</v>
      </c>
      <c r="I55" s="1968">
        <v>0</v>
      </c>
      <c r="J55" s="1968">
        <v>0</v>
      </c>
      <c r="K55" s="1645">
        <f>SUM(C55:J55)</f>
        <v>1474808</v>
      </c>
      <c r="L55" s="477">
        <v>1506463</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1169340</v>
      </c>
      <c r="D57" s="1647">
        <f t="shared" ref="D57:K57" si="6">SUM(D55:D56)</f>
        <v>280680</v>
      </c>
      <c r="E57" s="1647">
        <f t="shared" si="6"/>
        <v>290</v>
      </c>
      <c r="F57" s="1647">
        <f t="shared" si="6"/>
        <v>20181</v>
      </c>
      <c r="G57" s="1647">
        <f t="shared" si="6"/>
        <v>0</v>
      </c>
      <c r="H57" s="1647">
        <f t="shared" si="6"/>
        <v>4317</v>
      </c>
      <c r="I57" s="1647">
        <f t="shared" si="6"/>
        <v>0</v>
      </c>
      <c r="J57" s="1647">
        <f t="shared" si="6"/>
        <v>0</v>
      </c>
      <c r="K57" s="1647">
        <f t="shared" si="6"/>
        <v>1474808</v>
      </c>
      <c r="L57" s="1643">
        <f>SUM(L55:L56)</f>
        <v>1506463</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178575</v>
      </c>
      <c r="D59" s="477">
        <v>21473</v>
      </c>
      <c r="E59" s="477">
        <v>20760</v>
      </c>
      <c r="F59" s="477">
        <v>6297</v>
      </c>
      <c r="G59" s="477">
        <v>0</v>
      </c>
      <c r="H59" s="477">
        <v>8388</v>
      </c>
      <c r="I59" s="1968">
        <v>305</v>
      </c>
      <c r="J59" s="1968">
        <v>0</v>
      </c>
      <c r="K59" s="1645">
        <f t="shared" ref="K59:K64" si="7">SUM(C59:J59)</f>
        <v>235798</v>
      </c>
      <c r="L59" s="477">
        <v>267536</v>
      </c>
      <c r="M59" s="586"/>
      <c r="N59" s="586"/>
    </row>
    <row r="60" spans="1:14" s="343" customFormat="1" x14ac:dyDescent="0.2">
      <c r="A60" s="1477" t="s">
        <v>463</v>
      </c>
      <c r="B60" s="591">
        <v>2520</v>
      </c>
      <c r="C60" s="1967">
        <v>148552</v>
      </c>
      <c r="D60" s="1967">
        <v>15991</v>
      </c>
      <c r="E60" s="1967">
        <v>0</v>
      </c>
      <c r="F60" s="1967">
        <v>0</v>
      </c>
      <c r="G60" s="1967">
        <v>0</v>
      </c>
      <c r="H60" s="1967">
        <v>0</v>
      </c>
      <c r="I60" s="1968">
        <v>0</v>
      </c>
      <c r="J60" s="1968">
        <v>0</v>
      </c>
      <c r="K60" s="1645">
        <f t="shared" si="7"/>
        <v>164543</v>
      </c>
      <c r="L60" s="1989">
        <v>120116</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216408</v>
      </c>
      <c r="D63" s="1967">
        <v>31787</v>
      </c>
      <c r="E63" s="1967">
        <v>4518</v>
      </c>
      <c r="F63" s="1967">
        <v>297467</v>
      </c>
      <c r="G63" s="1967">
        <v>0</v>
      </c>
      <c r="H63" s="1967">
        <v>0</v>
      </c>
      <c r="I63" s="1968">
        <v>0</v>
      </c>
      <c r="J63" s="1968">
        <v>0</v>
      </c>
      <c r="K63" s="1645">
        <f t="shared" si="7"/>
        <v>550180</v>
      </c>
      <c r="L63" s="1989">
        <v>597757</v>
      </c>
    </row>
    <row r="64" spans="1:14" s="586" customFormat="1" x14ac:dyDescent="0.2">
      <c r="A64" s="1482" t="s">
        <v>101</v>
      </c>
      <c r="B64" s="607">
        <v>2570</v>
      </c>
      <c r="C64" s="477">
        <v>13487</v>
      </c>
      <c r="D64" s="477">
        <v>85</v>
      </c>
      <c r="E64" s="477">
        <v>0</v>
      </c>
      <c r="F64" s="477">
        <v>60964</v>
      </c>
      <c r="G64" s="477">
        <v>0</v>
      </c>
      <c r="H64" s="477">
        <v>0</v>
      </c>
      <c r="I64" s="1968">
        <v>0</v>
      </c>
      <c r="J64" s="1968">
        <v>0</v>
      </c>
      <c r="K64" s="1645">
        <f t="shared" si="7"/>
        <v>74536</v>
      </c>
      <c r="L64" s="477">
        <v>76000</v>
      </c>
    </row>
    <row r="65" spans="1:14" s="343" customFormat="1" ht="12.75" customHeight="1" thickBot="1" x14ac:dyDescent="0.25">
      <c r="A65" s="1641" t="s">
        <v>719</v>
      </c>
      <c r="B65" s="1642" t="s">
        <v>35</v>
      </c>
      <c r="C65" s="1643">
        <f>SUM(C59:C64)</f>
        <v>557022</v>
      </c>
      <c r="D65" s="1643">
        <f t="shared" ref="D65:L65" si="8">SUM(D59:D64)</f>
        <v>69336</v>
      </c>
      <c r="E65" s="1643">
        <f t="shared" si="8"/>
        <v>25278</v>
      </c>
      <c r="F65" s="1643">
        <f t="shared" si="8"/>
        <v>364728</v>
      </c>
      <c r="G65" s="1643">
        <f t="shared" si="8"/>
        <v>0</v>
      </c>
      <c r="H65" s="1643">
        <f t="shared" si="8"/>
        <v>8388</v>
      </c>
      <c r="I65" s="1643">
        <f t="shared" si="8"/>
        <v>305</v>
      </c>
      <c r="J65" s="1643">
        <f t="shared" si="8"/>
        <v>0</v>
      </c>
      <c r="K65" s="1643">
        <f t="shared" si="8"/>
        <v>1025057</v>
      </c>
      <c r="L65" s="1643">
        <f t="shared" si="8"/>
        <v>1061409</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8">
        <v>0</v>
      </c>
      <c r="D73" s="1978">
        <v>0</v>
      </c>
      <c r="E73" s="1978">
        <v>630</v>
      </c>
      <c r="F73" s="1978">
        <v>572</v>
      </c>
      <c r="G73" s="1978">
        <v>0</v>
      </c>
      <c r="H73" s="1978">
        <v>0</v>
      </c>
      <c r="I73" s="1975">
        <v>0</v>
      </c>
      <c r="J73" s="1975">
        <v>0</v>
      </c>
      <c r="K73" s="1643">
        <f>SUM(C73:J73)</f>
        <v>1202</v>
      </c>
      <c r="L73" s="2002">
        <v>1000</v>
      </c>
      <c r="M73" s="586"/>
      <c r="N73" s="586"/>
    </row>
    <row r="74" spans="1:14" ht="12.75" customHeight="1" thickTop="1" thickBot="1" x14ac:dyDescent="0.25">
      <c r="A74" s="1641" t="s">
        <v>811</v>
      </c>
      <c r="B74" s="1649">
        <v>2000</v>
      </c>
      <c r="C74" s="1650">
        <f>SUM(C42,C47,C53,C57,C65,C72,C73)</f>
        <v>4905040</v>
      </c>
      <c r="D74" s="1650">
        <f t="shared" ref="D74:K74" si="10">SUM(D42,D47,D53,D57,D65,D72,D73)</f>
        <v>674685</v>
      </c>
      <c r="E74" s="1650">
        <f t="shared" si="10"/>
        <v>874128</v>
      </c>
      <c r="F74" s="1650">
        <f t="shared" si="10"/>
        <v>542866</v>
      </c>
      <c r="G74" s="1650">
        <f t="shared" si="10"/>
        <v>0</v>
      </c>
      <c r="H74" s="1650">
        <f t="shared" si="10"/>
        <v>19875</v>
      </c>
      <c r="I74" s="1650">
        <f t="shared" si="10"/>
        <v>403644</v>
      </c>
      <c r="J74" s="1650">
        <f t="shared" si="10"/>
        <v>0</v>
      </c>
      <c r="K74" s="1650">
        <f t="shared" si="10"/>
        <v>7420238</v>
      </c>
      <c r="L74" s="1650">
        <f>SUM(L42,L47,L53,L57,L65,L72,L73)</f>
        <v>7658545</v>
      </c>
    </row>
    <row r="75" spans="1:14" s="259" customFormat="1" ht="15.75" customHeight="1" thickTop="1" thickBot="1" x14ac:dyDescent="0.25">
      <c r="A75" s="1583" t="s">
        <v>47</v>
      </c>
      <c r="B75" s="1584" t="s">
        <v>575</v>
      </c>
      <c r="C75" s="1978">
        <v>152426</v>
      </c>
      <c r="D75" s="1978">
        <v>844</v>
      </c>
      <c r="E75" s="1978">
        <v>60793</v>
      </c>
      <c r="F75" s="1978">
        <v>0</v>
      </c>
      <c r="G75" s="1978">
        <v>0</v>
      </c>
      <c r="H75" s="1978">
        <v>0</v>
      </c>
      <c r="I75" s="1975">
        <v>0</v>
      </c>
      <c r="J75" s="1975">
        <v>0</v>
      </c>
      <c r="K75" s="1643">
        <f>SUM(C75:J75)</f>
        <v>214063</v>
      </c>
      <c r="L75" s="2002">
        <v>249688</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290625</v>
      </c>
      <c r="F79" s="593"/>
      <c r="G79" s="593"/>
      <c r="H79" s="1967">
        <v>1516</v>
      </c>
      <c r="I79" s="473"/>
      <c r="J79" s="473"/>
      <c r="K79" s="1644">
        <f t="shared" si="11"/>
        <v>292141</v>
      </c>
      <c r="L79" s="1989">
        <v>432000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290625</v>
      </c>
      <c r="F84" s="593"/>
      <c r="G84" s="593"/>
      <c r="H84" s="1643">
        <f>SUM(H78:H83)</f>
        <v>1516</v>
      </c>
      <c r="I84" s="473"/>
      <c r="J84" s="473"/>
      <c r="K84" s="1643">
        <f>SUM(K78:K83)</f>
        <v>292141</v>
      </c>
      <c r="L84" s="1643">
        <f>SUM(L78:L83)</f>
        <v>432000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300958</v>
      </c>
      <c r="I86" s="473"/>
      <c r="J86" s="473"/>
      <c r="K86" s="1650">
        <f t="shared" ref="K86:K98" si="12">H86</f>
        <v>300958</v>
      </c>
      <c r="L86" s="1997">
        <v>355000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300958</v>
      </c>
      <c r="I92" s="473"/>
      <c r="J92" s="473"/>
      <c r="K92" s="1650">
        <f t="shared" si="12"/>
        <v>300958</v>
      </c>
      <c r="L92" s="1643">
        <f>SUM(L85:L91)</f>
        <v>355000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290625</v>
      </c>
      <c r="F102" s="593"/>
      <c r="G102" s="593"/>
      <c r="H102" s="1650">
        <f>SUM(H84,H92,H100,H101)</f>
        <v>302474</v>
      </c>
      <c r="I102" s="473"/>
      <c r="J102" s="473"/>
      <c r="K102" s="1650">
        <f>SUM(K84,K92,K100,K101)</f>
        <v>593099</v>
      </c>
      <c r="L102" s="1650">
        <f>SUM(L84,L92,L100,L101)</f>
        <v>787000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17906038</v>
      </c>
      <c r="D114" s="1643">
        <f t="shared" ref="D114:K114" si="13">SUM(D33,D74,D75,D102,D112,D113)</f>
        <v>3320576</v>
      </c>
      <c r="E114" s="1643">
        <f t="shared" si="13"/>
        <v>1591428</v>
      </c>
      <c r="F114" s="1643">
        <f t="shared" si="13"/>
        <v>1007632</v>
      </c>
      <c r="G114" s="1643">
        <f t="shared" si="13"/>
        <v>7388</v>
      </c>
      <c r="H114" s="1643">
        <f>SUM(H33,H74,H75,H102,H112,H113)</f>
        <v>2009367</v>
      </c>
      <c r="I114" s="1643">
        <f t="shared" si="13"/>
        <v>538078</v>
      </c>
      <c r="J114" s="1643">
        <f t="shared" si="13"/>
        <v>0</v>
      </c>
      <c r="K114" s="1643">
        <f t="shared" si="13"/>
        <v>26380507</v>
      </c>
      <c r="L114" s="1643">
        <f>SUM(L33,L74,L75,L102,L112,L113)</f>
        <v>26935663</v>
      </c>
    </row>
    <row r="115" spans="1:14" ht="13.5" thickTop="1" x14ac:dyDescent="0.2">
      <c r="A115" s="2254" t="s">
        <v>996</v>
      </c>
      <c r="B115" s="2255"/>
      <c r="C115" s="595"/>
      <c r="D115" s="595"/>
      <c r="E115" s="595"/>
      <c r="F115" s="595"/>
      <c r="G115" s="595"/>
      <c r="H115" s="595"/>
      <c r="I115" s="595"/>
      <c r="J115" s="595"/>
      <c r="K115" s="1657">
        <f>'Revenues 9-14'!C268-'Expenditures 15-22'!K114</f>
        <v>2665740</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2" t="s">
        <v>296</v>
      </c>
      <c r="B117" s="2233"/>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2059</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1500</v>
      </c>
      <c r="F123" s="1967">
        <v>0</v>
      </c>
      <c r="G123" s="1967">
        <v>829409</v>
      </c>
      <c r="H123" s="1967">
        <v>0</v>
      </c>
      <c r="I123" s="1968">
        <v>0</v>
      </c>
      <c r="J123" s="1968">
        <v>0</v>
      </c>
      <c r="K123" s="1643">
        <f>SUM(C123:J123)</f>
        <v>830909</v>
      </c>
      <c r="L123" s="1989">
        <v>1964000</v>
      </c>
    </row>
    <row r="124" spans="1:14" ht="14.25" thickTop="1" thickBot="1" x14ac:dyDescent="0.25">
      <c r="A124" s="1477" t="s">
        <v>197</v>
      </c>
      <c r="B124" s="591">
        <v>2540</v>
      </c>
      <c r="C124" s="1967">
        <v>707909</v>
      </c>
      <c r="D124" s="1967">
        <v>119286</v>
      </c>
      <c r="E124" s="1967">
        <v>1621665</v>
      </c>
      <c r="F124" s="1967">
        <v>970073</v>
      </c>
      <c r="G124" s="1967">
        <v>56959</v>
      </c>
      <c r="H124" s="1967">
        <v>0</v>
      </c>
      <c r="I124" s="1968">
        <v>104318</v>
      </c>
      <c r="J124" s="1968">
        <v>0</v>
      </c>
      <c r="K124" s="1643">
        <f>SUM(C124:J124)</f>
        <v>3580210</v>
      </c>
      <c r="L124" s="1989">
        <v>4347246</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707909</v>
      </c>
      <c r="D127" s="1643">
        <f t="shared" ref="D127:L127" si="14">SUM(D122:D126)</f>
        <v>119286</v>
      </c>
      <c r="E127" s="1643">
        <f t="shared" si="14"/>
        <v>1623165</v>
      </c>
      <c r="F127" s="1643">
        <f t="shared" si="14"/>
        <v>970073</v>
      </c>
      <c r="G127" s="1643">
        <f t="shared" si="14"/>
        <v>886368</v>
      </c>
      <c r="H127" s="1643">
        <f t="shared" si="14"/>
        <v>0</v>
      </c>
      <c r="I127" s="1643">
        <f t="shared" si="14"/>
        <v>104318</v>
      </c>
      <c r="J127" s="1643">
        <f t="shared" si="14"/>
        <v>0</v>
      </c>
      <c r="K127" s="1643">
        <f t="shared" si="14"/>
        <v>4411119</v>
      </c>
      <c r="L127" s="1643">
        <f t="shared" si="14"/>
        <v>6311246</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707909</v>
      </c>
      <c r="D129" s="1650">
        <f t="shared" ref="D129:L129" si="15">SUM(D120,D127,D128)</f>
        <v>119286</v>
      </c>
      <c r="E129" s="1650">
        <f t="shared" si="15"/>
        <v>1623165</v>
      </c>
      <c r="F129" s="1650">
        <f t="shared" si="15"/>
        <v>970073</v>
      </c>
      <c r="G129" s="1650">
        <f t="shared" si="15"/>
        <v>886368</v>
      </c>
      <c r="H129" s="1650">
        <f t="shared" si="15"/>
        <v>0</v>
      </c>
      <c r="I129" s="1650">
        <f t="shared" si="15"/>
        <v>104318</v>
      </c>
      <c r="J129" s="1650">
        <f t="shared" si="15"/>
        <v>0</v>
      </c>
      <c r="K129" s="1650">
        <f t="shared" si="15"/>
        <v>4411119</v>
      </c>
      <c r="L129" s="1650">
        <f t="shared" si="15"/>
        <v>6311246</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1844</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4" t="s">
        <v>620</v>
      </c>
      <c r="B151" s="2226"/>
      <c r="C151" s="1643">
        <f>SUM(C129,C130,C139,C149,C150)</f>
        <v>707909</v>
      </c>
      <c r="D151" s="1643">
        <f t="shared" ref="D151:K151" si="16">SUM(D129,D130,D139,D149,D150)</f>
        <v>119286</v>
      </c>
      <c r="E151" s="1643">
        <f t="shared" si="16"/>
        <v>1623165</v>
      </c>
      <c r="F151" s="1643">
        <f t="shared" si="16"/>
        <v>970073</v>
      </c>
      <c r="G151" s="1643">
        <f t="shared" si="16"/>
        <v>886368</v>
      </c>
      <c r="H151" s="1643">
        <f t="shared" si="16"/>
        <v>0</v>
      </c>
      <c r="I151" s="1643">
        <f t="shared" si="16"/>
        <v>104318</v>
      </c>
      <c r="J151" s="1643">
        <f t="shared" si="16"/>
        <v>0</v>
      </c>
      <c r="K151" s="1643">
        <f t="shared" si="16"/>
        <v>4411119</v>
      </c>
      <c r="L151" s="1643">
        <f>SUM(L129,L130,L139,L149,L150)</f>
        <v>6311246</v>
      </c>
    </row>
    <row r="152" spans="1:14" ht="12.75" customHeight="1" thickTop="1" x14ac:dyDescent="0.2">
      <c r="A152" s="2247" t="s">
        <v>1178</v>
      </c>
      <c r="B152" s="2248"/>
      <c r="C152" s="595"/>
      <c r="D152" s="595"/>
      <c r="E152" s="595"/>
      <c r="F152" s="595"/>
      <c r="G152" s="595"/>
      <c r="H152" s="595"/>
      <c r="I152" s="595"/>
      <c r="J152" s="593"/>
      <c r="K152" s="1657">
        <f>'Revenues 9-14'!D268-'Expenditures 15-22'!K151</f>
        <v>-1854222</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2" t="s">
        <v>621</v>
      </c>
      <c r="B154" s="2234"/>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1845</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1844</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1846</v>
      </c>
      <c r="C158" s="593"/>
      <c r="D158" s="593"/>
      <c r="E158" s="593"/>
      <c r="F158" s="593"/>
      <c r="G158" s="593"/>
      <c r="H158" s="1968">
        <v>0</v>
      </c>
      <c r="I158" s="593"/>
      <c r="J158" s="593"/>
      <c r="K158" s="1644">
        <f>H158</f>
        <v>0</v>
      </c>
      <c r="L158" s="1990">
        <v>0</v>
      </c>
      <c r="M158" s="596"/>
      <c r="N158" s="596"/>
    </row>
    <row r="159" spans="1:14" s="597" customFormat="1" ht="12" x14ac:dyDescent="0.2">
      <c r="A159" s="1799" t="s">
        <v>1847</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1848</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181000</v>
      </c>
      <c r="I169" s="593"/>
      <c r="J169" s="593"/>
      <c r="K169" s="1644">
        <f>SUM(C169:H169)</f>
        <v>181000</v>
      </c>
      <c r="L169" s="2004">
        <v>181000</v>
      </c>
    </row>
    <row r="170" spans="1:14" ht="33.75" customHeight="1" x14ac:dyDescent="0.2">
      <c r="A170" s="644" t="s">
        <v>1670</v>
      </c>
      <c r="B170" s="646" t="s">
        <v>31</v>
      </c>
      <c r="C170" s="593"/>
      <c r="D170" s="593"/>
      <c r="E170" s="593"/>
      <c r="F170" s="593"/>
      <c r="G170" s="593"/>
      <c r="H170" s="1973">
        <v>4385000</v>
      </c>
      <c r="I170" s="593"/>
      <c r="J170" s="593"/>
      <c r="K170" s="1644">
        <f>SUM(C170:J170)</f>
        <v>4385000</v>
      </c>
      <c r="L170" s="1995">
        <v>4385000</v>
      </c>
    </row>
    <row r="171" spans="1:14" ht="15.75" customHeight="1" x14ac:dyDescent="0.2">
      <c r="A171" s="598" t="s">
        <v>766</v>
      </c>
      <c r="B171" s="647" t="s">
        <v>84</v>
      </c>
      <c r="C171" s="593"/>
      <c r="D171" s="593"/>
      <c r="E171" s="1967">
        <v>0</v>
      </c>
      <c r="F171" s="593"/>
      <c r="G171" s="593"/>
      <c r="H171" s="1973">
        <v>520607</v>
      </c>
      <c r="I171" s="473"/>
      <c r="J171" s="593"/>
      <c r="K171" s="1644">
        <f>SUM(C171:J171)</f>
        <v>520607</v>
      </c>
      <c r="L171" s="1995">
        <v>1000</v>
      </c>
    </row>
    <row r="172" spans="1:14" ht="12.75" customHeight="1" thickBot="1" x14ac:dyDescent="0.25">
      <c r="A172" s="1641" t="s">
        <v>638</v>
      </c>
      <c r="B172" s="1642" t="s">
        <v>492</v>
      </c>
      <c r="C172" s="593"/>
      <c r="D172" s="593"/>
      <c r="E172" s="1650">
        <f>SUM(E168,E169,E170,E171)</f>
        <v>0</v>
      </c>
      <c r="F172" s="593"/>
      <c r="G172" s="593"/>
      <c r="H172" s="1650">
        <f>SUM(H168,H169,H170,H171)</f>
        <v>5086607</v>
      </c>
      <c r="I172" s="615"/>
      <c r="J172" s="593"/>
      <c r="K172" s="1650">
        <f>SUM(K168,K169,K170,K171)</f>
        <v>5086607</v>
      </c>
      <c r="L172" s="1650">
        <f>SUM(L168,L169,L170,L171)</f>
        <v>4567000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5086607</v>
      </c>
      <c r="I174" s="615"/>
      <c r="J174" s="593"/>
      <c r="K174" s="1650">
        <f>SUM(K160,K172,K173)</f>
        <v>5086607</v>
      </c>
      <c r="L174" s="1650">
        <f>SUM(L160,L172,L173)</f>
        <v>4567000</v>
      </c>
    </row>
    <row r="175" spans="1:14" ht="13.5" thickTop="1" x14ac:dyDescent="0.2">
      <c r="A175" s="2254" t="s">
        <v>996</v>
      </c>
      <c r="B175" s="2255"/>
      <c r="C175" s="593"/>
      <c r="D175" s="593"/>
      <c r="E175" s="593"/>
      <c r="F175" s="593"/>
      <c r="G175" s="593"/>
      <c r="H175" s="595"/>
      <c r="I175" s="593"/>
      <c r="J175" s="593"/>
      <c r="K175" s="1657">
        <f>'Revenues 9-14'!E268-'Expenditures 15-22'!K174</f>
        <v>-498850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2059</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726806</v>
      </c>
      <c r="D182" s="1967">
        <v>25153</v>
      </c>
      <c r="E182" s="1967">
        <v>558904</v>
      </c>
      <c r="F182" s="1967">
        <v>110246</v>
      </c>
      <c r="G182" s="1967">
        <v>0</v>
      </c>
      <c r="H182" s="1967">
        <v>0</v>
      </c>
      <c r="I182" s="1968">
        <v>372</v>
      </c>
      <c r="J182" s="1968">
        <v>0</v>
      </c>
      <c r="K182" s="1644">
        <f>SUM(C182:J182)</f>
        <v>1421481</v>
      </c>
      <c r="L182" s="1989">
        <v>1454990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726806</v>
      </c>
      <c r="D184" s="1650">
        <f t="shared" ref="D184:J184" si="17">SUM(D180,D182,D183)</f>
        <v>25153</v>
      </c>
      <c r="E184" s="1650">
        <f t="shared" si="17"/>
        <v>558904</v>
      </c>
      <c r="F184" s="1650">
        <f t="shared" si="17"/>
        <v>110246</v>
      </c>
      <c r="G184" s="1650">
        <f t="shared" si="17"/>
        <v>0</v>
      </c>
      <c r="H184" s="1650">
        <f t="shared" si="17"/>
        <v>0</v>
      </c>
      <c r="I184" s="1650">
        <f t="shared" si="17"/>
        <v>372</v>
      </c>
      <c r="J184" s="1650">
        <f t="shared" si="17"/>
        <v>0</v>
      </c>
      <c r="K184" s="1650">
        <f>SUM(K180,K182,K183)</f>
        <v>1421481</v>
      </c>
      <c r="L184" s="1650">
        <f>SUM(L180, L182:L183)</f>
        <v>1454990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726806</v>
      </c>
      <c r="D210" s="1643">
        <f>SUM(D184,D185)</f>
        <v>25153</v>
      </c>
      <c r="E210" s="1643">
        <f>SUM(E184,E185,E196)</f>
        <v>558904</v>
      </c>
      <c r="F210" s="1643">
        <f>SUM(F184,F185)</f>
        <v>110246</v>
      </c>
      <c r="G210" s="1643">
        <f>SUM(G184,G185)</f>
        <v>0</v>
      </c>
      <c r="H210" s="1643">
        <f>SUM(H184,H185,H196,H208,H209)</f>
        <v>0</v>
      </c>
      <c r="I210" s="1643">
        <f>SUM(I184,I185)</f>
        <v>372</v>
      </c>
      <c r="J210" s="1643">
        <f>SUM(J184,J185)</f>
        <v>0</v>
      </c>
      <c r="K210" s="1644">
        <f>SUM(K184,K185,K196,K208,K209)</f>
        <v>1421481</v>
      </c>
      <c r="L210" s="1643">
        <f>SUM(L184,L185,L196,L208,L209)</f>
        <v>1454990</v>
      </c>
    </row>
    <row r="211" spans="1:14" ht="13.5" thickTop="1" x14ac:dyDescent="0.2">
      <c r="A211" s="2254" t="s">
        <v>996</v>
      </c>
      <c r="B211" s="2255"/>
      <c r="C211" s="595"/>
      <c r="D211" s="595"/>
      <c r="E211" s="595"/>
      <c r="F211" s="595"/>
      <c r="G211" s="595"/>
      <c r="H211" s="595"/>
      <c r="I211" s="593"/>
      <c r="J211" s="593"/>
      <c r="K211" s="1657">
        <f>'Revenues 9-14'!F268-'Expenditures 15-22'!K210</f>
        <v>-83038</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9" t="s">
        <v>965</v>
      </c>
      <c r="B213" s="2250"/>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148924</v>
      </c>
      <c r="E215" s="593"/>
      <c r="F215" s="593"/>
      <c r="G215" s="593"/>
      <c r="H215" s="593"/>
      <c r="I215" s="593"/>
      <c r="J215" s="593"/>
      <c r="K215" s="1644">
        <f>D215</f>
        <v>148924</v>
      </c>
      <c r="L215" s="1989">
        <v>0</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112723</v>
      </c>
      <c r="E217" s="593"/>
      <c r="F217" s="593"/>
      <c r="G217" s="593"/>
      <c r="H217" s="593"/>
      <c r="I217" s="593"/>
      <c r="J217" s="593"/>
      <c r="K217" s="1644">
        <f t="shared" si="19"/>
        <v>112723</v>
      </c>
      <c r="L217" s="1989">
        <v>241434</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4194</v>
      </c>
      <c r="E219" s="593"/>
      <c r="F219" s="593"/>
      <c r="G219" s="593"/>
      <c r="H219" s="593"/>
      <c r="I219" s="593"/>
      <c r="J219" s="593"/>
      <c r="K219" s="1644">
        <f t="shared" si="19"/>
        <v>4194</v>
      </c>
      <c r="L219" s="1989">
        <v>7775</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610</v>
      </c>
      <c r="E222" s="593"/>
      <c r="F222" s="593"/>
      <c r="G222" s="593"/>
      <c r="H222" s="593"/>
      <c r="I222" s="593"/>
      <c r="J222" s="593"/>
      <c r="K222" s="1644">
        <f t="shared" si="19"/>
        <v>610</v>
      </c>
      <c r="L222" s="1989">
        <v>93</v>
      </c>
    </row>
    <row r="223" spans="1:14" x14ac:dyDescent="0.2">
      <c r="A223" s="1477" t="s">
        <v>963</v>
      </c>
      <c r="B223" s="591">
        <v>1500</v>
      </c>
      <c r="C223" s="593"/>
      <c r="D223" s="1967">
        <v>23047</v>
      </c>
      <c r="E223" s="593"/>
      <c r="F223" s="593"/>
      <c r="G223" s="593"/>
      <c r="H223" s="593"/>
      <c r="I223" s="593"/>
      <c r="J223" s="593"/>
      <c r="K223" s="1644">
        <f t="shared" si="19"/>
        <v>23047</v>
      </c>
      <c r="L223" s="1989">
        <v>20531</v>
      </c>
    </row>
    <row r="224" spans="1:14" x14ac:dyDescent="0.2">
      <c r="A224" s="1477" t="s">
        <v>964</v>
      </c>
      <c r="B224" s="591">
        <v>1600</v>
      </c>
      <c r="C224" s="593"/>
      <c r="D224" s="1967">
        <v>1639</v>
      </c>
      <c r="E224" s="593"/>
      <c r="F224" s="593"/>
      <c r="G224" s="593"/>
      <c r="H224" s="593"/>
      <c r="I224" s="593"/>
      <c r="J224" s="593"/>
      <c r="K224" s="1644">
        <f t="shared" si="19"/>
        <v>1639</v>
      </c>
      <c r="L224" s="1989">
        <v>1620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4251</v>
      </c>
      <c r="E226" s="593"/>
      <c r="F226" s="593"/>
      <c r="G226" s="593"/>
      <c r="H226" s="593"/>
      <c r="I226" s="593"/>
      <c r="J226" s="593"/>
      <c r="K226" s="1644">
        <f t="shared" si="19"/>
        <v>4251</v>
      </c>
      <c r="L226" s="1989">
        <v>3604</v>
      </c>
    </row>
    <row r="227" spans="1:12" x14ac:dyDescent="0.2">
      <c r="A227" s="1477" t="s">
        <v>1087</v>
      </c>
      <c r="B227" s="591">
        <v>1800</v>
      </c>
      <c r="C227" s="593"/>
      <c r="D227" s="1967">
        <v>0</v>
      </c>
      <c r="E227" s="593"/>
      <c r="F227" s="593"/>
      <c r="G227" s="593"/>
      <c r="H227" s="593"/>
      <c r="I227" s="593"/>
      <c r="J227" s="593"/>
      <c r="K227" s="1644">
        <f t="shared" si="19"/>
        <v>0</v>
      </c>
      <c r="L227" s="1989">
        <v>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295388</v>
      </c>
      <c r="E229" s="593"/>
      <c r="F229" s="593"/>
      <c r="G229" s="593"/>
      <c r="H229" s="593"/>
      <c r="I229" s="593"/>
      <c r="J229" s="593"/>
      <c r="K229" s="1643">
        <f>SUM(K215:K228)</f>
        <v>295388</v>
      </c>
      <c r="L229" s="1643">
        <f>SUM(L215:L228)</f>
        <v>275057</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3947</v>
      </c>
      <c r="E232" s="593"/>
      <c r="F232" s="593"/>
      <c r="G232" s="593"/>
      <c r="H232" s="593"/>
      <c r="I232" s="593"/>
      <c r="J232" s="593"/>
      <c r="K232" s="1644">
        <f t="shared" ref="K232:K237" si="20">D232</f>
        <v>3947</v>
      </c>
      <c r="L232" s="1989">
        <v>3829</v>
      </c>
    </row>
    <row r="233" spans="1:12" x14ac:dyDescent="0.2">
      <c r="A233" s="1477" t="s">
        <v>1090</v>
      </c>
      <c r="B233" s="591">
        <v>2120</v>
      </c>
      <c r="C233" s="593"/>
      <c r="D233" s="1967">
        <v>13651</v>
      </c>
      <c r="E233" s="593"/>
      <c r="F233" s="593"/>
      <c r="G233" s="593"/>
      <c r="H233" s="593"/>
      <c r="I233" s="593"/>
      <c r="J233" s="593"/>
      <c r="K233" s="1644">
        <f t="shared" si="20"/>
        <v>13651</v>
      </c>
      <c r="L233" s="1989">
        <v>13926</v>
      </c>
    </row>
    <row r="234" spans="1:12" x14ac:dyDescent="0.2">
      <c r="A234" s="1477" t="s">
        <v>198</v>
      </c>
      <c r="B234" s="591">
        <v>2130</v>
      </c>
      <c r="C234" s="593"/>
      <c r="D234" s="1967">
        <v>8774</v>
      </c>
      <c r="E234" s="593"/>
      <c r="F234" s="593"/>
      <c r="G234" s="593"/>
      <c r="H234" s="593"/>
      <c r="I234" s="593"/>
      <c r="J234" s="593"/>
      <c r="K234" s="1644">
        <f t="shared" si="20"/>
        <v>8774</v>
      </c>
      <c r="L234" s="1989">
        <v>3338</v>
      </c>
    </row>
    <row r="235" spans="1:12" x14ac:dyDescent="0.2">
      <c r="A235" s="1477" t="s">
        <v>199</v>
      </c>
      <c r="B235" s="591">
        <v>2140</v>
      </c>
      <c r="C235" s="593"/>
      <c r="D235" s="1967">
        <v>3326</v>
      </c>
      <c r="E235" s="593"/>
      <c r="F235" s="593"/>
      <c r="G235" s="593"/>
      <c r="H235" s="593"/>
      <c r="I235" s="593"/>
      <c r="J235" s="593"/>
      <c r="K235" s="1644">
        <f t="shared" si="20"/>
        <v>3326</v>
      </c>
      <c r="L235" s="1989">
        <v>2813</v>
      </c>
    </row>
    <row r="236" spans="1:12" x14ac:dyDescent="0.2">
      <c r="A236" s="1477" t="s">
        <v>200</v>
      </c>
      <c r="B236" s="591">
        <v>2150</v>
      </c>
      <c r="C236" s="593"/>
      <c r="D236" s="1967">
        <v>0</v>
      </c>
      <c r="E236" s="593"/>
      <c r="F236" s="593"/>
      <c r="G236" s="593"/>
      <c r="H236" s="593"/>
      <c r="I236" s="593"/>
      <c r="J236" s="593"/>
      <c r="K236" s="1644">
        <f t="shared" si="20"/>
        <v>0</v>
      </c>
      <c r="L236" s="1989">
        <v>0</v>
      </c>
    </row>
    <row r="237" spans="1:12" x14ac:dyDescent="0.2">
      <c r="A237" s="1477" t="s">
        <v>165</v>
      </c>
      <c r="B237" s="591">
        <v>2190</v>
      </c>
      <c r="C237" s="593"/>
      <c r="D237" s="1967">
        <v>23988</v>
      </c>
      <c r="E237" s="593"/>
      <c r="F237" s="593"/>
      <c r="G237" s="593"/>
      <c r="H237" s="593"/>
      <c r="I237" s="593"/>
      <c r="J237" s="593"/>
      <c r="K237" s="1644">
        <f t="shared" si="20"/>
        <v>23988</v>
      </c>
      <c r="L237" s="1989">
        <v>21248</v>
      </c>
    </row>
    <row r="238" spans="1:12" ht="12.75" customHeight="1" thickBot="1" x14ac:dyDescent="0.25">
      <c r="A238" s="1641" t="s">
        <v>560</v>
      </c>
      <c r="B238" s="1648" t="s">
        <v>716</v>
      </c>
      <c r="C238" s="593"/>
      <c r="D238" s="1643">
        <f>SUM(D232:D237)</f>
        <v>53686</v>
      </c>
      <c r="E238" s="593"/>
      <c r="F238" s="593"/>
      <c r="G238" s="593"/>
      <c r="H238" s="593"/>
      <c r="I238" s="593"/>
      <c r="J238" s="593"/>
      <c r="K238" s="1643">
        <f>SUM(K232:K237)</f>
        <v>53686</v>
      </c>
      <c r="L238" s="1643">
        <f>SUM(L232:L237)</f>
        <v>45154</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10282</v>
      </c>
      <c r="E240" s="593"/>
      <c r="F240" s="593"/>
      <c r="G240" s="593"/>
      <c r="H240" s="593"/>
      <c r="I240" s="593"/>
      <c r="J240" s="593"/>
      <c r="K240" s="1645">
        <f>D240</f>
        <v>10282</v>
      </c>
      <c r="L240" s="477">
        <v>12426</v>
      </c>
    </row>
    <row r="241" spans="1:12" x14ac:dyDescent="0.2">
      <c r="A241" s="1477" t="s">
        <v>815</v>
      </c>
      <c r="B241" s="591">
        <v>2220</v>
      </c>
      <c r="C241" s="593"/>
      <c r="D241" s="1967">
        <v>79938</v>
      </c>
      <c r="E241" s="593"/>
      <c r="F241" s="593"/>
      <c r="G241" s="593"/>
      <c r="H241" s="593"/>
      <c r="I241" s="593"/>
      <c r="J241" s="593"/>
      <c r="K241" s="1645">
        <f>D241</f>
        <v>79938</v>
      </c>
      <c r="L241" s="1989">
        <v>77288</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90220</v>
      </c>
      <c r="E243" s="593"/>
      <c r="F243" s="593"/>
      <c r="G243" s="593"/>
      <c r="H243" s="593"/>
      <c r="I243" s="593"/>
      <c r="J243" s="593"/>
      <c r="K243" s="1643">
        <f>SUM(K240:K242)</f>
        <v>90220</v>
      </c>
      <c r="L243" s="1643">
        <f>SUM(L240:L242)</f>
        <v>89714</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5595</v>
      </c>
      <c r="E245" s="593"/>
      <c r="F245" s="593"/>
      <c r="G245" s="593"/>
      <c r="H245" s="593"/>
      <c r="I245" s="593"/>
      <c r="J245" s="593"/>
      <c r="K245" s="1645">
        <f>D245</f>
        <v>5595</v>
      </c>
      <c r="L245" s="477">
        <v>10215</v>
      </c>
    </row>
    <row r="246" spans="1:12" x14ac:dyDescent="0.2">
      <c r="A246" s="1477" t="s">
        <v>818</v>
      </c>
      <c r="B246" s="591">
        <v>2320</v>
      </c>
      <c r="C246" s="593"/>
      <c r="D246" s="1967">
        <v>19991</v>
      </c>
      <c r="E246" s="593"/>
      <c r="F246" s="593"/>
      <c r="G246" s="593"/>
      <c r="H246" s="593"/>
      <c r="I246" s="593"/>
      <c r="J246" s="593"/>
      <c r="K246" s="1645">
        <f t="shared" ref="K246:K256" si="21">D246</f>
        <v>19991</v>
      </c>
      <c r="L246" s="1989">
        <v>12002</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1804</v>
      </c>
      <c r="B249" s="658" t="s">
        <v>282</v>
      </c>
      <c r="C249" s="593"/>
      <c r="D249" s="1970">
        <v>0</v>
      </c>
      <c r="E249" s="593"/>
      <c r="F249" s="593"/>
      <c r="G249" s="593"/>
      <c r="H249" s="593"/>
      <c r="I249" s="593"/>
      <c r="J249" s="593"/>
      <c r="K249" s="1645">
        <f t="shared" si="21"/>
        <v>0</v>
      </c>
      <c r="L249" s="1989">
        <v>0</v>
      </c>
    </row>
    <row r="250" spans="1:12" x14ac:dyDescent="0.2">
      <c r="A250" s="1478" t="s">
        <v>1805</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25586</v>
      </c>
      <c r="E257" s="593"/>
      <c r="F257" s="593"/>
      <c r="G257" s="593"/>
      <c r="H257" s="593"/>
      <c r="I257" s="593"/>
      <c r="J257" s="593"/>
      <c r="K257" s="1643">
        <f>SUM(K245:K256)</f>
        <v>25586</v>
      </c>
      <c r="L257" s="1643">
        <f>SUM(L245:L256)</f>
        <v>22217</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77585</v>
      </c>
      <c r="E259" s="593"/>
      <c r="F259" s="593"/>
      <c r="G259" s="593"/>
      <c r="H259" s="593"/>
      <c r="I259" s="593"/>
      <c r="J259" s="593"/>
      <c r="K259" s="1645">
        <f>D259</f>
        <v>77585</v>
      </c>
      <c r="L259" s="477">
        <v>81112</v>
      </c>
    </row>
    <row r="260" spans="1:14" s="574" customFormat="1" x14ac:dyDescent="0.2">
      <c r="A260" s="1495" t="s">
        <v>1803</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77585</v>
      </c>
      <c r="E261" s="593"/>
      <c r="F261" s="593"/>
      <c r="G261" s="593"/>
      <c r="H261" s="593"/>
      <c r="I261" s="593"/>
      <c r="J261" s="593"/>
      <c r="K261" s="1643">
        <f>SUM(K259:K260)</f>
        <v>77585</v>
      </c>
      <c r="L261" s="1643">
        <f>SUM(L259:L260)</f>
        <v>81112</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2676</v>
      </c>
      <c r="E263" s="593"/>
      <c r="F263" s="593"/>
      <c r="G263" s="593"/>
      <c r="H263" s="593"/>
      <c r="I263" s="593"/>
      <c r="J263" s="593"/>
      <c r="K263" s="1645">
        <f>D263</f>
        <v>2676</v>
      </c>
      <c r="L263" s="477">
        <v>2490</v>
      </c>
    </row>
    <row r="264" spans="1:14" x14ac:dyDescent="0.2">
      <c r="A264" s="1477" t="s">
        <v>463</v>
      </c>
      <c r="B264" s="660">
        <v>2520</v>
      </c>
      <c r="C264" s="593"/>
      <c r="D264" s="1967">
        <v>24802</v>
      </c>
      <c r="E264" s="593"/>
      <c r="F264" s="593"/>
      <c r="G264" s="593"/>
      <c r="H264" s="593"/>
      <c r="I264" s="593"/>
      <c r="J264" s="593"/>
      <c r="K264" s="1645">
        <f t="shared" ref="K264:K269" si="22">D264</f>
        <v>24802</v>
      </c>
      <c r="L264" s="1989">
        <v>22569</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115578</v>
      </c>
      <c r="E266" s="593"/>
      <c r="F266" s="593"/>
      <c r="G266" s="593"/>
      <c r="H266" s="593"/>
      <c r="I266" s="593"/>
      <c r="J266" s="593"/>
      <c r="K266" s="1645">
        <f t="shared" si="22"/>
        <v>115578</v>
      </c>
      <c r="L266" s="1989">
        <v>109672</v>
      </c>
    </row>
    <row r="267" spans="1:14" x14ac:dyDescent="0.2">
      <c r="A267" s="1477" t="s">
        <v>953</v>
      </c>
      <c r="B267" s="591">
        <v>2550</v>
      </c>
      <c r="C267" s="593"/>
      <c r="D267" s="1967">
        <v>120811</v>
      </c>
      <c r="E267" s="593"/>
      <c r="F267" s="593"/>
      <c r="G267" s="593"/>
      <c r="H267" s="593"/>
      <c r="I267" s="593"/>
      <c r="J267" s="593"/>
      <c r="K267" s="1645">
        <f t="shared" si="22"/>
        <v>120811</v>
      </c>
      <c r="L267" s="1989">
        <v>116393</v>
      </c>
    </row>
    <row r="268" spans="1:14" x14ac:dyDescent="0.2">
      <c r="A268" s="1477" t="s">
        <v>100</v>
      </c>
      <c r="B268" s="591">
        <v>2560</v>
      </c>
      <c r="C268" s="593"/>
      <c r="D268" s="1967">
        <v>35700</v>
      </c>
      <c r="E268" s="593"/>
      <c r="F268" s="593"/>
      <c r="G268" s="593"/>
      <c r="H268" s="593"/>
      <c r="I268" s="593"/>
      <c r="J268" s="593"/>
      <c r="K268" s="1645">
        <f t="shared" si="22"/>
        <v>35700</v>
      </c>
      <c r="L268" s="1989">
        <v>38774</v>
      </c>
    </row>
    <row r="269" spans="1:14" x14ac:dyDescent="0.2">
      <c r="A269" s="1477" t="s">
        <v>101</v>
      </c>
      <c r="B269" s="591">
        <v>2570</v>
      </c>
      <c r="C269" s="593"/>
      <c r="D269" s="1967">
        <v>682</v>
      </c>
      <c r="E269" s="593"/>
      <c r="F269" s="593"/>
      <c r="G269" s="593"/>
      <c r="H269" s="593"/>
      <c r="I269" s="593"/>
      <c r="J269" s="593"/>
      <c r="K269" s="1645">
        <f t="shared" si="22"/>
        <v>682</v>
      </c>
      <c r="L269" s="1989">
        <v>647</v>
      </c>
    </row>
    <row r="270" spans="1:14" ht="12.75" customHeight="1" thickBot="1" x14ac:dyDescent="0.25">
      <c r="A270" s="1641" t="s">
        <v>719</v>
      </c>
      <c r="B270" s="1648" t="s">
        <v>35</v>
      </c>
      <c r="C270" s="593"/>
      <c r="D270" s="1643">
        <f>SUM(D263:D269)</f>
        <v>300249</v>
      </c>
      <c r="E270" s="593"/>
      <c r="F270" s="593"/>
      <c r="G270" s="593"/>
      <c r="H270" s="593"/>
      <c r="I270" s="593"/>
      <c r="J270" s="593"/>
      <c r="K270" s="1643">
        <f>SUM(K263:K269)</f>
        <v>300249</v>
      </c>
      <c r="L270" s="1643">
        <f>SUM(L263:L269)</f>
        <v>290545</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547326</v>
      </c>
      <c r="E279" s="593"/>
      <c r="F279" s="593"/>
      <c r="G279" s="593"/>
      <c r="H279" s="593"/>
      <c r="I279" s="593"/>
      <c r="J279" s="593"/>
      <c r="K279" s="1650">
        <f>SUM(K238,K243,K257,K261,K270,K277,K278)</f>
        <v>547326</v>
      </c>
      <c r="L279" s="1650">
        <f>SUM(L238,L243,L257,L261,L270,L277,L278)</f>
        <v>528742</v>
      </c>
    </row>
    <row r="280" spans="1:12" ht="15.75" customHeight="1" thickTop="1" thickBot="1" x14ac:dyDescent="0.25">
      <c r="A280" s="1597" t="s">
        <v>875</v>
      </c>
      <c r="B280" s="1586">
        <v>3000</v>
      </c>
      <c r="C280" s="593"/>
      <c r="D280" s="1980">
        <v>17035</v>
      </c>
      <c r="E280" s="593"/>
      <c r="F280" s="593"/>
      <c r="G280" s="593"/>
      <c r="H280" s="593"/>
      <c r="I280" s="593"/>
      <c r="J280" s="593"/>
      <c r="K280" s="1652">
        <f>D280</f>
        <v>17035</v>
      </c>
      <c r="L280" s="2002">
        <v>7845</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1844</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5" t="s">
        <v>505</v>
      </c>
      <c r="B295" s="2246"/>
      <c r="C295" s="593"/>
      <c r="D295" s="1643">
        <f>SUM(D229,D279,D280,D285)</f>
        <v>859749</v>
      </c>
      <c r="E295" s="593"/>
      <c r="F295" s="593"/>
      <c r="G295" s="593"/>
      <c r="H295" s="1643">
        <f>H293</f>
        <v>0</v>
      </c>
      <c r="I295" s="593"/>
      <c r="J295" s="593"/>
      <c r="K295" s="1643">
        <f>SUM(K229,K279,K280,K285,K293,K294)</f>
        <v>859749</v>
      </c>
      <c r="L295" s="1643">
        <f>SUM(L229,L279,L280,L285,L293,L294)</f>
        <v>811644</v>
      </c>
    </row>
    <row r="296" spans="1:14" ht="13.5" thickTop="1" x14ac:dyDescent="0.2">
      <c r="A296" s="2254" t="s">
        <v>996</v>
      </c>
      <c r="B296" s="2255"/>
      <c r="C296" s="593"/>
      <c r="D296" s="595"/>
      <c r="E296" s="593"/>
      <c r="F296" s="593"/>
      <c r="G296" s="593"/>
      <c r="H296" s="662"/>
      <c r="I296" s="593"/>
      <c r="J296" s="593"/>
      <c r="K296" s="1657">
        <f>'Revenues 9-14'!G268-'Expenditures 15-22'!K295</f>
        <v>34120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7" t="s">
        <v>143</v>
      </c>
      <c r="B298" s="2231"/>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12650</v>
      </c>
      <c r="F301" s="1967">
        <v>0</v>
      </c>
      <c r="G301" s="1967">
        <v>1798687</v>
      </c>
      <c r="H301" s="1967">
        <v>0</v>
      </c>
      <c r="I301" s="1968">
        <v>0</v>
      </c>
      <c r="J301" s="1968">
        <v>0</v>
      </c>
      <c r="K301" s="1644">
        <f>SUM(C301:J301)</f>
        <v>1811337</v>
      </c>
      <c r="L301" s="1990">
        <v>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12650</v>
      </c>
      <c r="F303" s="1650">
        <f t="shared" si="23"/>
        <v>0</v>
      </c>
      <c r="G303" s="1650">
        <f t="shared" si="23"/>
        <v>1798687</v>
      </c>
      <c r="H303" s="1650">
        <f t="shared" si="23"/>
        <v>0</v>
      </c>
      <c r="I303" s="1650">
        <f t="shared" si="23"/>
        <v>0</v>
      </c>
      <c r="J303" s="1650">
        <f t="shared" si="23"/>
        <v>0</v>
      </c>
      <c r="K303" s="1650">
        <f t="shared" si="23"/>
        <v>1811337</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1849</v>
      </c>
      <c r="B306" s="665" t="s">
        <v>1844</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42" t="s">
        <v>277</v>
      </c>
      <c r="B312" s="2243"/>
      <c r="C312" s="1643">
        <f>SUM(C303)</f>
        <v>0</v>
      </c>
      <c r="D312" s="1643">
        <f>SUM(D303)</f>
        <v>0</v>
      </c>
      <c r="E312" s="1643">
        <f>SUM(E303,E310)</f>
        <v>12650</v>
      </c>
      <c r="F312" s="1643">
        <f>SUM(F303)</f>
        <v>0</v>
      </c>
      <c r="G312" s="1643">
        <f>SUM(G303)</f>
        <v>1798687</v>
      </c>
      <c r="H312" s="1643">
        <f>SUM(H303,H310)</f>
        <v>0</v>
      </c>
      <c r="I312" s="1643">
        <f>SUM(I303)</f>
        <v>0</v>
      </c>
      <c r="J312" s="1643">
        <f>SUM(J303)</f>
        <v>0</v>
      </c>
      <c r="K312" s="1643">
        <f>SUM(K303,K310,K311)</f>
        <v>1811337</v>
      </c>
      <c r="L312" s="1643">
        <f>SUM(L303,L310,L311)</f>
        <v>0</v>
      </c>
      <c r="M312" s="640"/>
      <c r="N312" s="640"/>
    </row>
    <row r="313" spans="1:14" ht="13.5" thickTop="1" x14ac:dyDescent="0.2">
      <c r="A313" s="2238" t="s">
        <v>996</v>
      </c>
      <c r="B313" s="2239"/>
      <c r="C313" s="603"/>
      <c r="D313" s="603"/>
      <c r="E313" s="603"/>
      <c r="F313" s="603"/>
      <c r="G313" s="603"/>
      <c r="H313" s="603"/>
      <c r="I313" s="603"/>
      <c r="J313" s="603"/>
      <c r="K313" s="1658">
        <f>'Revenues 9-14'!H268-'Expenditures 15-22'!K312</f>
        <v>-1676433</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1" t="s">
        <v>149</v>
      </c>
      <c r="B315" s="2252"/>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3" t="s">
        <v>898</v>
      </c>
      <c r="B317" s="2252"/>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1804</v>
      </c>
      <c r="B320" s="673" t="s">
        <v>282</v>
      </c>
      <c r="C320" s="1968">
        <v>0</v>
      </c>
      <c r="D320" s="1968">
        <v>0</v>
      </c>
      <c r="E320" s="1968">
        <v>0</v>
      </c>
      <c r="F320" s="1968">
        <v>0</v>
      </c>
      <c r="G320" s="1968">
        <v>0</v>
      </c>
      <c r="H320" s="1968">
        <v>0</v>
      </c>
      <c r="I320" s="1968">
        <v>0</v>
      </c>
      <c r="J320" s="1968">
        <v>0</v>
      </c>
      <c r="K320" s="1644">
        <f t="shared" ref="K320:K327" si="24">SUM(C320:J320)</f>
        <v>0</v>
      </c>
      <c r="L320" s="1990">
        <v>0</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0</v>
      </c>
      <c r="F322" s="1968">
        <v>0</v>
      </c>
      <c r="G322" s="1968">
        <v>0</v>
      </c>
      <c r="H322" s="1968">
        <v>0</v>
      </c>
      <c r="I322" s="1968">
        <v>0</v>
      </c>
      <c r="J322" s="1968">
        <v>0</v>
      </c>
      <c r="K322" s="1644">
        <f t="shared" si="24"/>
        <v>0</v>
      </c>
      <c r="L322" s="1990">
        <v>0</v>
      </c>
      <c r="M322" s="640"/>
      <c r="N322" s="640"/>
    </row>
    <row r="323" spans="1:14" s="649" customFormat="1" x14ac:dyDescent="0.2">
      <c r="A323" s="1492" t="s">
        <v>702</v>
      </c>
      <c r="B323" s="672" t="s">
        <v>285</v>
      </c>
      <c r="C323" s="1968">
        <v>0</v>
      </c>
      <c r="D323" s="1968">
        <v>0</v>
      </c>
      <c r="E323" s="1968">
        <v>129022</v>
      </c>
      <c r="F323" s="1968">
        <v>0</v>
      </c>
      <c r="G323" s="1968">
        <v>0</v>
      </c>
      <c r="H323" s="1968">
        <v>0</v>
      </c>
      <c r="I323" s="1968">
        <v>0</v>
      </c>
      <c r="J323" s="1968">
        <v>0</v>
      </c>
      <c r="K323" s="1644">
        <f t="shared" si="24"/>
        <v>129022</v>
      </c>
      <c r="L323" s="1990">
        <v>162100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50914</v>
      </c>
      <c r="F328" s="1970">
        <v>0</v>
      </c>
      <c r="G328" s="1970">
        <v>0</v>
      </c>
      <c r="H328" s="1970">
        <v>0</v>
      </c>
      <c r="I328" s="1970">
        <v>0</v>
      </c>
      <c r="J328" s="1970">
        <v>0</v>
      </c>
      <c r="K328" s="1672">
        <f>SUM(C328:J328)</f>
        <v>50914</v>
      </c>
      <c r="L328" s="1992">
        <v>31700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179936</v>
      </c>
      <c r="F330" s="1643">
        <f t="shared" si="25"/>
        <v>0</v>
      </c>
      <c r="G330" s="1643">
        <f t="shared" si="25"/>
        <v>0</v>
      </c>
      <c r="H330" s="1643">
        <f t="shared" si="25"/>
        <v>0</v>
      </c>
      <c r="I330" s="1643">
        <f t="shared" si="25"/>
        <v>0</v>
      </c>
      <c r="J330" s="1643">
        <f t="shared" si="25"/>
        <v>0</v>
      </c>
      <c r="K330" s="1643">
        <f>SUM(K319:K329)</f>
        <v>179936</v>
      </c>
      <c r="L330" s="1643">
        <f>SUM(L319:L329)</f>
        <v>193800</v>
      </c>
      <c r="M330" s="640"/>
      <c r="N330" s="640"/>
    </row>
    <row r="331" spans="1:14" s="649" customFormat="1" ht="12.75" customHeight="1" thickTop="1" x14ac:dyDescent="0.2">
      <c r="A331" s="1804" t="s">
        <v>1850</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1844</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1846</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1851</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179936</v>
      </c>
      <c r="F342" s="1643">
        <f>SUM(F330)</f>
        <v>0</v>
      </c>
      <c r="G342" s="1643">
        <f>SUM(G330)</f>
        <v>0</v>
      </c>
      <c r="H342" s="1643">
        <f>SUM(H330,H334,H340)</f>
        <v>0</v>
      </c>
      <c r="I342" s="1643">
        <f>SUM(I330)</f>
        <v>0</v>
      </c>
      <c r="J342" s="1643">
        <f>SUM(J330)</f>
        <v>0</v>
      </c>
      <c r="K342" s="1643">
        <f>SUM(K330,K334,K340)</f>
        <v>179936</v>
      </c>
      <c r="L342" s="1650">
        <f>SUM(L330,L340,L341)</f>
        <v>193800</v>
      </c>
    </row>
    <row r="343" spans="1:14" ht="12.75" customHeight="1" thickTop="1" x14ac:dyDescent="0.2">
      <c r="A343" s="2240" t="s">
        <v>996</v>
      </c>
      <c r="B343" s="2241"/>
      <c r="C343" s="593"/>
      <c r="D343" s="593"/>
      <c r="E343" s="593"/>
      <c r="F343" s="593"/>
      <c r="G343" s="593"/>
      <c r="H343" s="593"/>
      <c r="I343" s="593"/>
      <c r="J343" s="593"/>
      <c r="K343" s="1657">
        <f>'Revenues 9-14'!J268-'Expenditures 15-22'!K342</f>
        <v>-52262</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0" t="s">
        <v>966</v>
      </c>
      <c r="B345" s="2231"/>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1852</v>
      </c>
      <c r="B354" s="658" t="s">
        <v>1844</v>
      </c>
      <c r="C354" s="593"/>
      <c r="D354" s="593"/>
      <c r="E354" s="593"/>
      <c r="F354" s="593"/>
      <c r="G354" s="593"/>
      <c r="H354" s="1970">
        <v>0</v>
      </c>
      <c r="I354" s="676"/>
      <c r="J354" s="593"/>
      <c r="K354" s="1672">
        <f>H354</f>
        <v>0</v>
      </c>
      <c r="L354" s="1991">
        <v>0</v>
      </c>
    </row>
    <row r="355" spans="1:14" ht="12.75" customHeight="1" x14ac:dyDescent="0.2">
      <c r="A355" s="1486" t="s">
        <v>1853</v>
      </c>
      <c r="B355" s="665" t="s">
        <v>1846</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54" t="s">
        <v>996</v>
      </c>
      <c r="B368" s="2255"/>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H37" sqref="H3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6" t="s">
        <v>1801</v>
      </c>
      <c r="B2" s="1501" t="s">
        <v>1950</v>
      </c>
      <c r="C2" s="687" t="s">
        <v>1951</v>
      </c>
      <c r="D2" s="687" t="s">
        <v>1952</v>
      </c>
      <c r="E2" s="687" t="s">
        <v>1953</v>
      </c>
      <c r="F2" s="687" t="s">
        <v>1954</v>
      </c>
    </row>
    <row r="3" spans="1:6" ht="12" customHeight="1" x14ac:dyDescent="0.2">
      <c r="A3" s="2257"/>
      <c r="B3" s="1498"/>
      <c r="C3" s="1499"/>
      <c r="D3" s="1500" t="s">
        <v>256</v>
      </c>
      <c r="E3" s="1499"/>
      <c r="F3" s="1500" t="s">
        <v>257</v>
      </c>
    </row>
    <row r="4" spans="1:6" ht="13.7" customHeight="1" x14ac:dyDescent="0.2">
      <c r="A4" s="688" t="s">
        <v>1155</v>
      </c>
      <c r="B4" s="1722">
        <f>'Revenues 9-14'!C5</f>
        <v>19200446</v>
      </c>
      <c r="C4" s="1497">
        <v>10080057</v>
      </c>
      <c r="D4" s="1725">
        <f>B4-C4</f>
        <v>9120389</v>
      </c>
      <c r="E4" s="1497">
        <v>19677141</v>
      </c>
      <c r="F4" s="1725">
        <f>E4-C4</f>
        <v>9597084</v>
      </c>
    </row>
    <row r="5" spans="1:6" ht="13.7" customHeight="1" x14ac:dyDescent="0.2">
      <c r="A5" s="688" t="s">
        <v>870</v>
      </c>
      <c r="B5" s="1723">
        <f>'Revenues 9-14'!D5</f>
        <v>2308090</v>
      </c>
      <c r="C5" s="565">
        <v>1346086</v>
      </c>
      <c r="D5" s="1726">
        <f t="shared" ref="D5:D18" si="0">B5-C5</f>
        <v>962004</v>
      </c>
      <c r="E5" s="565">
        <v>2627675</v>
      </c>
      <c r="F5" s="1726">
        <f>E5-C5</f>
        <v>1281589</v>
      </c>
    </row>
    <row r="6" spans="1:6" ht="13.7" customHeight="1" x14ac:dyDescent="0.2">
      <c r="A6" s="688" t="s">
        <v>411</v>
      </c>
      <c r="B6" s="1723">
        <f>'Revenues 9-14'!E5</f>
        <v>4554532</v>
      </c>
      <c r="C6" s="565">
        <v>2437589</v>
      </c>
      <c r="D6" s="1726">
        <f t="shared" si="0"/>
        <v>2116943</v>
      </c>
      <c r="E6" s="565">
        <v>4758384</v>
      </c>
      <c r="F6" s="1726">
        <f t="shared" ref="F6:F18" si="1">E6-C6</f>
        <v>2320795</v>
      </c>
    </row>
    <row r="7" spans="1:6" ht="13.7" customHeight="1" x14ac:dyDescent="0.2">
      <c r="A7" s="688" t="s">
        <v>155</v>
      </c>
      <c r="B7" s="1723">
        <f>'Revenues 9-14'!F5</f>
        <v>506298</v>
      </c>
      <c r="C7" s="565">
        <v>268963</v>
      </c>
      <c r="D7" s="1726">
        <f t="shared" si="0"/>
        <v>237335</v>
      </c>
      <c r="E7" s="565">
        <v>525038</v>
      </c>
      <c r="F7" s="1726">
        <f t="shared" si="1"/>
        <v>256075</v>
      </c>
    </row>
    <row r="8" spans="1:6" ht="13.7" customHeight="1" x14ac:dyDescent="0.2">
      <c r="A8" s="688" t="s">
        <v>1179</v>
      </c>
      <c r="B8" s="1723">
        <f>'Revenues 9-14'!G5</f>
        <v>361413</v>
      </c>
      <c r="C8" s="565">
        <v>191997</v>
      </c>
      <c r="D8" s="1726">
        <f t="shared" si="0"/>
        <v>169416</v>
      </c>
      <c r="E8" s="565">
        <v>374794</v>
      </c>
      <c r="F8" s="1726">
        <f t="shared" si="1"/>
        <v>182797</v>
      </c>
    </row>
    <row r="9" spans="1:6" ht="13.7" customHeight="1" x14ac:dyDescent="0.2">
      <c r="A9" s="688" t="s">
        <v>408</v>
      </c>
      <c r="B9" s="1723">
        <f>'Revenues 9-14'!H5</f>
        <v>0</v>
      </c>
      <c r="C9" s="565">
        <v>0</v>
      </c>
      <c r="D9" s="1726">
        <f t="shared" si="0"/>
        <v>0</v>
      </c>
      <c r="E9" s="565">
        <v>0</v>
      </c>
      <c r="F9" s="1726">
        <f t="shared" si="1"/>
        <v>0</v>
      </c>
    </row>
    <row r="10" spans="1:6" ht="13.7" customHeight="1" x14ac:dyDescent="0.2">
      <c r="A10" s="688" t="s">
        <v>407</v>
      </c>
      <c r="B10" s="1723">
        <f>'Revenues 9-14'!I5</f>
        <v>110388</v>
      </c>
      <c r="C10" s="565">
        <v>58636.59</v>
      </c>
      <c r="D10" s="1726">
        <f t="shared" si="0"/>
        <v>51751.41</v>
      </c>
      <c r="E10" s="565">
        <v>114464</v>
      </c>
      <c r="F10" s="1726">
        <f t="shared" si="1"/>
        <v>55827.41</v>
      </c>
    </row>
    <row r="11" spans="1:6" x14ac:dyDescent="0.2">
      <c r="A11" s="688" t="s">
        <v>409</v>
      </c>
      <c r="B11" s="1723">
        <f>'Revenues 9-14'!J5</f>
        <v>125785</v>
      </c>
      <c r="C11" s="565">
        <v>66815</v>
      </c>
      <c r="D11" s="1726">
        <f t="shared" si="0"/>
        <v>58970</v>
      </c>
      <c r="E11" s="565">
        <v>130428</v>
      </c>
      <c r="F11" s="1726">
        <f t="shared" si="1"/>
        <v>63613</v>
      </c>
    </row>
    <row r="12" spans="1:6" ht="13.7" customHeight="1" x14ac:dyDescent="0.2">
      <c r="A12" s="688" t="s">
        <v>157</v>
      </c>
      <c r="B12" s="1723">
        <f>'Revenues 9-14'!K5</f>
        <v>0</v>
      </c>
      <c r="C12" s="565">
        <v>0</v>
      </c>
      <c r="D12" s="1726">
        <f t="shared" si="0"/>
        <v>0</v>
      </c>
      <c r="E12" s="565">
        <v>0</v>
      </c>
      <c r="F12" s="1726">
        <f t="shared" si="1"/>
        <v>0</v>
      </c>
    </row>
    <row r="13" spans="1:6" ht="13.7" customHeight="1" x14ac:dyDescent="0.2">
      <c r="A13" s="688" t="s">
        <v>936</v>
      </c>
      <c r="B13" s="1723">
        <f>SUM('Revenues 9-14'!C6:D6)</f>
        <v>0</v>
      </c>
      <c r="C13" s="565">
        <v>0</v>
      </c>
      <c r="D13" s="1726">
        <f t="shared" si="0"/>
        <v>0</v>
      </c>
      <c r="E13" s="565">
        <v>0</v>
      </c>
      <c r="F13" s="1726">
        <f t="shared" si="1"/>
        <v>0</v>
      </c>
    </row>
    <row r="14" spans="1:6" ht="13.7" customHeight="1" x14ac:dyDescent="0.2">
      <c r="A14" s="688" t="s">
        <v>410</v>
      </c>
      <c r="B14" s="1723">
        <f>SUM('Revenues 9-14'!C7:D7,'Revenues 9-14'!F7:H7)</f>
        <v>255983</v>
      </c>
      <c r="C14" s="565">
        <v>135989</v>
      </c>
      <c r="D14" s="1726">
        <f t="shared" si="0"/>
        <v>119994</v>
      </c>
      <c r="E14" s="565">
        <v>265462</v>
      </c>
      <c r="F14" s="1726">
        <f t="shared" si="1"/>
        <v>129473</v>
      </c>
    </row>
    <row r="15" spans="1:6" ht="13.7" customHeight="1" x14ac:dyDescent="0.2">
      <c r="A15" s="688" t="s">
        <v>1158</v>
      </c>
      <c r="B15" s="1723">
        <f>SUM('Revenues 9-14'!D9:E9,'Revenues 9-14'!H9)</f>
        <v>0</v>
      </c>
      <c r="C15" s="565">
        <v>0</v>
      </c>
      <c r="D15" s="1726">
        <f t="shared" si="0"/>
        <v>0</v>
      </c>
      <c r="E15" s="565">
        <v>0</v>
      </c>
      <c r="F15" s="1726">
        <f t="shared" si="1"/>
        <v>0</v>
      </c>
    </row>
    <row r="16" spans="1:6" ht="13.7" customHeight="1" x14ac:dyDescent="0.2">
      <c r="A16" s="688" t="s">
        <v>1159</v>
      </c>
      <c r="B16" s="1723">
        <f>'Revenues 9-14'!G8</f>
        <v>433584</v>
      </c>
      <c r="C16" s="565">
        <v>230331</v>
      </c>
      <c r="D16" s="1726">
        <f t="shared" si="0"/>
        <v>203253</v>
      </c>
      <c r="E16" s="565">
        <v>449626</v>
      </c>
      <c r="F16" s="1726">
        <f t="shared" si="1"/>
        <v>219295</v>
      </c>
    </row>
    <row r="17" spans="1:6" ht="13.7" customHeight="1" x14ac:dyDescent="0.2">
      <c r="A17" s="688" t="s">
        <v>1160</v>
      </c>
      <c r="B17" s="1723">
        <f>'Revenues 9-14'!C10</f>
        <v>0</v>
      </c>
      <c r="C17" s="565">
        <v>0</v>
      </c>
      <c r="D17" s="1726">
        <f t="shared" si="0"/>
        <v>0</v>
      </c>
      <c r="E17" s="565">
        <v>0</v>
      </c>
      <c r="F17" s="1726">
        <f t="shared" si="1"/>
        <v>0</v>
      </c>
    </row>
    <row r="18" spans="1:6" ht="13.7" customHeight="1" x14ac:dyDescent="0.2">
      <c r="A18" s="688" t="s">
        <v>762</v>
      </c>
      <c r="B18" s="1723">
        <f>SUM('Revenues 9-14'!C11:K11)</f>
        <v>0</v>
      </c>
      <c r="C18" s="565">
        <v>0</v>
      </c>
      <c r="D18" s="1726">
        <f t="shared" si="0"/>
        <v>0</v>
      </c>
      <c r="E18" s="565">
        <v>0</v>
      </c>
      <c r="F18" s="1726">
        <f t="shared" si="1"/>
        <v>0</v>
      </c>
    </row>
    <row r="19" spans="1:6" ht="13.7" customHeight="1" thickBot="1" x14ac:dyDescent="0.25">
      <c r="A19" s="1727" t="s">
        <v>1161</v>
      </c>
      <c r="B19" s="1724">
        <f>SUM(B4:B18)</f>
        <v>27856519</v>
      </c>
      <c r="C19" s="1724">
        <f>SUM(C4:C18)</f>
        <v>14816463.59</v>
      </c>
      <c r="D19" s="1724">
        <f>SUM(D4:D18)</f>
        <v>13040055.41</v>
      </c>
      <c r="E19" s="1724">
        <f>SUM(E4:E18)</f>
        <v>28923012</v>
      </c>
      <c r="F19" s="1724">
        <f>SUM(F4:F18)</f>
        <v>14106548.41</v>
      </c>
    </row>
    <row r="20" spans="1:6" ht="13.5" thickTop="1" x14ac:dyDescent="0.2">
      <c r="B20" s="686"/>
      <c r="F20" s="689"/>
    </row>
    <row r="21" spans="1:6" x14ac:dyDescent="0.2">
      <c r="A21" s="690" t="s">
        <v>1807</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B25" colorId="8" zoomScale="110" zoomScaleNormal="110" workbookViewId="0">
      <selection activeCell="J32" sqref="J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62" t="s">
        <v>629</v>
      </c>
      <c r="B1" s="2263"/>
      <c r="C1" s="694"/>
    </row>
    <row r="2" spans="1:7" ht="33.75" x14ac:dyDescent="0.2">
      <c r="A2" s="2271" t="s">
        <v>1801</v>
      </c>
      <c r="B2" s="2272"/>
      <c r="C2" s="1857" t="s">
        <v>1955</v>
      </c>
      <c r="D2" s="696" t="s">
        <v>1956</v>
      </c>
      <c r="E2" s="696" t="s">
        <v>1957</v>
      </c>
      <c r="F2" s="1857" t="s">
        <v>1958</v>
      </c>
    </row>
    <row r="3" spans="1:7" ht="15.75" customHeight="1" x14ac:dyDescent="0.2">
      <c r="A3" s="2275" t="s">
        <v>1114</v>
      </c>
      <c r="B3" s="2276"/>
      <c r="C3" s="2264"/>
      <c r="D3" s="2265"/>
      <c r="E3" s="2265"/>
      <c r="F3" s="2266"/>
    </row>
    <row r="4" spans="1:7" ht="12.75" customHeight="1" thickBot="1" x14ac:dyDescent="0.25">
      <c r="A4" s="2273" t="s">
        <v>630</v>
      </c>
      <c r="B4" s="2274"/>
      <c r="C4" s="562"/>
      <c r="D4" s="562"/>
      <c r="E4" s="562"/>
      <c r="F4" s="1728">
        <f>SUM(C4+D4)-E4</f>
        <v>0</v>
      </c>
    </row>
    <row r="5" spans="1:7" ht="15.75" customHeight="1" thickTop="1" x14ac:dyDescent="0.2">
      <c r="A5" s="2258" t="s">
        <v>1110</v>
      </c>
      <c r="B5" s="2259"/>
      <c r="C5" s="2267"/>
      <c r="D5" s="2268"/>
      <c r="E5" s="2268"/>
      <c r="F5" s="2269"/>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0" t="s">
        <v>631</v>
      </c>
      <c r="B15" s="2261"/>
      <c r="C15" s="1728">
        <f>SUM(C6:C14)</f>
        <v>0</v>
      </c>
      <c r="D15" s="1728">
        <f>SUM(D6:D14)</f>
        <v>0</v>
      </c>
      <c r="E15" s="1728">
        <f>SUM(E6:E14)</f>
        <v>0</v>
      </c>
      <c r="F15" s="1728">
        <f>SUM(F6:F14)</f>
        <v>0</v>
      </c>
      <c r="G15" s="540"/>
    </row>
    <row r="16" spans="1:7" s="202" customFormat="1" ht="15.75" customHeight="1" thickTop="1" x14ac:dyDescent="0.2">
      <c r="A16" s="2270" t="s">
        <v>1111</v>
      </c>
      <c r="B16" s="2259"/>
      <c r="C16" s="2267"/>
      <c r="D16" s="2268"/>
      <c r="E16" s="2268"/>
      <c r="F16" s="2269"/>
    </row>
    <row r="17" spans="1:11" ht="12.75" customHeight="1" thickBot="1" x14ac:dyDescent="0.25">
      <c r="A17" s="2283" t="s">
        <v>64</v>
      </c>
      <c r="B17" s="2284"/>
      <c r="C17" s="699"/>
      <c r="D17" s="565"/>
      <c r="E17" s="699"/>
      <c r="F17" s="1728">
        <f>SUM(C17+D17)-E17</f>
        <v>0</v>
      </c>
    </row>
    <row r="18" spans="1:11" ht="12.75" customHeight="1" thickTop="1" thickBot="1" x14ac:dyDescent="0.25">
      <c r="A18" s="2283" t="s">
        <v>6</v>
      </c>
      <c r="B18" s="2284"/>
      <c r="C18" s="699"/>
      <c r="D18" s="565"/>
      <c r="E18" s="699"/>
      <c r="F18" s="1728">
        <f>SUM(C18+D18)-E18</f>
        <v>0</v>
      </c>
    </row>
    <row r="19" spans="1:11" ht="12.75" customHeight="1" thickTop="1" thickBot="1" x14ac:dyDescent="0.25">
      <c r="A19" s="2283" t="s">
        <v>388</v>
      </c>
      <c r="B19" s="2284"/>
      <c r="C19" s="699"/>
      <c r="D19" s="565"/>
      <c r="E19" s="699"/>
      <c r="F19" s="1728">
        <f>SUM(C19+D19)-E19</f>
        <v>0</v>
      </c>
    </row>
    <row r="20" spans="1:11" ht="12.75" customHeight="1" thickTop="1" thickBot="1" x14ac:dyDescent="0.25">
      <c r="A20" s="2283" t="s">
        <v>448</v>
      </c>
      <c r="B20" s="2284"/>
      <c r="C20" s="699"/>
      <c r="D20" s="565"/>
      <c r="E20" s="699"/>
      <c r="F20" s="1728">
        <f>SUM(C20+D20)-E20</f>
        <v>0</v>
      </c>
    </row>
    <row r="21" spans="1:11" ht="14.25" thickTop="1" thickBot="1" x14ac:dyDescent="0.25">
      <c r="A21" s="2260" t="s">
        <v>632</v>
      </c>
      <c r="B21" s="2261"/>
      <c r="C21" s="1728">
        <f>SUM(C17:C20)</f>
        <v>0</v>
      </c>
      <c r="D21" s="1728">
        <f>SUM(D17:D20)</f>
        <v>0</v>
      </c>
      <c r="E21" s="1728">
        <f>SUM(E17:E20)</f>
        <v>0</v>
      </c>
      <c r="F21" s="1728">
        <f>SUM(F17:F20)</f>
        <v>0</v>
      </c>
      <c r="G21" s="540"/>
    </row>
    <row r="22" spans="1:11" ht="15.75" customHeight="1" thickTop="1" x14ac:dyDescent="0.2">
      <c r="A22" s="2285" t="s">
        <v>1112</v>
      </c>
      <c r="B22" s="2259"/>
      <c r="C22" s="2267"/>
      <c r="D22" s="2268"/>
      <c r="E22" s="2268"/>
      <c r="F22" s="2269"/>
    </row>
    <row r="23" spans="1:11" ht="13.5" thickBot="1" x14ac:dyDescent="0.25">
      <c r="A23" s="2273" t="s">
        <v>633</v>
      </c>
      <c r="B23" s="2274"/>
      <c r="C23" s="562"/>
      <c r="D23" s="562"/>
      <c r="E23" s="562"/>
      <c r="F23" s="1728">
        <f>SUM(C23+D23)-E23</f>
        <v>0</v>
      </c>
      <c r="G23" s="540"/>
    </row>
    <row r="24" spans="1:11" ht="15.75" customHeight="1" thickTop="1" x14ac:dyDescent="0.2">
      <c r="A24" s="2285" t="s">
        <v>1113</v>
      </c>
      <c r="B24" s="2259"/>
      <c r="C24" s="2267"/>
      <c r="D24" s="2268"/>
      <c r="E24" s="2268"/>
      <c r="F24" s="2269"/>
    </row>
    <row r="25" spans="1:11" ht="13.5" thickBot="1" x14ac:dyDescent="0.25">
      <c r="A25" s="2273" t="s">
        <v>634</v>
      </c>
      <c r="B25" s="2274"/>
      <c r="C25" s="562"/>
      <c r="D25" s="562"/>
      <c r="E25" s="562"/>
      <c r="F25" s="1728">
        <f>SUM(C25+D25)-E25</f>
        <v>0</v>
      </c>
      <c r="G25" s="540"/>
    </row>
    <row r="26" spans="1:11" ht="15.75" customHeight="1" thickTop="1" x14ac:dyDescent="0.2">
      <c r="A26" s="2258" t="s">
        <v>657</v>
      </c>
      <c r="B26" s="2259"/>
      <c r="C26" s="700"/>
      <c r="D26" s="700"/>
      <c r="E26" s="700"/>
      <c r="F26" s="701"/>
    </row>
    <row r="27" spans="1:11" ht="13.5" thickBot="1" x14ac:dyDescent="0.25">
      <c r="A27" s="2260" t="s">
        <v>1070</v>
      </c>
      <c r="B27" s="2261"/>
      <c r="C27" s="565"/>
      <c r="D27" s="565"/>
      <c r="E27" s="565"/>
      <c r="F27" s="1728">
        <f>SUM(C27+D27)-E27</f>
        <v>0</v>
      </c>
      <c r="G27" s="540"/>
    </row>
    <row r="28" spans="1:11" ht="7.5" customHeight="1" thickTop="1" x14ac:dyDescent="0.2">
      <c r="A28" s="570"/>
    </row>
    <row r="29" spans="1:11" ht="23.25" customHeight="1" x14ac:dyDescent="0.2">
      <c r="A29" s="2286" t="s">
        <v>582</v>
      </c>
      <c r="B29" s="2263"/>
      <c r="C29" s="702"/>
      <c r="D29" s="702"/>
      <c r="E29" s="702"/>
      <c r="F29" s="702"/>
      <c r="G29" s="702"/>
      <c r="H29" s="702"/>
      <c r="I29" s="702"/>
      <c r="J29" s="702"/>
    </row>
    <row r="30" spans="1:11" ht="33.75" x14ac:dyDescent="0.2">
      <c r="A30" s="1502" t="s">
        <v>1071</v>
      </c>
      <c r="B30" s="703" t="s">
        <v>1124</v>
      </c>
      <c r="C30" s="1858" t="s">
        <v>583</v>
      </c>
      <c r="D30" s="1858" t="s">
        <v>1673</v>
      </c>
      <c r="E30" s="1858" t="s">
        <v>1959</v>
      </c>
      <c r="F30" s="1858" t="s">
        <v>1960</v>
      </c>
      <c r="G30" s="1858" t="s">
        <v>1910</v>
      </c>
      <c r="H30" s="1858" t="s">
        <v>1961</v>
      </c>
      <c r="I30" s="1858" t="s">
        <v>1962</v>
      </c>
      <c r="J30" s="1859" t="s">
        <v>2</v>
      </c>
      <c r="K30" s="704"/>
    </row>
    <row r="31" spans="1:11" ht="12" customHeight="1" x14ac:dyDescent="0.2">
      <c r="A31" s="705" t="s">
        <v>2147</v>
      </c>
      <c r="B31" s="706">
        <v>41218</v>
      </c>
      <c r="C31" s="707">
        <v>9995000</v>
      </c>
      <c r="D31" s="708">
        <v>3</v>
      </c>
      <c r="E31" s="707">
        <v>9050000</v>
      </c>
      <c r="F31" s="707">
        <v>0</v>
      </c>
      <c r="G31" s="707"/>
      <c r="H31" s="707">
        <v>4385000</v>
      </c>
      <c r="I31" s="1729">
        <f>((E31+F31)-H31)+G31</f>
        <v>4665000</v>
      </c>
      <c r="J31" s="707">
        <v>2062478</v>
      </c>
      <c r="K31" s="709"/>
    </row>
    <row r="32" spans="1:11" ht="12" customHeight="1" x14ac:dyDescent="0.2">
      <c r="A32" s="705" t="s">
        <v>2148</v>
      </c>
      <c r="B32" s="706">
        <v>43550</v>
      </c>
      <c r="C32" s="707">
        <v>43225000</v>
      </c>
      <c r="D32" s="708">
        <v>6</v>
      </c>
      <c r="E32" s="707"/>
      <c r="F32" s="707">
        <v>43225000</v>
      </c>
      <c r="G32" s="707"/>
      <c r="H32" s="707"/>
      <c r="I32" s="1729">
        <f>((E32+F32)-H32)+G32</f>
        <v>43225000</v>
      </c>
      <c r="J32" s="707">
        <v>41706317</v>
      </c>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53220000</v>
      </c>
      <c r="D49" s="718"/>
      <c r="E49" s="1729">
        <f t="shared" ref="E49:J49" si="2">SUM(E31:E48)</f>
        <v>9050000</v>
      </c>
      <c r="F49" s="1729">
        <f t="shared" si="2"/>
        <v>43225000</v>
      </c>
      <c r="G49" s="1729">
        <f t="shared" si="2"/>
        <v>0</v>
      </c>
      <c r="H49" s="1729">
        <f t="shared" si="2"/>
        <v>4385000</v>
      </c>
      <c r="I49" s="1729">
        <f t="shared" si="2"/>
        <v>47890000</v>
      </c>
      <c r="J49" s="1729">
        <f t="shared" si="2"/>
        <v>43768795</v>
      </c>
      <c r="K49" s="710"/>
    </row>
    <row r="50" spans="1:11" ht="6" customHeight="1" x14ac:dyDescent="0.2">
      <c r="A50" s="719"/>
      <c r="B50" s="709"/>
      <c r="C50" s="709"/>
      <c r="D50" s="709"/>
      <c r="E50" s="709"/>
      <c r="F50" s="709"/>
      <c r="G50" s="709"/>
      <c r="H50" s="709"/>
      <c r="I50" s="709"/>
      <c r="J50" s="719"/>
    </row>
    <row r="51" spans="1:11" x14ac:dyDescent="0.2">
      <c r="A51" s="720" t="s">
        <v>1806</v>
      </c>
      <c r="B51" s="719"/>
      <c r="C51" s="710"/>
      <c r="D51" s="710"/>
      <c r="E51" s="710"/>
      <c r="F51" s="710"/>
      <c r="G51" s="710"/>
      <c r="H51" s="709"/>
      <c r="I51" s="709"/>
      <c r="J51" s="719"/>
    </row>
    <row r="52" spans="1:11" ht="11.25" customHeight="1" x14ac:dyDescent="0.2">
      <c r="A52" s="721" t="s">
        <v>912</v>
      </c>
      <c r="B52" s="2277" t="s">
        <v>584</v>
      </c>
      <c r="C52" s="2278"/>
      <c r="D52" s="2278"/>
      <c r="E52" s="722" t="s">
        <v>845</v>
      </c>
      <c r="F52" s="2279"/>
      <c r="G52" s="2280"/>
      <c r="H52" s="709"/>
      <c r="I52" s="709"/>
      <c r="J52" s="719"/>
    </row>
    <row r="53" spans="1:11" ht="11.25" customHeight="1" x14ac:dyDescent="0.2">
      <c r="A53" s="723" t="s">
        <v>913</v>
      </c>
      <c r="B53" s="724" t="s">
        <v>951</v>
      </c>
      <c r="C53" s="719"/>
      <c r="D53" s="710"/>
      <c r="E53" s="722" t="s">
        <v>497</v>
      </c>
      <c r="F53" s="2281"/>
      <c r="G53" s="2282"/>
      <c r="H53" s="709"/>
      <c r="I53" s="709"/>
      <c r="J53" s="719"/>
    </row>
    <row r="54" spans="1:11" ht="11.25" customHeight="1" x14ac:dyDescent="0.2">
      <c r="A54" s="725" t="s">
        <v>914</v>
      </c>
      <c r="B54" s="720" t="s">
        <v>952</v>
      </c>
      <c r="C54" s="719"/>
      <c r="D54" s="710"/>
      <c r="E54" s="722" t="s">
        <v>498</v>
      </c>
      <c r="F54" s="2281"/>
      <c r="G54" s="2282"/>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0"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K7" sqref="K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1" t="s">
        <v>856</v>
      </c>
      <c r="B1" s="2312"/>
      <c r="C1" s="2312"/>
      <c r="D1" s="2312"/>
      <c r="E1" s="2312"/>
      <c r="F1" s="2312"/>
      <c r="G1" s="2313"/>
      <c r="H1" s="1503"/>
      <c r="I1" s="733"/>
      <c r="J1" s="433"/>
    </row>
    <row r="2" spans="1:11" ht="26.25" x14ac:dyDescent="0.2">
      <c r="A2" s="2290" t="s">
        <v>1677</v>
      </c>
      <c r="B2" s="2291"/>
      <c r="C2" s="2291"/>
      <c r="D2" s="2291"/>
      <c r="E2" s="2292"/>
      <c r="F2" s="734" t="s">
        <v>904</v>
      </c>
      <c r="G2" s="735" t="s">
        <v>1674</v>
      </c>
      <c r="H2" s="735" t="s">
        <v>410</v>
      </c>
      <c r="I2" s="735" t="s">
        <v>1158</v>
      </c>
      <c r="J2" s="735" t="s">
        <v>1811</v>
      </c>
      <c r="K2" s="735" t="s">
        <v>138</v>
      </c>
    </row>
    <row r="3" spans="1:11" x14ac:dyDescent="0.2">
      <c r="A3" s="2293" t="s">
        <v>1963</v>
      </c>
      <c r="B3" s="2294"/>
      <c r="C3" s="2294"/>
      <c r="D3" s="2294"/>
      <c r="E3" s="2295"/>
      <c r="F3" s="736"/>
      <c r="G3" s="737"/>
      <c r="H3" s="737"/>
      <c r="I3" s="737"/>
      <c r="J3" s="738"/>
      <c r="K3" s="738"/>
    </row>
    <row r="4" spans="1:11" x14ac:dyDescent="0.2">
      <c r="A4" s="2296" t="s">
        <v>369</v>
      </c>
      <c r="B4" s="2297"/>
      <c r="C4" s="2297"/>
      <c r="D4" s="2297"/>
      <c r="E4" s="2278"/>
      <c r="F4" s="739"/>
      <c r="G4" s="740"/>
      <c r="H4" s="741"/>
      <c r="I4" s="740"/>
      <c r="J4" s="742"/>
      <c r="K4" s="742"/>
    </row>
    <row r="5" spans="1:11" x14ac:dyDescent="0.2">
      <c r="A5" s="2314" t="s">
        <v>1069</v>
      </c>
      <c r="B5" s="2287"/>
      <c r="C5" s="2287"/>
      <c r="D5" s="2287"/>
      <c r="E5" s="2315"/>
      <c r="F5" s="743" t="s">
        <v>848</v>
      </c>
      <c r="G5" s="744"/>
      <c r="H5" s="737">
        <v>255983</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v>36853</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v>62519</v>
      </c>
    </row>
    <row r="10" spans="1:11" x14ac:dyDescent="0.2">
      <c r="A10" s="2314" t="s">
        <v>1812</v>
      </c>
      <c r="B10" s="2287"/>
      <c r="C10" s="2287"/>
      <c r="D10" s="2287"/>
      <c r="E10" s="2316"/>
      <c r="F10" s="756" t="s">
        <v>862</v>
      </c>
      <c r="G10" s="755"/>
      <c r="H10" s="757"/>
      <c r="I10" s="737"/>
      <c r="J10" s="738"/>
      <c r="K10" s="738"/>
    </row>
    <row r="11" spans="1:11" x14ac:dyDescent="0.2">
      <c r="A11" s="2314" t="s">
        <v>160</v>
      </c>
      <c r="B11" s="2287"/>
      <c r="C11" s="2287"/>
      <c r="D11" s="2287"/>
      <c r="E11" s="2315"/>
      <c r="F11" s="743" t="s">
        <v>852</v>
      </c>
      <c r="G11" s="744"/>
      <c r="H11" s="737"/>
      <c r="I11" s="737"/>
      <c r="J11" s="738"/>
      <c r="K11" s="746"/>
    </row>
    <row r="12" spans="1:11" ht="13.5" thickBot="1" x14ac:dyDescent="0.25">
      <c r="A12" s="2304" t="s">
        <v>905</v>
      </c>
      <c r="B12" s="2305"/>
      <c r="C12" s="2305"/>
      <c r="D12" s="2305"/>
      <c r="E12" s="2306"/>
      <c r="F12" s="1730"/>
      <c r="G12" s="1731">
        <f>SUM(G5:G11)</f>
        <v>0</v>
      </c>
      <c r="H12" s="1731">
        <f>SUM(H5:H11)</f>
        <v>255983</v>
      </c>
      <c r="I12" s="1731">
        <f>SUM(I5:I11)</f>
        <v>0</v>
      </c>
      <c r="J12" s="1731">
        <f>SUM(J5:J11)</f>
        <v>0</v>
      </c>
      <c r="K12" s="1731">
        <f>SUM(K5:K11)</f>
        <v>99372</v>
      </c>
    </row>
    <row r="13" spans="1:11" ht="13.5" thickTop="1" x14ac:dyDescent="0.2">
      <c r="A13" s="2298" t="s">
        <v>370</v>
      </c>
      <c r="B13" s="2299"/>
      <c r="C13" s="2299"/>
      <c r="D13" s="2299"/>
      <c r="E13" s="2300"/>
      <c r="F13" s="758"/>
      <c r="G13" s="759"/>
      <c r="H13" s="760"/>
      <c r="I13" s="761"/>
      <c r="J13" s="761"/>
      <c r="K13" s="761"/>
    </row>
    <row r="14" spans="1:11" x14ac:dyDescent="0.2">
      <c r="A14" s="2320" t="s">
        <v>456</v>
      </c>
      <c r="B14" s="2320"/>
      <c r="C14" s="2320"/>
      <c r="D14" s="2320"/>
      <c r="E14" s="2321"/>
      <c r="F14" s="762" t="s">
        <v>854</v>
      </c>
      <c r="G14" s="755"/>
      <c r="H14" s="737">
        <v>255983</v>
      </c>
      <c r="I14" s="744"/>
      <c r="J14" s="746"/>
      <c r="K14" s="738">
        <v>99372</v>
      </c>
    </row>
    <row r="15" spans="1:11" x14ac:dyDescent="0.2">
      <c r="A15" s="2287" t="s">
        <v>4</v>
      </c>
      <c r="B15" s="2287"/>
      <c r="C15" s="2287"/>
      <c r="D15" s="2287"/>
      <c r="E15" s="2315"/>
      <c r="F15" s="762" t="s">
        <v>855</v>
      </c>
      <c r="G15" s="744"/>
      <c r="H15" s="737"/>
      <c r="I15" s="737"/>
      <c r="J15" s="738"/>
      <c r="K15" s="738"/>
    </row>
    <row r="16" spans="1:11" x14ac:dyDescent="0.2">
      <c r="A16" s="2287" t="s">
        <v>298</v>
      </c>
      <c r="B16" s="2287"/>
      <c r="C16" s="2287"/>
      <c r="D16" s="2287"/>
      <c r="E16" s="2315"/>
      <c r="F16" s="762" t="s">
        <v>923</v>
      </c>
      <c r="G16" s="745"/>
      <c r="H16" s="740"/>
      <c r="I16" s="740"/>
      <c r="J16" s="742"/>
      <c r="K16" s="742"/>
    </row>
    <row r="17" spans="1:11" x14ac:dyDescent="0.2">
      <c r="A17" s="2309" t="s">
        <v>935</v>
      </c>
      <c r="B17" s="2309"/>
      <c r="C17" s="2309"/>
      <c r="D17" s="2309"/>
      <c r="E17" s="2310"/>
      <c r="F17" s="763"/>
      <c r="G17" s="764"/>
      <c r="H17" s="765"/>
      <c r="I17" s="765"/>
      <c r="J17" s="766"/>
      <c r="K17" s="767"/>
    </row>
    <row r="18" spans="1:11" x14ac:dyDescent="0.2">
      <c r="A18" s="2301" t="s">
        <v>368</v>
      </c>
      <c r="B18" s="2302"/>
      <c r="C18" s="2302"/>
      <c r="D18" s="2302"/>
      <c r="E18" s="2303"/>
      <c r="F18" s="762" t="s">
        <v>932</v>
      </c>
      <c r="G18" s="755"/>
      <c r="H18" s="755"/>
      <c r="I18" s="755"/>
      <c r="J18" s="738"/>
      <c r="K18" s="768"/>
    </row>
    <row r="19" spans="1:11" ht="21.75" customHeight="1" x14ac:dyDescent="0.2">
      <c r="A19" s="2322" t="s">
        <v>1808</v>
      </c>
      <c r="B19" s="2322"/>
      <c r="C19" s="2322"/>
      <c r="D19" s="2322"/>
      <c r="E19" s="2323"/>
      <c r="F19" s="762" t="s">
        <v>933</v>
      </c>
      <c r="G19" s="755"/>
      <c r="H19" s="755"/>
      <c r="I19" s="755"/>
      <c r="J19" s="738"/>
      <c r="K19" s="768"/>
    </row>
    <row r="20" spans="1:11" x14ac:dyDescent="0.2">
      <c r="A20" s="2301" t="s">
        <v>1813</v>
      </c>
      <c r="B20" s="2302"/>
      <c r="C20" s="2302"/>
      <c r="D20" s="2302"/>
      <c r="E20" s="2303"/>
      <c r="F20" s="762" t="s">
        <v>934</v>
      </c>
      <c r="G20" s="755"/>
      <c r="H20" s="755"/>
      <c r="I20" s="755"/>
      <c r="J20" s="738"/>
      <c r="K20" s="768"/>
    </row>
    <row r="21" spans="1:11" ht="13.5" thickBot="1" x14ac:dyDescent="0.25">
      <c r="A21" s="2307" t="s">
        <v>638</v>
      </c>
      <c r="B21" s="2307"/>
      <c r="C21" s="2307"/>
      <c r="D21" s="2307"/>
      <c r="E21" s="2307"/>
      <c r="F21" s="1732"/>
      <c r="G21" s="765"/>
      <c r="H21" s="769"/>
      <c r="I21" s="769"/>
      <c r="J21" s="1733">
        <f>SUM(J18:J20)</f>
        <v>0</v>
      </c>
      <c r="K21" s="766"/>
    </row>
    <row r="22" spans="1:11" ht="13.5" thickTop="1" x14ac:dyDescent="0.2">
      <c r="A22" s="2287" t="s">
        <v>1814</v>
      </c>
      <c r="B22" s="2287"/>
      <c r="C22" s="2287"/>
      <c r="D22" s="2287"/>
      <c r="E22" s="2315"/>
      <c r="F22" s="762" t="s">
        <v>862</v>
      </c>
      <c r="G22" s="755"/>
      <c r="H22" s="737"/>
      <c r="I22" s="737"/>
      <c r="J22" s="770"/>
      <c r="K22" s="738"/>
    </row>
    <row r="23" spans="1:11" ht="13.5" thickBot="1" x14ac:dyDescent="0.25">
      <c r="A23" s="2308" t="s">
        <v>906</v>
      </c>
      <c r="B23" s="2307"/>
      <c r="C23" s="2307"/>
      <c r="D23" s="2307"/>
      <c r="E23" s="2307"/>
      <c r="F23" s="1734"/>
      <c r="G23" s="1731">
        <f>SUM(G14:G16,G21,G22)</f>
        <v>0</v>
      </c>
      <c r="H23" s="1731">
        <f>SUM(H14:H16,H21,H22)</f>
        <v>255983</v>
      </c>
      <c r="I23" s="1731">
        <f>SUM(I14:I16,I21,I22)</f>
        <v>0</v>
      </c>
      <c r="J23" s="1731">
        <f>SUM(J14:J16,J21,J22)</f>
        <v>0</v>
      </c>
      <c r="K23" s="1731">
        <f>SUM(K14:K16,K21,K22)</f>
        <v>99372</v>
      </c>
    </row>
    <row r="24" spans="1:11" ht="14.25" thickTop="1" thickBot="1" x14ac:dyDescent="0.25">
      <c r="A24" s="2308" t="s">
        <v>1964</v>
      </c>
      <c r="B24" s="2307"/>
      <c r="C24" s="2307"/>
      <c r="D24" s="2307"/>
      <c r="E24" s="2307"/>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1909</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17"/>
      <c r="I31" s="2318"/>
      <c r="J31" s="2318"/>
      <c r="K31" s="2318"/>
    </row>
    <row r="32" spans="1:11" x14ac:dyDescent="0.2">
      <c r="A32" s="782"/>
      <c r="B32" s="237"/>
      <c r="C32" s="237"/>
      <c r="D32" s="237"/>
      <c r="E32" s="778"/>
      <c r="F32" s="784" t="s">
        <v>540</v>
      </c>
      <c r="G32" s="737"/>
      <c r="H32" s="2319"/>
      <c r="I32" s="2318"/>
      <c r="J32" s="2318"/>
      <c r="K32" s="2318"/>
    </row>
    <row r="33" spans="1:11" ht="1.5" customHeight="1" x14ac:dyDescent="0.2">
      <c r="A33" s="785" t="s">
        <v>1169</v>
      </c>
      <c r="B33" s="364"/>
      <c r="C33" s="364"/>
      <c r="D33" s="364"/>
      <c r="E33" s="364"/>
      <c r="F33" s="364"/>
      <c r="G33" s="786"/>
      <c r="H33" s="2319"/>
      <c r="I33" s="2318"/>
      <c r="J33" s="2318"/>
      <c r="K33" s="2318"/>
    </row>
    <row r="34" spans="1:11" x14ac:dyDescent="0.2">
      <c r="A34" s="787" t="s">
        <v>1815</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7" t="s">
        <v>541</v>
      </c>
      <c r="B41" s="2288"/>
      <c r="C41" s="2288"/>
      <c r="D41" s="2288"/>
      <c r="E41" s="2288"/>
      <c r="F41" s="2289"/>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1809</v>
      </c>
      <c r="B46" s="408" t="s">
        <v>1675</v>
      </c>
    </row>
    <row r="47" spans="1:11" s="796" customFormat="1" ht="12.75" customHeight="1" x14ac:dyDescent="0.2">
      <c r="A47" s="794"/>
      <c r="B47" s="795" t="s">
        <v>1676</v>
      </c>
      <c r="E47" s="795"/>
      <c r="K47" s="797"/>
    </row>
    <row r="48" spans="1:11" ht="12.75" customHeight="1" x14ac:dyDescent="0.2">
      <c r="A48" s="1505" t="s">
        <v>1810</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A25" sqref="A25"/>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6" t="s">
        <v>1908</v>
      </c>
      <c r="B1" s="2327"/>
      <c r="C1" s="2328"/>
      <c r="D1" s="799"/>
      <c r="E1" s="800"/>
      <c r="F1" s="800"/>
      <c r="G1" s="801"/>
      <c r="H1" s="802"/>
      <c r="I1" s="803"/>
      <c r="J1" s="2324"/>
      <c r="K1" s="2325"/>
      <c r="L1" s="2325"/>
    </row>
    <row r="2" spans="1:14" ht="69.75" customHeight="1" x14ac:dyDescent="0.2">
      <c r="A2" s="804" t="s">
        <v>1678</v>
      </c>
      <c r="B2" s="805" t="s">
        <v>378</v>
      </c>
      <c r="C2" s="806" t="s">
        <v>1965</v>
      </c>
      <c r="D2" s="806" t="s">
        <v>1966</v>
      </c>
      <c r="E2" s="806" t="s">
        <v>1967</v>
      </c>
      <c r="F2" s="806" t="s">
        <v>1968</v>
      </c>
      <c r="G2" s="806" t="s">
        <v>605</v>
      </c>
      <c r="H2" s="806" t="s">
        <v>1969</v>
      </c>
      <c r="I2" s="806" t="s">
        <v>1970</v>
      </c>
      <c r="J2" s="806" t="s">
        <v>1971</v>
      </c>
      <c r="K2" s="806" t="s">
        <v>1972</v>
      </c>
      <c r="L2" s="806" t="s">
        <v>1973</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3150000</v>
      </c>
      <c r="D5" s="814"/>
      <c r="E5" s="814"/>
      <c r="F5" s="1733">
        <f>(C5+D5)-E5</f>
        <v>3150000</v>
      </c>
      <c r="G5" s="810"/>
      <c r="H5" s="815"/>
      <c r="I5" s="815"/>
      <c r="J5" s="815"/>
      <c r="K5" s="766"/>
      <c r="L5" s="1742">
        <f>F5-K5</f>
        <v>3150000</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28759133</v>
      </c>
      <c r="D8" s="817">
        <v>697112</v>
      </c>
      <c r="E8" s="817"/>
      <c r="F8" s="1733">
        <f>(C8+D8)-E8</f>
        <v>29456245</v>
      </c>
      <c r="G8" s="816">
        <v>50</v>
      </c>
      <c r="H8" s="738">
        <v>11820428</v>
      </c>
      <c r="I8" s="738">
        <v>512519</v>
      </c>
      <c r="J8" s="738"/>
      <c r="K8" s="1742">
        <f>(H8+I8)-J8</f>
        <v>12332947</v>
      </c>
      <c r="L8" s="1742">
        <f>F8-K8</f>
        <v>17123298</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4099845</v>
      </c>
      <c r="D10" s="819">
        <v>7388</v>
      </c>
      <c r="E10" s="819"/>
      <c r="F10" s="1737">
        <f>(C10+D10)-E10</f>
        <v>4107233</v>
      </c>
      <c r="G10" s="816">
        <v>20</v>
      </c>
      <c r="H10" s="820">
        <v>2600457</v>
      </c>
      <c r="I10" s="820">
        <v>109910</v>
      </c>
      <c r="J10" s="820"/>
      <c r="K10" s="1742">
        <f>(H10+I10)-J10</f>
        <v>2710367</v>
      </c>
      <c r="L10" s="1742">
        <f>F10-K10</f>
        <v>1396866</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1623957</v>
      </c>
      <c r="D12" s="817">
        <v>92539</v>
      </c>
      <c r="E12" s="817">
        <v>109880</v>
      </c>
      <c r="F12" s="1733">
        <f>(C12+D12)-E12</f>
        <v>1606616</v>
      </c>
      <c r="G12" s="816">
        <v>10</v>
      </c>
      <c r="H12" s="738">
        <v>1022462</v>
      </c>
      <c r="I12" s="738">
        <v>96408</v>
      </c>
      <c r="J12" s="738">
        <v>109309</v>
      </c>
      <c r="K12" s="1742">
        <f>(H12+I12)-J12</f>
        <v>1009561</v>
      </c>
      <c r="L12" s="1742">
        <f>F12-K12</f>
        <v>597055</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v>1895404</v>
      </c>
      <c r="E15" s="817"/>
      <c r="F15" s="1733">
        <f>(C15+D15)-E15</f>
        <v>1895404</v>
      </c>
      <c r="G15" s="822" t="s">
        <v>862</v>
      </c>
      <c r="H15" s="754"/>
      <c r="I15" s="754"/>
      <c r="J15" s="754"/>
      <c r="K15" s="754"/>
      <c r="L15" s="1742">
        <f>F15-K15</f>
        <v>1895404</v>
      </c>
    </row>
    <row r="16" spans="1:14" ht="15" customHeight="1" thickTop="1" thickBot="1" x14ac:dyDescent="0.25">
      <c r="A16" s="1738" t="s">
        <v>643</v>
      </c>
      <c r="B16" s="1739">
        <v>200</v>
      </c>
      <c r="C16" s="1733">
        <f>SUM(C3,C5:C6,C8:C10,C12:C15)</f>
        <v>37632935</v>
      </c>
      <c r="D16" s="1733">
        <f>SUM(D3,D5:D6,D8:D10,D12:D15)</f>
        <v>2692443</v>
      </c>
      <c r="E16" s="1733">
        <f>SUM(E3,E5:E6,E8:E10,E12:E15)</f>
        <v>109880</v>
      </c>
      <c r="F16" s="1733">
        <f>SUM(F3,F5:F6,F8:F10,F12:F15)</f>
        <v>40215498</v>
      </c>
      <c r="G16" s="816"/>
      <c r="H16" s="1733">
        <f>SUM(H3,H6,H8:H10,H12:H14,)</f>
        <v>15443347</v>
      </c>
      <c r="I16" s="1733">
        <f>SUM(I3,I6,I8:I10,I12:I14,)</f>
        <v>718837</v>
      </c>
      <c r="J16" s="1733">
        <f>SUM(J3,J6,J8:J10,J12:J14,)</f>
        <v>109309</v>
      </c>
      <c r="K16" s="1733">
        <f>(H16+I16)-J16</f>
        <v>16052875</v>
      </c>
      <c r="L16" s="1733">
        <f>F16-K16</f>
        <v>24162623</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642768</v>
      </c>
      <c r="G17" s="810">
        <v>10</v>
      </c>
      <c r="H17" s="742"/>
      <c r="I17" s="1742">
        <f>F17/G17</f>
        <v>64276.800000000003</v>
      </c>
      <c r="J17" s="742"/>
      <c r="K17" s="768"/>
      <c r="L17" s="768"/>
    </row>
    <row r="18" spans="1:12" ht="14.25" thickTop="1" thickBot="1" x14ac:dyDescent="0.25">
      <c r="A18" s="1740" t="s">
        <v>685</v>
      </c>
      <c r="B18" s="1741"/>
      <c r="C18" s="744"/>
      <c r="D18" s="744"/>
      <c r="E18" s="744"/>
      <c r="F18" s="823"/>
      <c r="G18" s="824"/>
      <c r="H18" s="746"/>
      <c r="I18" s="1733">
        <f>SUM(I16,I17)</f>
        <v>783113.8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63" activePane="bottomLeft" state="frozen"/>
      <selection activeCell="AF22" sqref="AF22"/>
      <selection pane="bottomLeft" activeCell="F79" sqref="F79"/>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2" t="s">
        <v>1974</v>
      </c>
      <c r="B1" s="2333"/>
      <c r="C1" s="2333"/>
      <c r="D1" s="2333"/>
      <c r="E1" s="2333"/>
      <c r="F1" s="2334"/>
      <c r="G1" s="828"/>
    </row>
    <row r="2" spans="1:7" ht="15" customHeight="1" thickBot="1" x14ac:dyDescent="0.25">
      <c r="A2" s="2335" t="s">
        <v>477</v>
      </c>
      <c r="B2" s="2336"/>
      <c r="C2" s="2336"/>
      <c r="D2" s="2336"/>
      <c r="E2" s="2336"/>
      <c r="F2" s="2337"/>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8"/>
      <c r="B5" s="2339"/>
      <c r="C5" s="2339"/>
      <c r="D5" s="2339"/>
      <c r="E5" s="2339"/>
      <c r="F5" s="2339"/>
    </row>
    <row r="6" spans="1:7" ht="13.5" customHeight="1" thickBot="1" x14ac:dyDescent="0.25">
      <c r="A6" s="2329" t="s">
        <v>1104</v>
      </c>
      <c r="B6" s="2330"/>
      <c r="C6" s="2330"/>
      <c r="D6" s="2330"/>
      <c r="E6" s="2330"/>
      <c r="F6" s="2331"/>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26380507</v>
      </c>
      <c r="G8" s="838"/>
    </row>
    <row r="9" spans="1:7" x14ac:dyDescent="0.2">
      <c r="A9" s="842" t="s">
        <v>460</v>
      </c>
      <c r="B9" s="843" t="s">
        <v>1876</v>
      </c>
      <c r="C9" s="844"/>
      <c r="D9" s="842" t="s">
        <v>501</v>
      </c>
      <c r="E9" s="841"/>
      <c r="F9" s="1882">
        <f>'Expenditures 15-22'!K151</f>
        <v>4411119</v>
      </c>
      <c r="G9" s="845"/>
    </row>
    <row r="10" spans="1:7" x14ac:dyDescent="0.2">
      <c r="A10" s="842" t="s">
        <v>499</v>
      </c>
      <c r="B10" s="843" t="s">
        <v>1877</v>
      </c>
      <c r="C10" s="844"/>
      <c r="D10" s="842" t="s">
        <v>501</v>
      </c>
      <c r="E10" s="841"/>
      <c r="F10" s="1882">
        <f>'Expenditures 15-22'!K174</f>
        <v>5086607</v>
      </c>
      <c r="G10" s="845"/>
    </row>
    <row r="11" spans="1:7" x14ac:dyDescent="0.2">
      <c r="A11" s="842" t="s">
        <v>461</v>
      </c>
      <c r="B11" s="843" t="s">
        <v>1878</v>
      </c>
      <c r="C11" s="844"/>
      <c r="D11" s="842" t="s">
        <v>501</v>
      </c>
      <c r="E11" s="841"/>
      <c r="F11" s="1882">
        <f>'Expenditures 15-22'!K210</f>
        <v>1421481</v>
      </c>
      <c r="G11" s="845"/>
    </row>
    <row r="12" spans="1:7" x14ac:dyDescent="0.2">
      <c r="A12" s="842" t="s">
        <v>462</v>
      </c>
      <c r="B12" s="843" t="s">
        <v>1879</v>
      </c>
      <c r="C12" s="844"/>
      <c r="D12" s="842" t="s">
        <v>501</v>
      </c>
      <c r="E12" s="841"/>
      <c r="F12" s="1882">
        <f>'Expenditures 15-22'!K295</f>
        <v>859749</v>
      </c>
      <c r="G12" s="845"/>
    </row>
    <row r="13" spans="1:7" x14ac:dyDescent="0.2">
      <c r="A13" s="842" t="s">
        <v>106</v>
      </c>
      <c r="B13" s="843" t="s">
        <v>1880</v>
      </c>
      <c r="C13" s="844"/>
      <c r="D13" s="842" t="s">
        <v>501</v>
      </c>
      <c r="E13" s="841"/>
      <c r="F13" s="1882">
        <f>'Expenditures 15-22'!K342</f>
        <v>179936</v>
      </c>
      <c r="G13" s="846"/>
    </row>
    <row r="14" spans="1:7" ht="12" customHeight="1" thickBot="1" x14ac:dyDescent="0.25">
      <c r="A14" s="1743"/>
      <c r="B14" s="1744"/>
      <c r="C14" s="1745"/>
      <c r="D14" s="1746" t="s">
        <v>501</v>
      </c>
      <c r="E14" s="1747" t="s">
        <v>958</v>
      </c>
      <c r="F14" s="1748">
        <f>SUM(F8:F13)</f>
        <v>38339399</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1998</v>
      </c>
      <c r="C30" s="853">
        <f>'Revenues 9-14'!B150</f>
        <v>3499</v>
      </c>
      <c r="D30" s="854" t="str">
        <f>'Revenues 9-14'!A150</f>
        <v>Adult Ed - Other (Describe &amp; Itemize)</v>
      </c>
      <c r="E30" s="841"/>
      <c r="F30" s="1887">
        <f>('Revenues 9-14'!D150+'Revenues 9-14'!F150)</f>
        <v>0</v>
      </c>
      <c r="G30" s="838"/>
    </row>
    <row r="31" spans="1:7" x14ac:dyDescent="0.2">
      <c r="A31" s="842" t="s">
        <v>1097</v>
      </c>
      <c r="B31" s="843" t="s">
        <v>1999</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2000</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2001</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68783</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1459</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1674899</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214063</v>
      </c>
      <c r="G52" s="838"/>
    </row>
    <row r="53" spans="1:7" x14ac:dyDescent="0.2">
      <c r="A53" s="842" t="s">
        <v>459</v>
      </c>
      <c r="B53" s="842" t="s">
        <v>1475</v>
      </c>
      <c r="C53" s="862">
        <f>'Expenditures 15-22'!B102</f>
        <v>4000</v>
      </c>
      <c r="D53" s="861" t="str">
        <f>'Expenditures 15-22'!A102</f>
        <v>Total Payments to Other Govt Units</v>
      </c>
      <c r="E53" s="841"/>
      <c r="F53" s="1886">
        <f>'Expenditures 15-22'!K102</f>
        <v>593099</v>
      </c>
      <c r="G53" s="838"/>
    </row>
    <row r="54" spans="1:7" x14ac:dyDescent="0.2">
      <c r="A54" s="842" t="s">
        <v>459</v>
      </c>
      <c r="B54" s="842" t="s">
        <v>1476</v>
      </c>
      <c r="C54" s="862" t="s">
        <v>982</v>
      </c>
      <c r="D54" s="858" t="s">
        <v>1095</v>
      </c>
      <c r="E54" s="841"/>
      <c r="F54" s="1886">
        <f>'Expenditures 15-22'!G114</f>
        <v>7388</v>
      </c>
      <c r="G54" s="838"/>
    </row>
    <row r="55" spans="1:7" x14ac:dyDescent="0.2">
      <c r="A55" s="842" t="s">
        <v>459</v>
      </c>
      <c r="B55" s="842" t="s">
        <v>1477</v>
      </c>
      <c r="C55" s="862" t="s">
        <v>982</v>
      </c>
      <c r="D55" s="858" t="s">
        <v>291</v>
      </c>
      <c r="E55" s="841"/>
      <c r="F55" s="1886">
        <f>'Expenditures 15-22'!I114</f>
        <v>538078</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1881</v>
      </c>
      <c r="C57" s="862">
        <f>'Expenditures 15-22'!B139</f>
        <v>4000</v>
      </c>
      <c r="D57" s="860" t="str">
        <f>'Expenditures 15-22'!A139</f>
        <v>Total Payments to Other Govt Units</v>
      </c>
      <c r="E57" s="841"/>
      <c r="F57" s="1886">
        <f>'Expenditures 15-22'!K139</f>
        <v>0</v>
      </c>
      <c r="G57" s="838"/>
    </row>
    <row r="58" spans="1:7" x14ac:dyDescent="0.2">
      <c r="A58" s="842" t="s">
        <v>460</v>
      </c>
      <c r="B58" s="842" t="s">
        <v>1882</v>
      </c>
      <c r="C58" s="859" t="s">
        <v>982</v>
      </c>
      <c r="D58" s="858" t="s">
        <v>1095</v>
      </c>
      <c r="E58" s="841"/>
      <c r="F58" s="1888">
        <f>'Expenditures 15-22'!G151</f>
        <v>886368</v>
      </c>
      <c r="G58" s="838"/>
    </row>
    <row r="59" spans="1:7" x14ac:dyDescent="0.2">
      <c r="A59" s="866" t="s">
        <v>460</v>
      </c>
      <c r="B59" s="829" t="s">
        <v>1883</v>
      </c>
      <c r="C59" s="867" t="s">
        <v>982</v>
      </c>
      <c r="D59" s="829" t="s">
        <v>291</v>
      </c>
      <c r="F59" s="1889">
        <f>'Expenditures 15-22'!I151</f>
        <v>104318</v>
      </c>
      <c r="G59" s="838"/>
    </row>
    <row r="60" spans="1:7" x14ac:dyDescent="0.2">
      <c r="A60" s="866" t="s">
        <v>499</v>
      </c>
      <c r="B60" s="829" t="s">
        <v>1884</v>
      </c>
      <c r="C60" s="867">
        <v>4000</v>
      </c>
      <c r="D60" s="829" t="s">
        <v>312</v>
      </c>
      <c r="F60" s="1887">
        <f>'Expenditures 15-22'!K160</f>
        <v>0</v>
      </c>
      <c r="G60" s="838"/>
    </row>
    <row r="61" spans="1:7" x14ac:dyDescent="0.2">
      <c r="A61" s="868" t="s">
        <v>499</v>
      </c>
      <c r="B61" s="868" t="s">
        <v>1885</v>
      </c>
      <c r="C61" s="869" t="str">
        <f>'Expenditures 15-22'!B170</f>
        <v>5300</v>
      </c>
      <c r="D61" s="870" t="s">
        <v>311</v>
      </c>
      <c r="E61" s="852"/>
      <c r="F61" s="1886">
        <f>'Expenditures 15-22'!K170</f>
        <v>4385000</v>
      </c>
      <c r="G61" s="838"/>
    </row>
    <row r="62" spans="1:7" x14ac:dyDescent="0.2">
      <c r="A62" s="842" t="s">
        <v>461</v>
      </c>
      <c r="B62" s="842" t="s">
        <v>1886</v>
      </c>
      <c r="C62" s="859">
        <f>'Expenditures 15-22'!B185</f>
        <v>3000</v>
      </c>
      <c r="D62" s="849" t="s">
        <v>449</v>
      </c>
      <c r="E62" s="841"/>
      <c r="F62" s="1886">
        <f>'Expenditures 15-22'!K185-SUM('Expenditures 15-22'!G185,'Expenditures 15-22'!I185)</f>
        <v>0</v>
      </c>
      <c r="G62" s="838"/>
    </row>
    <row r="63" spans="1:7" x14ac:dyDescent="0.2">
      <c r="A63" s="842" t="s">
        <v>461</v>
      </c>
      <c r="B63" s="842" t="s">
        <v>1887</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1888</v>
      </c>
      <c r="C64" s="869" t="str">
        <f>'Expenditures 15-22'!B206</f>
        <v>5300</v>
      </c>
      <c r="D64" s="865" t="s">
        <v>311</v>
      </c>
      <c r="E64" s="841"/>
      <c r="F64" s="1886">
        <f>'Expenditures 15-22'!K206</f>
        <v>0</v>
      </c>
      <c r="G64" s="838"/>
    </row>
    <row r="65" spans="1:8" x14ac:dyDescent="0.2">
      <c r="A65" s="842" t="s">
        <v>461</v>
      </c>
      <c r="B65" s="842" t="s">
        <v>1889</v>
      </c>
      <c r="C65" s="859" t="s">
        <v>982</v>
      </c>
      <c r="D65" s="858" t="s">
        <v>1095</v>
      </c>
      <c r="E65" s="841"/>
      <c r="F65" s="1886">
        <f>'Expenditures 15-22'!G210</f>
        <v>0</v>
      </c>
      <c r="G65" s="838"/>
    </row>
    <row r="66" spans="1:8" x14ac:dyDescent="0.2">
      <c r="A66" s="842" t="s">
        <v>461</v>
      </c>
      <c r="B66" s="842" t="s">
        <v>1890</v>
      </c>
      <c r="C66" s="859" t="s">
        <v>982</v>
      </c>
      <c r="D66" s="858" t="s">
        <v>291</v>
      </c>
      <c r="E66" s="841"/>
      <c r="F66" s="1886">
        <f>'Expenditures 15-22'!I210</f>
        <v>372</v>
      </c>
      <c r="G66" s="838"/>
    </row>
    <row r="67" spans="1:8" x14ac:dyDescent="0.2">
      <c r="A67" s="842" t="s">
        <v>462</v>
      </c>
      <c r="B67" s="842" t="s">
        <v>1891</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1892</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1893</v>
      </c>
      <c r="C70" s="859">
        <f>'Expenditures 15-22'!B221</f>
        <v>1300</v>
      </c>
      <c r="D70" s="860" t="str">
        <f>'Expenditures 15-22'!A221</f>
        <v>Adult/Continuing Education Programs</v>
      </c>
      <c r="E70" s="841"/>
      <c r="F70" s="1886">
        <f>'Expenditures 15-22'!K221</f>
        <v>0</v>
      </c>
      <c r="G70" s="838"/>
    </row>
    <row r="71" spans="1:8" x14ac:dyDescent="0.2">
      <c r="A71" s="842" t="s">
        <v>462</v>
      </c>
      <c r="B71" s="842" t="s">
        <v>1894</v>
      </c>
      <c r="C71" s="859">
        <f>'Expenditures 15-22'!B224</f>
        <v>1600</v>
      </c>
      <c r="D71" s="860" t="str">
        <f>'Expenditures 15-22'!A224</f>
        <v>Summer School Programs</v>
      </c>
      <c r="E71" s="841"/>
      <c r="F71" s="1886">
        <f>'Expenditures 15-22'!K224</f>
        <v>1639</v>
      </c>
      <c r="G71" s="838"/>
    </row>
    <row r="72" spans="1:8" x14ac:dyDescent="0.2">
      <c r="A72" s="842" t="s">
        <v>462</v>
      </c>
      <c r="B72" s="842" t="s">
        <v>1895</v>
      </c>
      <c r="C72" s="859">
        <f>'Expenditures 15-22'!B280</f>
        <v>3000</v>
      </c>
      <c r="D72" s="849" t="s">
        <v>449</v>
      </c>
      <c r="E72" s="841"/>
      <c r="F72" s="1886">
        <f>'Expenditures 15-22'!K280</f>
        <v>17035</v>
      </c>
      <c r="G72" s="838"/>
    </row>
    <row r="73" spans="1:8" x14ac:dyDescent="0.2">
      <c r="A73" s="842" t="s">
        <v>462</v>
      </c>
      <c r="B73" s="842" t="s">
        <v>1896</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1897</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1898</v>
      </c>
      <c r="E76" s="1747" t="s">
        <v>958</v>
      </c>
      <c r="F76" s="1751">
        <f>SUM(F18:F74)</f>
        <v>8492501</v>
      </c>
      <c r="G76" s="838"/>
    </row>
    <row r="77" spans="1:8" s="866" customFormat="1" ht="12" customHeight="1" thickTop="1" thickBot="1" x14ac:dyDescent="0.25">
      <c r="A77" s="1752"/>
      <c r="B77" s="1749"/>
      <c r="C77" s="1745"/>
      <c r="D77" s="1750" t="s">
        <v>1899</v>
      </c>
      <c r="E77" s="1747"/>
      <c r="F77" s="1753">
        <f>(F14-F76)</f>
        <v>29846898</v>
      </c>
      <c r="G77" s="842"/>
    </row>
    <row r="78" spans="1:8" s="866" customFormat="1" ht="12" customHeight="1" thickTop="1" x14ac:dyDescent="0.2">
      <c r="A78" s="1754"/>
      <c r="B78" s="1749"/>
      <c r="C78" s="1745"/>
      <c r="D78" s="1750" t="s">
        <v>2061</v>
      </c>
      <c r="E78" s="1747"/>
      <c r="F78" s="871">
        <v>1938</v>
      </c>
      <c r="G78" s="872"/>
      <c r="H78" s="842"/>
    </row>
    <row r="79" spans="1:8" s="866" customFormat="1" ht="12" customHeight="1" thickBot="1" x14ac:dyDescent="0.25">
      <c r="A79" s="1755"/>
      <c r="B79" s="1749"/>
      <c r="C79" s="1745"/>
      <c r="D79" s="1750" t="s">
        <v>1900</v>
      </c>
      <c r="E79" s="1747" t="s">
        <v>958</v>
      </c>
      <c r="F79" s="1756">
        <f>IF(F78&gt;0,F77/F78," Complete Line 78")</f>
        <v>15400.876160990712</v>
      </c>
      <c r="G79" s="842"/>
    </row>
    <row r="80" spans="1:8" s="866" customFormat="1" ht="8.25" customHeight="1" thickTop="1" x14ac:dyDescent="0.2">
      <c r="A80" s="873"/>
      <c r="B80" s="842"/>
      <c r="C80" s="844"/>
      <c r="D80" s="874"/>
      <c r="E80" s="841"/>
      <c r="F80" s="875"/>
      <c r="G80" s="842"/>
    </row>
    <row r="81" spans="1:7" s="866" customFormat="1" ht="12" thickBot="1" x14ac:dyDescent="0.25">
      <c r="A81" s="2329" t="s">
        <v>1105</v>
      </c>
      <c r="B81" s="2330"/>
      <c r="C81" s="2330"/>
      <c r="D81" s="2330"/>
      <c r="E81" s="2330"/>
      <c r="F81" s="2331"/>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7281</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3880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449204</v>
      </c>
      <c r="G94" s="885"/>
    </row>
    <row r="95" spans="1:7" x14ac:dyDescent="0.2">
      <c r="A95" s="881" t="s">
        <v>140</v>
      </c>
      <c r="B95" s="881" t="s">
        <v>175</v>
      </c>
      <c r="C95" s="883">
        <v>1700</v>
      </c>
      <c r="D95" s="891" t="str">
        <f>'Revenues 9-14'!A82</f>
        <v>Total District/School Activity Income</v>
      </c>
      <c r="E95" s="879"/>
      <c r="F95" s="1762">
        <f>SUM('Revenues 9-14'!C82,'Revenues 9-14'!D82)</f>
        <v>798134</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112747</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51255</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65483</v>
      </c>
      <c r="G104" s="885"/>
    </row>
    <row r="105" spans="1:7" x14ac:dyDescent="0.2">
      <c r="A105" s="881" t="s">
        <v>503</v>
      </c>
      <c r="B105" s="881" t="s">
        <v>2002</v>
      </c>
      <c r="C105" s="886">
        <v>3100</v>
      </c>
      <c r="D105" s="892" t="str">
        <f>'Revenues 9-14'!A132</f>
        <v>Total Special Education</v>
      </c>
      <c r="E105" s="879"/>
      <c r="F105" s="1762">
        <f>SUM('Revenues 9-14'!C132:D132,'Revenues 9-14'!F132)</f>
        <v>627901</v>
      </c>
      <c r="G105" s="885"/>
    </row>
    <row r="106" spans="1:7" x14ac:dyDescent="0.2">
      <c r="A106" s="881" t="s">
        <v>673</v>
      </c>
      <c r="B106" s="881" t="s">
        <v>2003</v>
      </c>
      <c r="C106" s="893">
        <v>3200</v>
      </c>
      <c r="D106" s="884" t="str">
        <f>'Revenues 9-14'!A141</f>
        <v>Total Career and Technical Education</v>
      </c>
      <c r="E106" s="879"/>
      <c r="F106" s="1762">
        <f>SUM('Revenues 9-14'!C141,'Revenues 9-14'!D141,'Revenues 9-14'!G141)</f>
        <v>78916</v>
      </c>
      <c r="G106" s="885"/>
    </row>
    <row r="107" spans="1:7" x14ac:dyDescent="0.2">
      <c r="A107" s="894" t="s">
        <v>664</v>
      </c>
      <c r="B107" s="881" t="s">
        <v>2004</v>
      </c>
      <c r="C107" s="893">
        <v>3300</v>
      </c>
      <c r="D107" s="884" t="str">
        <f>'Revenues 9-14'!A145</f>
        <v>Total Bilingual Ed</v>
      </c>
      <c r="E107" s="879"/>
      <c r="F107" s="1762">
        <f>SUM('Revenues 9-14'!C145,'Revenues 9-14'!G145)</f>
        <v>0</v>
      </c>
      <c r="G107" s="885"/>
    </row>
    <row r="108" spans="1:7" x14ac:dyDescent="0.2">
      <c r="A108" s="881" t="s">
        <v>459</v>
      </c>
      <c r="B108" s="881" t="s">
        <v>2005</v>
      </c>
      <c r="C108" s="893">
        <f>'Revenues 9-14'!B146</f>
        <v>3360</v>
      </c>
      <c r="D108" s="884" t="str">
        <f>'Revenues 9-14'!A146</f>
        <v>State Free Lunch &amp; Breakfast</v>
      </c>
      <c r="E108" s="879"/>
      <c r="F108" s="1762">
        <f>'Revenues 9-14'!C146</f>
        <v>4757</v>
      </c>
      <c r="G108" s="885"/>
    </row>
    <row r="109" spans="1:7" x14ac:dyDescent="0.2">
      <c r="A109" s="881" t="s">
        <v>673</v>
      </c>
      <c r="B109" s="881" t="s">
        <v>2006</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2007</v>
      </c>
      <c r="C110" s="893">
        <f>'Revenues 9-14'!B148</f>
        <v>3370</v>
      </c>
      <c r="D110" s="884" t="str">
        <f>'Revenues 9-14'!A148</f>
        <v>Driver Education</v>
      </c>
      <c r="E110" s="879"/>
      <c r="F110" s="1762">
        <f>SUM('Revenues 9-14'!C148,'Revenues 9-14'!D148)</f>
        <v>62519</v>
      </c>
      <c r="G110" s="885"/>
    </row>
    <row r="111" spans="1:7" x14ac:dyDescent="0.2">
      <c r="A111" s="881" t="s">
        <v>668</v>
      </c>
      <c r="B111" s="881" t="s">
        <v>2008</v>
      </c>
      <c r="C111" s="895">
        <v>3500</v>
      </c>
      <c r="D111" s="884" t="str">
        <f>'Revenues 9-14'!A155</f>
        <v>Total Transportation</v>
      </c>
      <c r="E111" s="879"/>
      <c r="F111" s="1762">
        <f>SUM('Revenues 9-14'!C155,'Revenues 9-14'!D155,'Revenues 9-14'!F155,'Revenues 9-14'!G155)</f>
        <v>808783</v>
      </c>
      <c r="G111" s="885"/>
    </row>
    <row r="112" spans="1:7" x14ac:dyDescent="0.2">
      <c r="A112" s="881" t="s">
        <v>459</v>
      </c>
      <c r="B112" s="881" t="s">
        <v>2009</v>
      </c>
      <c r="C112" s="893">
        <f>'Revenues 9-14'!B156</f>
        <v>3610</v>
      </c>
      <c r="D112" s="884" t="str">
        <f>'Revenues 9-14'!A156</f>
        <v>Learning Improvement - Change Grants</v>
      </c>
      <c r="E112" s="879"/>
      <c r="F112" s="1762">
        <f>'Revenues 9-14'!C156</f>
        <v>0</v>
      </c>
      <c r="G112" s="885"/>
    </row>
    <row r="113" spans="1:7" x14ac:dyDescent="0.2">
      <c r="A113" s="881" t="s">
        <v>668</v>
      </c>
      <c r="B113" s="881" t="s">
        <v>2010</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2011</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2012</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2013</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2014</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2015</v>
      </c>
      <c r="C118" s="897">
        <f>'Revenues 9-14'!B163</f>
        <v>3780</v>
      </c>
      <c r="D118" s="898" t="str">
        <f>'Revenues 9-14'!A163</f>
        <v>Technology - Technology for Success</v>
      </c>
      <c r="E118" s="879"/>
      <c r="F118" s="1880">
        <f>SUM('Revenues 9-14'!C163:G163)</f>
        <v>0</v>
      </c>
      <c r="G118" s="885"/>
    </row>
    <row r="119" spans="1:7" x14ac:dyDescent="0.2">
      <c r="A119" s="896" t="s">
        <v>504</v>
      </c>
      <c r="B119" s="896" t="s">
        <v>2016</v>
      </c>
      <c r="C119" s="897">
        <f>'Revenues 9-14'!B164</f>
        <v>3815</v>
      </c>
      <c r="D119" s="898" t="str">
        <f>'Revenues 9-14'!A164</f>
        <v>State Charter Schools</v>
      </c>
      <c r="E119" s="879"/>
      <c r="F119" s="1880">
        <f>SUM('Revenues 9-14'!C164,'Revenues 9-14'!F164)</f>
        <v>0</v>
      </c>
      <c r="G119" s="885"/>
    </row>
    <row r="120" spans="1:7" x14ac:dyDescent="0.2">
      <c r="A120" s="900" t="s">
        <v>460</v>
      </c>
      <c r="B120" s="900" t="s">
        <v>2017</v>
      </c>
      <c r="C120" s="901">
        <f>'Revenues 9-14'!B167</f>
        <v>3925</v>
      </c>
      <c r="D120" s="902" t="str">
        <f>'Revenues 9-14'!A167</f>
        <v>School Infrastructure - Maintenance Projects</v>
      </c>
      <c r="E120" s="879"/>
      <c r="F120" s="1762">
        <f>'Revenues 9-14'!D167</f>
        <v>0</v>
      </c>
      <c r="G120" s="903"/>
    </row>
    <row r="121" spans="1:7" x14ac:dyDescent="0.2">
      <c r="A121" s="900" t="s">
        <v>500</v>
      </c>
      <c r="B121" s="900" t="s">
        <v>2018</v>
      </c>
      <c r="C121" s="901">
        <f>'Revenues 9-14'!B168</f>
        <v>3999</v>
      </c>
      <c r="D121" s="902" t="s">
        <v>543</v>
      </c>
      <c r="E121" s="904"/>
      <c r="F121" s="1762">
        <f>SUM('Revenues 9-14'!C168:G168,'Revenues 9-14'!J168)</f>
        <v>11020</v>
      </c>
      <c r="G121" s="903"/>
    </row>
    <row r="122" spans="1:7" x14ac:dyDescent="0.2">
      <c r="A122" s="900" t="s">
        <v>459</v>
      </c>
      <c r="B122" s="900" t="s">
        <v>2019</v>
      </c>
      <c r="C122" s="905">
        <f>'Revenues 9-14'!B177</f>
        <v>4045</v>
      </c>
      <c r="D122" s="902" t="str">
        <f>'Revenues 9-14'!A177 &amp; " (Subtract)"</f>
        <v>Head Start (Subtract)</v>
      </c>
      <c r="E122" s="879"/>
      <c r="F122" s="1762">
        <f>SUM(-'Revenues 9-14'!C177)</f>
        <v>0</v>
      </c>
      <c r="G122" s="903"/>
    </row>
    <row r="123" spans="1:7" x14ac:dyDescent="0.2">
      <c r="A123" s="900" t="s">
        <v>668</v>
      </c>
      <c r="B123" s="900" t="s">
        <v>2020</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2021</v>
      </c>
      <c r="C124" s="905">
        <v>4100</v>
      </c>
      <c r="D124" s="906" t="str">
        <f>'Revenues 9-14'!A188</f>
        <v>Total Title V</v>
      </c>
      <c r="E124" s="879"/>
      <c r="F124" s="1762">
        <f>SUM('Revenues 9-14'!C188,'Revenues 9-14'!D188,'Revenues 9-14'!F188,'Revenues 9-14'!G188)</f>
        <v>0</v>
      </c>
      <c r="G124" s="903"/>
    </row>
    <row r="125" spans="1:7" x14ac:dyDescent="0.2">
      <c r="A125" s="900" t="s">
        <v>664</v>
      </c>
      <c r="B125" s="900" t="s">
        <v>2022</v>
      </c>
      <c r="C125" s="905">
        <v>4200</v>
      </c>
      <c r="D125" s="902" t="str">
        <f>'Revenues 9-14'!A198</f>
        <v>Total Food Service</v>
      </c>
      <c r="E125" s="879"/>
      <c r="F125" s="1762">
        <f>SUM('Revenues 9-14'!C198,'Revenues 9-14'!G198)</f>
        <v>318849</v>
      </c>
      <c r="G125" s="903"/>
    </row>
    <row r="126" spans="1:7" x14ac:dyDescent="0.2">
      <c r="A126" s="900" t="s">
        <v>668</v>
      </c>
      <c r="B126" s="900" t="s">
        <v>2023</v>
      </c>
      <c r="C126" s="905">
        <v>4300</v>
      </c>
      <c r="D126" s="906" t="str">
        <f>'Revenues 9-14'!A204</f>
        <v>Total Title I</v>
      </c>
      <c r="E126" s="879"/>
      <c r="F126" s="1762">
        <f>SUM('Revenues 9-14'!C204,'Revenues 9-14'!D204,'Revenues 9-14'!F204,'Revenues 9-14'!G204)</f>
        <v>272185</v>
      </c>
      <c r="G126" s="903"/>
    </row>
    <row r="127" spans="1:7" x14ac:dyDescent="0.2">
      <c r="A127" s="900" t="s">
        <v>668</v>
      </c>
      <c r="B127" s="900" t="s">
        <v>2024</v>
      </c>
      <c r="C127" s="905">
        <v>4400</v>
      </c>
      <c r="D127" s="906" t="str">
        <f>'Revenues 9-14'!A209</f>
        <v>Total Title IV</v>
      </c>
      <c r="E127" s="879"/>
      <c r="F127" s="1762">
        <f>SUM('Revenues 9-14'!C209,'Revenues 9-14'!D209,'Revenues 9-14'!F209,'Revenues 9-14'!G209)</f>
        <v>6464</v>
      </c>
      <c r="G127" s="903"/>
    </row>
    <row r="128" spans="1:7" x14ac:dyDescent="0.2">
      <c r="A128" s="900" t="s">
        <v>668</v>
      </c>
      <c r="B128" s="900" t="s">
        <v>2025</v>
      </c>
      <c r="C128" s="905">
        <f>'Revenues 9-14'!B213</f>
        <v>4620</v>
      </c>
      <c r="D128" s="906" t="str">
        <f>'Revenues 9-14'!A213</f>
        <v>Fed - Spec Education - IDEA - Flow Through</v>
      </c>
      <c r="E128" s="879"/>
      <c r="F128" s="1762">
        <f>SUM('Revenues 9-14'!C213:D213,'Revenues 9-14'!F213:G213)</f>
        <v>408870</v>
      </c>
      <c r="G128" s="903"/>
    </row>
    <row r="129" spans="1:7" x14ac:dyDescent="0.2">
      <c r="A129" s="900" t="s">
        <v>668</v>
      </c>
      <c r="B129" s="900" t="s">
        <v>2026</v>
      </c>
      <c r="C129" s="905">
        <f>'Revenues 9-14'!B214</f>
        <v>4625</v>
      </c>
      <c r="D129" s="906" t="str">
        <f>'Revenues 9-14'!A214</f>
        <v>Fed - Spec Education - IDEA - Room &amp; Board</v>
      </c>
      <c r="E129" s="879"/>
      <c r="F129" s="1762">
        <f>SUM('Revenues 9-14'!C214,'Revenues 9-14'!D214,'Revenues 9-14'!F214,'Revenues 9-14'!G214)</f>
        <v>138461</v>
      </c>
      <c r="G129" s="903"/>
    </row>
    <row r="130" spans="1:7" x14ac:dyDescent="0.2">
      <c r="A130" s="900" t="s">
        <v>668</v>
      </c>
      <c r="B130" s="900" t="s">
        <v>2027</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2028</v>
      </c>
      <c r="C132" s="905">
        <v>4700</v>
      </c>
      <c r="D132" s="902" t="str">
        <f>'Revenues 9-14'!A221</f>
        <v>Total CTE - Perkins</v>
      </c>
      <c r="E132" s="879"/>
      <c r="F132" s="1762">
        <f>SUM('Revenues 9-14'!C221,'Revenues 9-14'!D221,'Revenues 9-14'!G221)</f>
        <v>58544</v>
      </c>
      <c r="G132" s="903">
        <v>6303</v>
      </c>
    </row>
    <row r="133" spans="1:7" s="840" customFormat="1" hidden="1" x14ac:dyDescent="0.2">
      <c r="A133" s="907" t="s">
        <v>206</v>
      </c>
      <c r="B133" s="907" t="s">
        <v>2029</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2030</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2031</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2032</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2033</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2034</v>
      </c>
      <c r="C138" s="908" t="s">
        <v>212</v>
      </c>
      <c r="D138" s="909" t="str">
        <f>'Revenues 9-14'!A229</f>
        <v>ARRA - IDEA - Part B - Preschool</v>
      </c>
      <c r="E138" s="910"/>
      <c r="F138" s="1762">
        <v>0</v>
      </c>
      <c r="G138" s="878"/>
    </row>
    <row r="139" spans="1:7" s="840" customFormat="1" hidden="1" x14ac:dyDescent="0.2">
      <c r="A139" s="907" t="s">
        <v>206</v>
      </c>
      <c r="B139" s="907" t="s">
        <v>2035</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2036</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2037</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2038</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2039</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2040</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2041</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2042</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2043</v>
      </c>
      <c r="C157" s="913" t="s">
        <v>841</v>
      </c>
      <c r="D157" s="914" t="s">
        <v>777</v>
      </c>
      <c r="E157" s="915"/>
      <c r="F157" s="1762">
        <f>SUM(F133:F156)</f>
        <v>0</v>
      </c>
      <c r="G157" s="878"/>
    </row>
    <row r="158" spans="1:7" s="840" customFormat="1" x14ac:dyDescent="0.2">
      <c r="A158" s="911" t="s">
        <v>459</v>
      </c>
      <c r="B158" s="912" t="s">
        <v>2044</v>
      </c>
      <c r="C158" s="913" t="s">
        <v>1427</v>
      </c>
      <c r="D158" s="914" t="s">
        <v>1428</v>
      </c>
      <c r="E158" s="915"/>
      <c r="F158" s="1762">
        <f>SUM('Revenues 9-14'!C253)</f>
        <v>0</v>
      </c>
      <c r="G158" s="878"/>
    </row>
    <row r="159" spans="1:7" s="840" customFormat="1" x14ac:dyDescent="0.2">
      <c r="A159" s="911" t="s">
        <v>500</v>
      </c>
      <c r="B159" s="912" t="s">
        <v>2045</v>
      </c>
      <c r="C159" s="913" t="s">
        <v>1466</v>
      </c>
      <c r="D159" s="914" t="s">
        <v>1467</v>
      </c>
      <c r="E159" s="915"/>
      <c r="F159" s="1762">
        <f>SUM('Revenues 9-14'!C254:H254,'Revenues 9-14'!J254:K254)</f>
        <v>0</v>
      </c>
      <c r="G159" s="878"/>
    </row>
    <row r="160" spans="1:7" x14ac:dyDescent="0.2">
      <c r="A160" s="900" t="s">
        <v>5</v>
      </c>
      <c r="B160" s="900" t="s">
        <v>2046</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2047</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2048</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2049</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2050</v>
      </c>
      <c r="C164" s="905">
        <f>'Revenues 9-14'!B259</f>
        <v>4932</v>
      </c>
      <c r="D164" s="906" t="str">
        <f>'Revenues 9-14'!A259</f>
        <v>Title II - Teacher Quality</v>
      </c>
      <c r="E164" s="879"/>
      <c r="F164" s="1880">
        <f>SUM('Revenues 9-14'!C259,'Revenues 9-14'!D259,'Revenues 9-14'!F259,'Revenues 9-14'!G259)</f>
        <v>82197</v>
      </c>
      <c r="G164" s="903"/>
    </row>
    <row r="165" spans="1:7" x14ac:dyDescent="0.2">
      <c r="A165" s="900" t="s">
        <v>668</v>
      </c>
      <c r="B165" s="900" t="s">
        <v>2051</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1996</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1997</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2052</v>
      </c>
      <c r="C168" s="905">
        <f>'Revenues 9-14'!B263</f>
        <v>4991</v>
      </c>
      <c r="D168" s="906" t="str">
        <f>'Revenues 9-14'!A263</f>
        <v>Medicaid Matching Funds - Administrative Outreach</v>
      </c>
      <c r="E168" s="879"/>
      <c r="F168" s="1762">
        <f>SUM('Revenues 9-14'!C263:D263,'Revenues 9-14'!F263:G263)</f>
        <v>13682</v>
      </c>
      <c r="G168" s="920">
        <v>6320</v>
      </c>
    </row>
    <row r="169" spans="1:7" x14ac:dyDescent="0.2">
      <c r="A169" s="900" t="s">
        <v>668</v>
      </c>
      <c r="B169" s="900" t="s">
        <v>2053</v>
      </c>
      <c r="C169" s="905">
        <f>'Revenues 9-14'!B264</f>
        <v>4992</v>
      </c>
      <c r="D169" s="906" t="str">
        <f>'Revenues 9-14'!A264</f>
        <v>Medicaid Matching Funds - Fee-for-Service Program</v>
      </c>
      <c r="E169" s="879"/>
      <c r="F169" s="1762">
        <f>SUM('Revenues 9-14'!C264:D264,'Revenues 9-14'!F264:G264)</f>
        <v>102586</v>
      </c>
      <c r="G169" s="920"/>
    </row>
    <row r="170" spans="1:7" x14ac:dyDescent="0.2">
      <c r="A170" s="921" t="s">
        <v>668</v>
      </c>
      <c r="B170" s="917" t="s">
        <v>2054</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1919</v>
      </c>
      <c r="C171" s="1893">
        <v>3100</v>
      </c>
      <c r="D171" s="1894" t="s">
        <v>1921</v>
      </c>
      <c r="E171" s="879"/>
      <c r="F171" s="1879">
        <v>755601</v>
      </c>
      <c r="G171" s="900"/>
    </row>
    <row r="172" spans="1:7" x14ac:dyDescent="0.2">
      <c r="A172" s="1891" t="s">
        <v>664</v>
      </c>
      <c r="B172" s="1892" t="s">
        <v>1919</v>
      </c>
      <c r="C172" s="1893">
        <v>3300</v>
      </c>
      <c r="D172" s="1894" t="s">
        <v>1922</v>
      </c>
      <c r="E172" s="879"/>
      <c r="F172" s="1879">
        <v>23953</v>
      </c>
      <c r="G172" s="900"/>
    </row>
    <row r="173" spans="1:7" ht="6" customHeight="1" x14ac:dyDescent="0.2">
      <c r="A173" s="900"/>
      <c r="B173" s="900"/>
      <c r="C173" s="922"/>
      <c r="D173" s="900"/>
      <c r="E173" s="879"/>
      <c r="F173" s="923"/>
      <c r="G173" s="920"/>
    </row>
    <row r="174" spans="1:7" x14ac:dyDescent="0.2">
      <c r="A174" s="1743"/>
      <c r="B174" s="1757"/>
      <c r="C174" s="1758"/>
      <c r="D174" s="1759" t="s">
        <v>2055</v>
      </c>
      <c r="E174" s="1760" t="s">
        <v>958</v>
      </c>
      <c r="F174" s="1761">
        <f>SUM(F84:F132,F157:F172)</f>
        <v>5263272</v>
      </c>
    </row>
    <row r="175" spans="1:7" ht="12" customHeight="1" x14ac:dyDescent="0.2">
      <c r="A175" s="1743"/>
      <c r="B175" s="1757"/>
      <c r="C175" s="1758"/>
      <c r="D175" s="1759" t="s">
        <v>2056</v>
      </c>
      <c r="E175" s="1760"/>
      <c r="F175" s="1762">
        <f>'PCTC-OEPP 27-28'!F77-F174</f>
        <v>24583626</v>
      </c>
    </row>
    <row r="176" spans="1:7" ht="12" customHeight="1" x14ac:dyDescent="0.2">
      <c r="A176" s="1743"/>
      <c r="B176" s="1757"/>
      <c r="C176" s="1758"/>
      <c r="D176" s="1759" t="s">
        <v>1816</v>
      </c>
      <c r="E176" s="1760"/>
      <c r="F176" s="1762">
        <f>'Cap Outlay Deprec 26'!I18</f>
        <v>783113.8</v>
      </c>
    </row>
    <row r="177" spans="1:7" ht="12" customHeight="1" x14ac:dyDescent="0.2">
      <c r="A177" s="1743"/>
      <c r="B177" s="1757"/>
      <c r="C177" s="1758"/>
      <c r="D177" s="1759" t="s">
        <v>2057</v>
      </c>
      <c r="E177" s="1760"/>
      <c r="F177" s="1762">
        <f>F175+F176</f>
        <v>25366739.800000001</v>
      </c>
    </row>
    <row r="178" spans="1:7" ht="12" customHeight="1" x14ac:dyDescent="0.2">
      <c r="A178" s="1743"/>
      <c r="B178" s="1763"/>
      <c r="C178" s="1758"/>
      <c r="D178" s="1759" t="str">
        <f>D78</f>
        <v>9 Month ADA from District Average Daily Attendance/Prior General State Aid Inquiry 2018-2019</v>
      </c>
      <c r="E178" s="1760"/>
      <c r="F178" s="1764">
        <f>'PCTC-OEPP 27-28'!F78</f>
        <v>1938</v>
      </c>
      <c r="G178" s="903"/>
    </row>
    <row r="179" spans="1:7" ht="12" customHeight="1" thickBot="1" x14ac:dyDescent="0.25">
      <c r="A179" s="1743"/>
      <c r="B179" s="1763"/>
      <c r="C179" s="1758"/>
      <c r="D179" s="1759" t="s">
        <v>2058</v>
      </c>
      <c r="E179" s="1760" t="s">
        <v>1545</v>
      </c>
      <c r="F179" s="1765">
        <f>F177/F178</f>
        <v>13089.133023735811</v>
      </c>
      <c r="G179" s="829">
        <v>6323</v>
      </c>
    </row>
    <row r="180" spans="1:7" ht="12" thickTop="1" x14ac:dyDescent="0.2">
      <c r="B180" s="903"/>
      <c r="C180" s="922"/>
      <c r="D180" s="903"/>
      <c r="E180" s="922"/>
      <c r="F180" s="903"/>
      <c r="G180" s="924">
        <v>6326</v>
      </c>
    </row>
    <row r="181" spans="1:7" ht="12.2" customHeight="1" x14ac:dyDescent="0.2">
      <c r="A181" s="903" t="s">
        <v>1920</v>
      </c>
      <c r="B181" s="903"/>
      <c r="C181" s="922"/>
      <c r="D181" s="903"/>
      <c r="E181" s="922"/>
      <c r="F181" s="903"/>
      <c r="G181" s="903"/>
    </row>
    <row r="182" spans="1:7" s="1895" customFormat="1" ht="12.2" customHeight="1" x14ac:dyDescent="0.2">
      <c r="A182" s="1895" t="s">
        <v>1993</v>
      </c>
      <c r="B182" s="1896"/>
      <c r="C182" s="1897"/>
      <c r="D182" s="1896"/>
      <c r="E182" s="1897"/>
      <c r="F182" s="1896"/>
      <c r="G182" s="1896"/>
    </row>
    <row r="183" spans="1:7" s="1895" customFormat="1" ht="12.2" customHeight="1" x14ac:dyDescent="0.2">
      <c r="A183" s="1898" t="s">
        <v>1995</v>
      </c>
      <c r="C183" s="1897"/>
      <c r="D183" s="1896"/>
      <c r="E183" s="1897"/>
      <c r="F183" s="1896"/>
      <c r="G183" s="1896"/>
    </row>
    <row r="184" spans="1:7" ht="12" customHeight="1" x14ac:dyDescent="0.2">
      <c r="C184" s="922"/>
      <c r="D184" s="903"/>
      <c r="E184" s="922"/>
      <c r="F184" s="903"/>
      <c r="G184" s="903"/>
    </row>
    <row r="185" spans="1:7" x14ac:dyDescent="0.2">
      <c r="A185" s="1899" t="s">
        <v>1924</v>
      </c>
      <c r="B185" s="1900" t="s">
        <v>1923</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20"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topLeftCell="A13" zoomScaleNormal="100" workbookViewId="0">
      <selection activeCell="B19" sqref="B19"/>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1831</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3" t="s">
        <v>1817</v>
      </c>
      <c r="B4" s="2344"/>
      <c r="C4" s="2344"/>
      <c r="D4" s="2344"/>
      <c r="E4" s="2344"/>
      <c r="F4" s="2344"/>
      <c r="G4" s="2345"/>
    </row>
    <row r="5" spans="1:7" x14ac:dyDescent="0.25">
      <c r="A5" s="2346"/>
      <c r="B5" s="2347"/>
      <c r="C5" s="2347"/>
      <c r="D5" s="2347"/>
      <c r="E5" s="2347"/>
      <c r="F5" s="2347"/>
      <c r="G5" s="2348"/>
    </row>
    <row r="6" spans="1:7" ht="18.75" x14ac:dyDescent="0.25">
      <c r="A6" s="1507" t="s">
        <v>1818</v>
      </c>
      <c r="B6" s="1508"/>
      <c r="C6" s="1508"/>
      <c r="D6" s="1508"/>
      <c r="E6" s="1508"/>
      <c r="F6" s="1508"/>
      <c r="G6" s="1509"/>
    </row>
    <row r="7" spans="1:7" ht="30.75" customHeight="1" x14ac:dyDescent="0.25">
      <c r="A7" s="2349" t="s">
        <v>1931</v>
      </c>
      <c r="B7" s="2350"/>
      <c r="C7" s="2350"/>
      <c r="D7" s="2350"/>
      <c r="E7" s="2350"/>
      <c r="F7" s="2350"/>
      <c r="G7" s="2351"/>
    </row>
    <row r="8" spans="1:7" ht="15.75" customHeight="1" x14ac:dyDescent="0.25">
      <c r="A8" s="2352" t="s">
        <v>1906</v>
      </c>
      <c r="B8" s="2353"/>
      <c r="C8" s="2353"/>
      <c r="D8" s="2353"/>
      <c r="E8" s="2353"/>
      <c r="F8" s="2353"/>
      <c r="G8" s="2354"/>
    </row>
    <row r="9" spans="1:7" ht="35.25" customHeight="1" x14ac:dyDescent="0.25">
      <c r="A9" s="2349" t="s">
        <v>1934</v>
      </c>
      <c r="B9" s="2350"/>
      <c r="C9" s="2350"/>
      <c r="D9" s="2350"/>
      <c r="E9" s="2350"/>
      <c r="F9" s="2350"/>
      <c r="G9" s="2351"/>
    </row>
    <row r="10" spans="1:7" ht="15" customHeight="1" x14ac:dyDescent="0.25">
      <c r="A10" s="1510" t="s">
        <v>1819</v>
      </c>
      <c r="B10" s="1511"/>
      <c r="C10" s="1511"/>
      <c r="D10" s="1511"/>
      <c r="E10" s="1511"/>
      <c r="F10" s="1511"/>
      <c r="G10" s="1512"/>
    </row>
    <row r="11" spans="1:7" ht="17.25" customHeight="1" x14ac:dyDescent="0.25">
      <c r="A11" s="2349" t="s">
        <v>1933</v>
      </c>
      <c r="B11" s="2350"/>
      <c r="C11" s="2350"/>
      <c r="D11" s="2350"/>
      <c r="E11" s="2350"/>
      <c r="F11" s="2350"/>
      <c r="G11" s="2351"/>
    </row>
    <row r="12" spans="1:7" ht="15" customHeight="1" x14ac:dyDescent="0.25">
      <c r="A12" s="1510" t="s">
        <v>1824</v>
      </c>
      <c r="B12" s="1511"/>
      <c r="C12" s="1511"/>
      <c r="D12" s="1511"/>
      <c r="E12" s="1511"/>
      <c r="F12" s="1511"/>
      <c r="G12" s="1512"/>
    </row>
    <row r="13" spans="1:7" ht="32.25" customHeight="1" x14ac:dyDescent="0.25">
      <c r="A13" s="2340" t="s">
        <v>1975</v>
      </c>
      <c r="B13" s="2341"/>
      <c r="C13" s="2341"/>
      <c r="D13" s="2341"/>
      <c r="E13" s="2341"/>
      <c r="F13" s="2341"/>
      <c r="G13" s="2342"/>
    </row>
    <row r="14" spans="1:7" x14ac:dyDescent="0.25">
      <c r="A14" s="1634" t="s">
        <v>1832</v>
      </c>
      <c r="B14" s="1635"/>
      <c r="C14" s="1635"/>
      <c r="D14" s="1635"/>
      <c r="E14" s="1635"/>
      <c r="F14" s="1635"/>
      <c r="G14" s="1636"/>
    </row>
    <row r="15" spans="1:7" ht="61.5" customHeight="1" x14ac:dyDescent="0.25">
      <c r="A15" s="1519" t="s">
        <v>1825</v>
      </c>
      <c r="B15" s="1519" t="s">
        <v>1826</v>
      </c>
      <c r="C15" s="1519" t="s">
        <v>1827</v>
      </c>
      <c r="D15" s="1520" t="s">
        <v>1828</v>
      </c>
      <c r="E15" s="1520" t="s">
        <v>1820</v>
      </c>
      <c r="F15" s="1520" t="s">
        <v>1829</v>
      </c>
      <c r="G15" s="1520" t="s">
        <v>1830</v>
      </c>
    </row>
    <row r="16" spans="1:7" x14ac:dyDescent="0.25">
      <c r="A16" s="1621" t="s">
        <v>1833</v>
      </c>
      <c r="B16" s="1622" t="s">
        <v>1823</v>
      </c>
      <c r="C16" s="1623" t="s">
        <v>1821</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7" t="s">
        <v>2151</v>
      </c>
      <c r="B17" s="2008" t="s">
        <v>2152</v>
      </c>
      <c r="C17" s="2009" t="s">
        <v>2153</v>
      </c>
      <c r="D17" s="1817">
        <v>78184</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53184</v>
      </c>
      <c r="H17" s="1620"/>
    </row>
    <row r="18" spans="1:8" x14ac:dyDescent="0.25">
      <c r="A18" s="2007" t="s">
        <v>2154</v>
      </c>
      <c r="B18" s="2560" t="s">
        <v>2216</v>
      </c>
      <c r="C18" s="2009" t="s">
        <v>2155</v>
      </c>
      <c r="D18" s="1817">
        <v>16241</v>
      </c>
      <c r="E18" s="1513">
        <f t="shared" ref="E18:E140" si="2">IF(D18&lt;=25000,D18,IF(D18&gt;25000,25000,0))</f>
        <v>16241</v>
      </c>
      <c r="F18" s="1905">
        <f t="shared" si="1"/>
        <v>16241</v>
      </c>
      <c r="G18" s="1766">
        <f t="shared" ref="G18:G140" si="3">IF(F18=0,0,D18-F18)</f>
        <v>0</v>
      </c>
    </row>
    <row r="19" spans="1:8" x14ac:dyDescent="0.25">
      <c r="A19" s="1626"/>
      <c r="B19" s="1907"/>
      <c r="C19" s="1629"/>
      <c r="D19" s="1817"/>
      <c r="E19" s="1513">
        <f t="shared" si="2"/>
        <v>0</v>
      </c>
      <c r="F19" s="1905">
        <f t="shared" si="1"/>
        <v>0</v>
      </c>
      <c r="G19" s="1766">
        <f t="shared" si="3"/>
        <v>0</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94425</v>
      </c>
      <c r="E141" s="1514">
        <f t="shared" si="0"/>
        <v>25000</v>
      </c>
      <c r="F141" s="1906">
        <f>SUM(F17:F140)</f>
        <v>41241</v>
      </c>
      <c r="G141" s="1768">
        <f>SUM(G17:G140)</f>
        <v>53184</v>
      </c>
    </row>
  </sheetData>
  <sheetProtection algorithmName="SHA-512" hashValue="MpB5AroRhHWlUyogIKxQ48QXB18Ik9miW1hpYrlpHXPi5gHoilvu+tedo+3B1Fmtfu/+1iPvuCF7edeJKLGFDA==" saltValue="LmnrL7UI4tC8N4HaKI4N+g==" spinCount="100000"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colorId="8" zoomScale="110" zoomScaleNormal="110" workbookViewId="0">
      <selection activeCell="E34" sqref="E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5" t="s">
        <v>1679</v>
      </c>
      <c r="B5" s="2356"/>
      <c r="C5" s="2356"/>
      <c r="D5" s="2356"/>
      <c r="E5" s="2356"/>
      <c r="F5" s="2356"/>
      <c r="G5" s="2357"/>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1932</v>
      </c>
      <c r="B10" s="944"/>
      <c r="C10" s="949"/>
      <c r="D10" s="945"/>
      <c r="E10" s="946"/>
      <c r="F10" s="947"/>
      <c r="G10" s="948"/>
      <c r="H10" s="162"/>
      <c r="I10" s="162"/>
    </row>
    <row r="11" spans="1:9" s="643" customFormat="1" ht="22.5" customHeight="1" x14ac:dyDescent="0.2">
      <c r="A11" s="2360" t="s">
        <v>1976</v>
      </c>
      <c r="B11" s="2361"/>
      <c r="C11" s="2361"/>
      <c r="D11" s="2362"/>
      <c r="E11" s="950">
        <v>42446</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18306673</v>
      </c>
      <c r="F19" s="1772"/>
      <c r="G19" s="1774">
        <f>'Expenditures 15-22'!K33-SUM('Expenditures 15-22'!G33,'Expenditures 15-22'!I33)+'Expenditures 15-22'!D229</f>
        <v>18306673</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1663128</v>
      </c>
      <c r="F21" s="1775"/>
      <c r="G21" s="1778">
        <f>'Expenditures 15-22'!K42-SUM('Expenditures 15-22'!G42,'Expenditures 15-22'!I42)+'Expenditures 15-22'!K120-SUM('Expenditures 15-22'!G120,'Expenditures 15-22'!I120)+'Expenditures 15-22'!K180-SUM('Expenditures 15-22'!G180,'Expenditures 15-22'!I180)+'Expenditures 15-22'!D238</f>
        <v>1663128</v>
      </c>
      <c r="H21" s="960"/>
      <c r="I21" s="162"/>
    </row>
    <row r="22" spans="1:9" s="643" customFormat="1" ht="12" customHeight="1" x14ac:dyDescent="0.2">
      <c r="A22" s="967" t="s">
        <v>564</v>
      </c>
      <c r="B22" s="968"/>
      <c r="C22" s="966">
        <v>2200</v>
      </c>
      <c r="D22" s="1775"/>
      <c r="E22" s="1777">
        <f>'Expenditures 15-22'!K47-SUM('Expenditures 15-22'!G47,'Expenditures 15-22'!I47)+'Expenditures 15-22'!D243</f>
        <v>2078741</v>
      </c>
      <c r="F22" s="1775"/>
      <c r="G22" s="1778">
        <f>'Expenditures 15-22'!K47-SUM('Expenditures 15-22'!G47,'Expenditures 15-22'!I47)+'Expenditures 15-22'!D243</f>
        <v>2078741</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1123391</v>
      </c>
      <c r="F23" s="1775"/>
      <c r="G23" s="1777">
        <f>'Expenditures 15-22'!K53-SUM('Expenditures 15-22'!G53,'Expenditures 15-22'!I53)+'Expenditures 15-22'!D257+'Expenditures 15-22'!K330-SUM('Expenditures 15-22'!G330,'Expenditures 15-22'!I330)</f>
        <v>1123391</v>
      </c>
      <c r="H23" s="960"/>
      <c r="I23" s="162"/>
    </row>
    <row r="24" spans="1:9" s="643" customFormat="1" ht="12" customHeight="1" x14ac:dyDescent="0.2">
      <c r="A24" s="967" t="s">
        <v>566</v>
      </c>
      <c r="B24" s="968"/>
      <c r="C24" s="966">
        <v>2400</v>
      </c>
      <c r="D24" s="1775"/>
      <c r="E24" s="1777">
        <f>'Expenditures 15-22'!K57-SUM('Expenditures 15-22'!G57,'Expenditures 15-22'!I57)+'Expenditures 15-22'!D261</f>
        <v>1552393</v>
      </c>
      <c r="F24" s="1775"/>
      <c r="G24" s="1778">
        <f>'Expenditures 15-22'!K57-SUM('Expenditures 15-22'!G57,'Expenditures 15-22'!I57)+'Expenditures 15-22'!D261</f>
        <v>1552393</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238169</v>
      </c>
      <c r="E26" s="1777">
        <f>'Expenditures 15-22'!K122-SUM('Expenditures 15-22'!G122,'Expenditures 15-22'!I122)+E7</f>
        <v>0</v>
      </c>
      <c r="F26" s="1777">
        <f>'Expenditures 15-22'!K59-SUM('Expenditures 15-22'!G59,'Expenditures 15-22'!I59)+'Expenditures 15-22'!D263-E7</f>
        <v>238169</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189345</v>
      </c>
      <c r="E27" s="1777">
        <f>E8</f>
        <v>0</v>
      </c>
      <c r="F27" s="1777">
        <f>'Expenditures 15-22'!K60-SUM('Expenditures 15-22'!G60,'Expenditures 15-22'!I60)+'Expenditures 15-22'!D264-E8</f>
        <v>189345</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3534511</v>
      </c>
      <c r="F28" s="1779">
        <f>'Expenditures 15-22'!K61-SUM('Expenditures 15-22'!G61,'Expenditures 15-22'!I61)+'Expenditures 15-22'!K124-SUM('Expenditures 15-22'!G124,'Expenditures 15-22'!I124)+'Expenditures 15-22'!D266-E9</f>
        <v>3534511</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1541920</v>
      </c>
      <c r="F29" s="1775"/>
      <c r="G29" s="1778">
        <f>'Expenditures 15-22'!K62-SUM('Expenditures 15-22'!G62,'Expenditures 15-22'!I62)+'Expenditures 15-22'!K125-SUM('Expenditures 15-22'!G125,'Expenditures 15-22'!I125)+'Expenditures 15-22'!K182-SUM('Expenditures 15-22'!G182,'Expenditures 15-22'!I182)+'Expenditures 15-22'!D267</f>
        <v>1541920</v>
      </c>
      <c r="H29" s="958"/>
    </row>
    <row r="30" spans="1:9" ht="12" customHeight="1" x14ac:dyDescent="0.2">
      <c r="A30" s="967" t="s">
        <v>100</v>
      </c>
      <c r="B30" s="970"/>
      <c r="C30" s="966">
        <v>2560</v>
      </c>
      <c r="D30" s="1775"/>
      <c r="E30" s="1777">
        <f>'Expenditures 15-22'!K63-SUM('Expenditures 15-22'!G63,'Expenditures 15-22'!I63)+'Expenditures 15-22'!D268-E10</f>
        <v>585880</v>
      </c>
      <c r="F30" s="1775"/>
      <c r="G30" s="1777">
        <f>'Expenditures 15-22'!K63-SUM('Expenditures 15-22'!G63,'Expenditures 15-22'!I63)+'Expenditures 15-22'!D268-E10</f>
        <v>585880</v>
      </c>
    </row>
    <row r="31" spans="1:9" ht="12" customHeight="1" x14ac:dyDescent="0.2">
      <c r="A31" s="967" t="s">
        <v>101</v>
      </c>
      <c r="B31" s="970"/>
      <c r="C31" s="966">
        <v>2570</v>
      </c>
      <c r="D31" s="1777">
        <f>'Expenditures 15-22'!K64-SUM('Expenditures 15-22'!G64,'Expenditures 15-22'!I64)+'Expenditures 15-22'!D269-E12</f>
        <v>75218</v>
      </c>
      <c r="E31" s="1777">
        <f>E12</f>
        <v>0</v>
      </c>
      <c r="F31" s="1777">
        <f>'Expenditures 15-22'!K64-SUM('Expenditures 15-22'!G64,'Expenditures 15-22'!I64)+'Expenditures 15-22'!D269-E12</f>
        <v>75218</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1202</v>
      </c>
      <c r="F38" s="1775"/>
      <c r="G38" s="1777">
        <f>'Expenditures 15-22'!K73-SUM('Expenditures 15-22'!G73,'Expenditures 15-22'!I73)+'Expenditures 15-22'!K128-SUM('Expenditures 15-22'!G128,'Expenditures 15-22'!I128)+'Expenditures 15-22'!K183-SUM('Expenditures 15-22'!G183,'Expenditures 15-22'!I183)+'Expenditures 15-22'!D278</f>
        <v>1202</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231098</v>
      </c>
      <c r="F39" s="1775"/>
      <c r="G39" s="1777">
        <f>'Expenditures 15-22'!K75-SUM('Expenditures 15-22'!G75,'Expenditures 15-22'!I75)+'Expenditures 15-22'!K130-SUM('Expenditures 15-22'!G130,'Expenditures 15-22'!I130)+'Expenditures 15-22'!K185-SUM('Expenditures 15-22'!G185,'Expenditures 15-22'!I185)+'Expenditures 15-22'!D280</f>
        <v>231098</v>
      </c>
    </row>
    <row r="40" spans="1:7" ht="12" customHeight="1" x14ac:dyDescent="0.2">
      <c r="A40" s="963" t="s">
        <v>1822</v>
      </c>
      <c r="B40" s="964"/>
      <c r="C40" s="966"/>
      <c r="D40" s="1775"/>
      <c r="E40" s="1779">
        <f>-'Contracts Paid in CY 29'!G141</f>
        <v>-53184</v>
      </c>
      <c r="F40" s="1775"/>
      <c r="G40" s="1779">
        <f>-'Contracts Paid in CY 29'!G141</f>
        <v>-53184</v>
      </c>
    </row>
    <row r="41" spans="1:7" ht="12" customHeight="1" x14ac:dyDescent="0.2">
      <c r="A41" s="971" t="s">
        <v>156</v>
      </c>
      <c r="B41" s="972"/>
      <c r="C41" s="973"/>
      <c r="D41" s="1779">
        <f>SUM(D19:D39)</f>
        <v>502732</v>
      </c>
      <c r="E41" s="1779">
        <f>SUM(E19:E40)</f>
        <v>30565753</v>
      </c>
      <c r="F41" s="1779">
        <f>SUM(F19:F39)</f>
        <v>4037243</v>
      </c>
      <c r="G41" s="1779">
        <f>SUM(G19:G40)</f>
        <v>27031242</v>
      </c>
    </row>
    <row r="42" spans="1:7" x14ac:dyDescent="0.2">
      <c r="A42" s="960"/>
      <c r="B42" s="162"/>
      <c r="C42" s="974"/>
      <c r="D42" s="2358" t="s">
        <v>522</v>
      </c>
      <c r="E42" s="2359"/>
      <c r="F42" s="975" t="s">
        <v>523</v>
      </c>
      <c r="G42" s="976"/>
    </row>
    <row r="43" spans="1:7" ht="12" customHeight="1" x14ac:dyDescent="0.2">
      <c r="A43" s="960"/>
      <c r="B43" s="162"/>
      <c r="C43" s="974"/>
      <c r="D43" s="1780" t="s">
        <v>473</v>
      </c>
      <c r="E43" s="1781">
        <f>D41</f>
        <v>502732</v>
      </c>
      <c r="F43" s="1780" t="s">
        <v>473</v>
      </c>
      <c r="G43" s="1781">
        <f>F41</f>
        <v>4037243</v>
      </c>
    </row>
    <row r="44" spans="1:7" ht="12" customHeight="1" x14ac:dyDescent="0.2">
      <c r="A44" s="960"/>
      <c r="B44" s="162"/>
      <c r="C44" s="974"/>
      <c r="D44" s="1780" t="s">
        <v>474</v>
      </c>
      <c r="E44" s="1781">
        <f>E41</f>
        <v>30565753</v>
      </c>
      <c r="F44" s="1780" t="s">
        <v>474</v>
      </c>
      <c r="G44" s="1781">
        <f>G41</f>
        <v>27031242</v>
      </c>
    </row>
    <row r="45" spans="1:7" ht="12" customHeight="1" x14ac:dyDescent="0.2">
      <c r="A45" s="960"/>
      <c r="B45" s="162"/>
      <c r="C45" s="162"/>
      <c r="D45" s="1782" t="s">
        <v>1006</v>
      </c>
      <c r="E45" s="1783">
        <f>(E43/E44)</f>
        <v>1.6447558154382782E-2</v>
      </c>
      <c r="F45" s="1782" t="s">
        <v>1006</v>
      </c>
      <c r="G45" s="1783">
        <f>(G43/G44)</f>
        <v>0.14935469853734432</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zoomScale="110" zoomScaleNormal="110" workbookViewId="0">
      <pane ySplit="4" topLeftCell="A5" activePane="bottomLeft" state="frozen"/>
      <selection activeCell="AF22" sqref="AF22"/>
      <selection pane="bottomLeft" activeCell="C33" sqref="C33"/>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66" t="s">
        <v>1379</v>
      </c>
      <c r="B1" s="2366"/>
      <c r="C1" s="2366"/>
      <c r="D1" s="2366"/>
      <c r="E1" s="2366"/>
      <c r="F1" s="2366"/>
    </row>
    <row r="2" spans="1:10" x14ac:dyDescent="0.2">
      <c r="A2" s="1860" t="s">
        <v>1911</v>
      </c>
      <c r="B2" s="1821"/>
      <c r="C2" s="1860"/>
      <c r="D2" s="1821"/>
      <c r="E2" s="1821"/>
      <c r="F2" s="1822"/>
    </row>
    <row r="3" spans="1:10" x14ac:dyDescent="0.2">
      <c r="A3" s="1860" t="s">
        <v>1977</v>
      </c>
      <c r="B3" s="1821"/>
      <c r="C3" s="1860"/>
      <c r="D3" s="1821"/>
      <c r="E3" s="1821"/>
      <c r="F3" s="1822"/>
    </row>
    <row r="4" spans="1:10" ht="3.75" customHeight="1" x14ac:dyDescent="0.2">
      <c r="A4" s="1821"/>
      <c r="B4" s="1821"/>
      <c r="C4" s="1821"/>
      <c r="D4" s="1821"/>
      <c r="E4" s="1821"/>
      <c r="F4" s="1822"/>
    </row>
    <row r="5" spans="1:10" ht="15" x14ac:dyDescent="0.25">
      <c r="A5" s="2367" t="s">
        <v>1546</v>
      </c>
      <c r="B5" s="2368"/>
      <c r="C5" s="2369"/>
      <c r="D5" s="2369"/>
      <c r="E5" s="2369"/>
      <c r="F5" s="2369"/>
    </row>
    <row r="6" spans="1:10" ht="12" customHeight="1" x14ac:dyDescent="0.25">
      <c r="A6" s="1823"/>
      <c r="B6" s="1824"/>
      <c r="C6" s="2370" t="str">
        <f>COVER!A17</f>
        <v>McHenry CHSD 156</v>
      </c>
      <c r="D6" s="2370"/>
      <c r="E6" s="2370"/>
      <c r="F6" s="1825"/>
    </row>
    <row r="7" spans="1:10" ht="11.25" customHeight="1" thickBot="1" x14ac:dyDescent="0.3">
      <c r="A7" s="1823"/>
      <c r="B7" s="1824"/>
      <c r="C7" s="2371">
        <f>COVER!A13</f>
        <v>44063156016</v>
      </c>
      <c r="D7" s="2371"/>
      <c r="E7" s="2371"/>
      <c r="F7" s="1825"/>
    </row>
    <row r="8" spans="1:10" ht="25.5" customHeight="1" thickBot="1" x14ac:dyDescent="0.25">
      <c r="A8" s="1866" t="s">
        <v>1907</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t="s">
        <v>2156</v>
      </c>
      <c r="D12" s="1838" t="s">
        <v>2156</v>
      </c>
      <c r="E12" s="1841"/>
      <c r="F12" s="1840" t="s">
        <v>2157</v>
      </c>
      <c r="H12" s="1851">
        <f t="shared" ref="H12:H33" si="0">IF(C12="X",5,0)</f>
        <v>5</v>
      </c>
      <c r="I12" s="1851">
        <f t="shared" ref="I12:I33" si="1">IF(D12="X",5,0)</f>
        <v>5</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2156</v>
      </c>
      <c r="D19" s="1838" t="s">
        <v>2156</v>
      </c>
      <c r="E19" s="1841"/>
      <c r="F19" s="1840" t="s">
        <v>2158</v>
      </c>
      <c r="H19" s="1851">
        <f t="shared" si="0"/>
        <v>5</v>
      </c>
      <c r="I19" s="1851">
        <f t="shared" si="1"/>
        <v>5</v>
      </c>
      <c r="J19" s="1851">
        <f t="shared" si="2"/>
        <v>0</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t="s">
        <v>2156</v>
      </c>
      <c r="D21" s="1838" t="s">
        <v>2156</v>
      </c>
      <c r="E21" s="1841"/>
      <c r="F21" s="1840" t="s">
        <v>2159</v>
      </c>
      <c r="H21" s="1851">
        <f t="shared" si="0"/>
        <v>5</v>
      </c>
      <c r="I21" s="1851">
        <f t="shared" si="1"/>
        <v>5</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2156</v>
      </c>
      <c r="D26" s="1838" t="s">
        <v>2156</v>
      </c>
      <c r="E26" s="1841"/>
      <c r="F26" s="1840" t="s">
        <v>2160</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t="s">
        <v>2156</v>
      </c>
      <c r="D30" s="1838" t="s">
        <v>2156</v>
      </c>
      <c r="E30" s="1841"/>
      <c r="F30" s="1840" t="s">
        <v>2161</v>
      </c>
      <c r="H30" s="1851">
        <f t="shared" si="0"/>
        <v>5</v>
      </c>
      <c r="I30" s="1851">
        <f t="shared" si="1"/>
        <v>5</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t="s">
        <v>2156</v>
      </c>
      <c r="D32" s="1838" t="s">
        <v>2156</v>
      </c>
      <c r="E32" s="1841"/>
      <c r="F32" s="1840" t="s">
        <v>2162</v>
      </c>
      <c r="H32" s="1851">
        <f t="shared" si="0"/>
        <v>5</v>
      </c>
      <c r="I32" s="1851">
        <f t="shared" si="1"/>
        <v>5</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30</v>
      </c>
      <c r="I34" s="1851">
        <f>SUM(I11:I32)</f>
        <v>30</v>
      </c>
      <c r="J34" s="1851">
        <f>SUM(J11:J32)</f>
        <v>0</v>
      </c>
      <c r="K34" s="1851">
        <f>SUM(H34:J34)</f>
        <v>60</v>
      </c>
    </row>
    <row r="35" spans="1:11" ht="12" customHeight="1" x14ac:dyDescent="0.2">
      <c r="A35" s="1844" t="s">
        <v>1392</v>
      </c>
      <c r="B35" s="1845"/>
      <c r="C35" s="2372"/>
      <c r="D35" s="2372"/>
      <c r="E35" s="2372"/>
      <c r="F35" s="2373"/>
    </row>
    <row r="36" spans="1:11" ht="12" customHeight="1" x14ac:dyDescent="0.2">
      <c r="A36" s="2363"/>
      <c r="B36" s="2364"/>
      <c r="C36" s="2364"/>
      <c r="D36" s="2364"/>
      <c r="E36" s="2364"/>
      <c r="F36" s="2365"/>
    </row>
    <row r="37" spans="1:11" ht="12" customHeight="1" x14ac:dyDescent="0.2">
      <c r="A37" s="2363"/>
      <c r="B37" s="2364"/>
      <c r="C37" s="2364"/>
      <c r="D37" s="2364"/>
      <c r="E37" s="2364"/>
      <c r="F37" s="2365"/>
    </row>
    <row r="38" spans="1:11" ht="12" customHeight="1" x14ac:dyDescent="0.2">
      <c r="A38" s="2377"/>
      <c r="B38" s="2378"/>
      <c r="C38" s="2378"/>
      <c r="D38" s="2378"/>
      <c r="E38" s="2378"/>
      <c r="F38" s="2379"/>
    </row>
    <row r="39" spans="1:11" ht="4.5" hidden="1" customHeight="1" x14ac:dyDescent="0.2">
      <c r="A39" s="1846"/>
      <c r="B39" s="1846"/>
      <c r="C39" s="1846"/>
      <c r="D39" s="1846"/>
      <c r="E39" s="1846"/>
      <c r="F39" s="1846"/>
    </row>
    <row r="40" spans="1:11" s="1843" customFormat="1" ht="12" customHeight="1" x14ac:dyDescent="0.25">
      <c r="A40" s="1847" t="s">
        <v>1391</v>
      </c>
      <c r="B40" s="1848"/>
      <c r="C40" s="2380"/>
      <c r="D40" s="2380"/>
      <c r="E40" s="2380"/>
      <c r="F40" s="2381"/>
      <c r="H40" s="1852"/>
      <c r="I40" s="1852"/>
      <c r="J40" s="1852"/>
      <c r="K40" s="1852"/>
    </row>
    <row r="41" spans="1:11" s="1843" customFormat="1" ht="12" customHeight="1" x14ac:dyDescent="0.25">
      <c r="A41" s="2382"/>
      <c r="B41" s="2383"/>
      <c r="C41" s="2383"/>
      <c r="D41" s="2383"/>
      <c r="E41" s="2383"/>
      <c r="F41" s="2384"/>
      <c r="H41" s="1852"/>
      <c r="I41" s="1852"/>
      <c r="J41" s="1852"/>
      <c r="K41" s="1852"/>
    </row>
    <row r="42" spans="1:11" s="1843" customFormat="1" ht="12" customHeight="1" x14ac:dyDescent="0.25">
      <c r="A42" s="2382"/>
      <c r="B42" s="2383"/>
      <c r="C42" s="2383"/>
      <c r="D42" s="2383"/>
      <c r="E42" s="2383"/>
      <c r="F42" s="2384"/>
      <c r="H42" s="1852"/>
      <c r="I42" s="1852"/>
      <c r="J42" s="1852"/>
      <c r="K42" s="1852"/>
    </row>
    <row r="43" spans="1:11" s="1843" customFormat="1" ht="15" x14ac:dyDescent="0.25">
      <c r="A43" s="2374"/>
      <c r="B43" s="2375"/>
      <c r="C43" s="2375"/>
      <c r="D43" s="2375"/>
      <c r="E43" s="2375"/>
      <c r="F43" s="2376"/>
      <c r="H43" s="1852"/>
      <c r="I43" s="1852"/>
      <c r="J43" s="1852"/>
      <c r="K43" s="1852"/>
    </row>
    <row r="44" spans="1:11" s="1843" customFormat="1" ht="12" hidden="1" customHeight="1" x14ac:dyDescent="0.25">
      <c r="A44" s="2374"/>
      <c r="B44" s="2375"/>
      <c r="C44" s="2375"/>
      <c r="D44" s="2375"/>
      <c r="E44" s="2375"/>
      <c r="F44" s="2376"/>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H26" sqref="H26"/>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90" t="str">
        <f>COVER!A17</f>
        <v>McHenry CHSD 156</v>
      </c>
      <c r="J6" s="2391"/>
      <c r="Q6" s="1637"/>
    </row>
    <row r="7" spans="1:17" x14ac:dyDescent="0.2">
      <c r="A7" s="2392" t="s">
        <v>869</v>
      </c>
      <c r="B7" s="2393"/>
      <c r="C7" s="2393"/>
      <c r="D7" s="2393"/>
      <c r="E7" s="2394"/>
      <c r="F7" s="990"/>
      <c r="G7" s="982"/>
      <c r="H7" s="989" t="s">
        <v>372</v>
      </c>
      <c r="I7" s="2395">
        <f>COVER!A13</f>
        <v>44063156016</v>
      </c>
      <c r="J7" s="2395"/>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1978</v>
      </c>
      <c r="F9" s="996"/>
      <c r="G9" s="996"/>
      <c r="H9" s="1869" t="s">
        <v>1979</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6" t="s">
        <v>481</v>
      </c>
      <c r="B11" s="2397"/>
      <c r="C11" s="2398"/>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532885</v>
      </c>
      <c r="F12" s="1012"/>
      <c r="G12" s="1784">
        <f t="shared" ref="G12:G18" si="0">SUM(E12:F12)</f>
        <v>532885</v>
      </c>
      <c r="H12" s="1013">
        <v>551748</v>
      </c>
      <c r="I12" s="1012"/>
      <c r="J12" s="1784">
        <f t="shared" ref="J12:J18" si="1">SUM(H12:I12)</f>
        <v>551748</v>
      </c>
    </row>
    <row r="13" spans="1:17" ht="15" customHeight="1" x14ac:dyDescent="0.2">
      <c r="A13" s="1008">
        <v>2</v>
      </c>
      <c r="B13" s="1009" t="s">
        <v>42</v>
      </c>
      <c r="C13" s="1010"/>
      <c r="D13" s="1011">
        <v>2330</v>
      </c>
      <c r="E13" s="1784">
        <f>'Expenditures 15-22'!K51</f>
        <v>0</v>
      </c>
      <c r="F13" s="1012"/>
      <c r="G13" s="1784">
        <f t="shared" si="0"/>
        <v>0</v>
      </c>
      <c r="H13" s="1013">
        <v>0</v>
      </c>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v>0</v>
      </c>
      <c r="I14" s="1012"/>
      <c r="J14" s="1784">
        <f t="shared" si="1"/>
        <v>0</v>
      </c>
    </row>
    <row r="15" spans="1:17" ht="15" customHeight="1" x14ac:dyDescent="0.2">
      <c r="A15" s="1008">
        <v>4</v>
      </c>
      <c r="B15" s="1009" t="s">
        <v>1068</v>
      </c>
      <c r="C15" s="1010"/>
      <c r="D15" s="1011">
        <v>2510</v>
      </c>
      <c r="E15" s="1784">
        <f>'Expenditures 15-22'!K59</f>
        <v>235798</v>
      </c>
      <c r="F15" s="1784">
        <f>'Expenditures 15-22'!K122</f>
        <v>0</v>
      </c>
      <c r="G15" s="1784">
        <f t="shared" si="0"/>
        <v>235798</v>
      </c>
      <c r="H15" s="1013">
        <v>244980</v>
      </c>
      <c r="I15" s="1013">
        <v>0</v>
      </c>
      <c r="J15" s="1784">
        <f t="shared" si="1"/>
        <v>244980</v>
      </c>
    </row>
    <row r="16" spans="1:17" ht="15" customHeight="1" x14ac:dyDescent="0.2">
      <c r="A16" s="1008">
        <v>5</v>
      </c>
      <c r="B16" s="1009" t="s">
        <v>101</v>
      </c>
      <c r="C16" s="1010"/>
      <c r="D16" s="1011">
        <v>2570</v>
      </c>
      <c r="E16" s="1784">
        <f>'Expenditures 15-22'!K64</f>
        <v>74536</v>
      </c>
      <c r="F16" s="1012"/>
      <c r="G16" s="1784">
        <f t="shared" si="0"/>
        <v>74536</v>
      </c>
      <c r="H16" s="1013">
        <v>78000</v>
      </c>
      <c r="I16" s="1012"/>
      <c r="J16" s="1784">
        <f t="shared" si="1"/>
        <v>78000</v>
      </c>
    </row>
    <row r="17" spans="1:10" ht="15" customHeight="1" x14ac:dyDescent="0.2">
      <c r="A17" s="1008">
        <v>6</v>
      </c>
      <c r="B17" s="1009" t="s">
        <v>1060</v>
      </c>
      <c r="C17" s="1010"/>
      <c r="D17" s="1011">
        <v>2610</v>
      </c>
      <c r="E17" s="1784">
        <f>'Expenditures 15-22'!K67</f>
        <v>0</v>
      </c>
      <c r="F17" s="1012"/>
      <c r="G17" s="1784">
        <f t="shared" si="0"/>
        <v>0</v>
      </c>
      <c r="H17" s="1013">
        <v>0</v>
      </c>
      <c r="I17" s="1012"/>
      <c r="J17" s="1784">
        <f t="shared" si="1"/>
        <v>0</v>
      </c>
    </row>
    <row r="18" spans="1:10" ht="22.5" customHeight="1" x14ac:dyDescent="0.2">
      <c r="A18" s="1015">
        <v>7</v>
      </c>
      <c r="B18" s="2399" t="s">
        <v>7</v>
      </c>
      <c r="C18" s="2400"/>
      <c r="D18" s="2401"/>
      <c r="E18" s="1016">
        <v>0</v>
      </c>
      <c r="F18" s="1016">
        <v>0</v>
      </c>
      <c r="G18" s="1785">
        <f t="shared" si="0"/>
        <v>0</v>
      </c>
      <c r="H18" s="1013">
        <v>0</v>
      </c>
      <c r="I18" s="1013">
        <v>0</v>
      </c>
      <c r="J18" s="1784">
        <f t="shared" si="1"/>
        <v>0</v>
      </c>
    </row>
    <row r="19" spans="1:10" ht="12.75" customHeight="1" thickBot="1" x14ac:dyDescent="0.25">
      <c r="A19" s="1008">
        <v>8</v>
      </c>
      <c r="B19" s="1017" t="s">
        <v>1161</v>
      </c>
      <c r="D19" s="1018"/>
      <c r="E19" s="1786">
        <f t="shared" ref="E19:J19" si="2">SUM(E12:E17)-E18</f>
        <v>843219</v>
      </c>
      <c r="F19" s="1786">
        <f t="shared" si="2"/>
        <v>0</v>
      </c>
      <c r="G19" s="1786">
        <f t="shared" si="2"/>
        <v>843219</v>
      </c>
      <c r="H19" s="1786">
        <f t="shared" si="2"/>
        <v>874728</v>
      </c>
      <c r="I19" s="1786">
        <f t="shared" si="2"/>
        <v>0</v>
      </c>
      <c r="J19" s="1786">
        <f t="shared" si="2"/>
        <v>874728</v>
      </c>
    </row>
    <row r="20" spans="1:10" ht="13.5" thickTop="1" x14ac:dyDescent="0.2">
      <c r="A20" s="1008">
        <v>9</v>
      </c>
      <c r="B20" s="2402" t="s">
        <v>1980</v>
      </c>
      <c r="C20" s="2402"/>
      <c r="D20" s="2403"/>
      <c r="E20" s="1019"/>
      <c r="F20" s="1019"/>
      <c r="G20" s="1019"/>
      <c r="H20" s="1019"/>
      <c r="I20" s="1019"/>
      <c r="J20" s="1787">
        <f>IF(AND(G19&gt;0,J19&gt;0),(((J19-G19)/G19)),"Enter Budget Data")</f>
        <v>3.7367516623795241E-2</v>
      </c>
    </row>
    <row r="21" spans="1:10" ht="9" customHeight="1" x14ac:dyDescent="0.2">
      <c r="B21" s="1020"/>
    </row>
    <row r="22" spans="1:10" x14ac:dyDescent="0.2">
      <c r="A22" s="1021" t="s">
        <v>133</v>
      </c>
      <c r="B22" s="1020"/>
    </row>
    <row r="23" spans="1:10" x14ac:dyDescent="0.2">
      <c r="A23" s="984" t="s">
        <v>1981</v>
      </c>
      <c r="B23" s="1020"/>
    </row>
    <row r="24" spans="1:10" x14ac:dyDescent="0.2">
      <c r="A24" s="984" t="s">
        <v>1994</v>
      </c>
      <c r="B24" s="1020"/>
    </row>
    <row r="25" spans="1:10" x14ac:dyDescent="0.2">
      <c r="A25" s="1022"/>
      <c r="B25" s="1020"/>
    </row>
    <row r="26" spans="1:10" ht="20.100000000000001" customHeight="1" x14ac:dyDescent="0.2">
      <c r="B26" s="1020"/>
      <c r="C26" s="2408"/>
      <c r="D26" s="2408"/>
      <c r="E26" s="1023"/>
      <c r="F26" s="2407"/>
      <c r="G26" s="2407"/>
    </row>
    <row r="27" spans="1:10" x14ac:dyDescent="0.2">
      <c r="B27" s="1020"/>
      <c r="C27" s="1024" t="s">
        <v>1033</v>
      </c>
      <c r="D27" s="1025"/>
      <c r="E27" s="1026"/>
      <c r="F27" s="2404" t="s">
        <v>1509</v>
      </c>
      <c r="G27" s="2404"/>
    </row>
    <row r="28" spans="1:10" ht="28.5" customHeight="1" x14ac:dyDescent="0.2">
      <c r="B28" s="1020"/>
      <c r="C28" s="2406"/>
      <c r="D28" s="2406"/>
      <c r="E28" s="1027"/>
      <c r="F28" s="2406"/>
      <c r="G28" s="2406"/>
    </row>
    <row r="29" spans="1:10" x14ac:dyDescent="0.2">
      <c r="B29" s="1020"/>
      <c r="C29" s="1028" t="s">
        <v>1561</v>
      </c>
      <c r="E29" s="1029"/>
      <c r="F29" s="2405" t="s">
        <v>1510</v>
      </c>
      <c r="G29" s="2405"/>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7" t="s">
        <v>132</v>
      </c>
      <c r="D33" s="2388"/>
      <c r="E33" s="2388"/>
      <c r="F33" s="2388"/>
      <c r="G33" s="2388"/>
      <c r="H33" s="2388"/>
      <c r="I33" s="2388"/>
    </row>
    <row r="34" spans="1:10" ht="10.35" customHeight="1" x14ac:dyDescent="0.2">
      <c r="C34" s="2388"/>
      <c r="D34" s="2388"/>
      <c r="E34" s="2388"/>
      <c r="F34" s="2388"/>
      <c r="G34" s="2388"/>
      <c r="H34" s="2388"/>
      <c r="I34" s="2388"/>
    </row>
    <row r="35" spans="1:10" ht="7.5" customHeight="1" x14ac:dyDescent="0.2">
      <c r="C35" s="1035"/>
    </row>
    <row r="36" spans="1:10" ht="13.5" customHeight="1" x14ac:dyDescent="0.2">
      <c r="B36" s="1034"/>
      <c r="C36" s="2389" t="s">
        <v>1982</v>
      </c>
      <c r="D36" s="2388"/>
      <c r="E36" s="2388"/>
      <c r="F36" s="2388"/>
      <c r="G36" s="2388"/>
      <c r="H36" s="2388"/>
      <c r="I36" s="2388"/>
      <c r="J36" s="1036"/>
    </row>
    <row r="37" spans="1:10" ht="22.5" customHeight="1" x14ac:dyDescent="0.2">
      <c r="C37" s="2388"/>
      <c r="D37" s="2388"/>
      <c r="E37" s="2388"/>
      <c r="F37" s="2388"/>
      <c r="G37" s="2388"/>
      <c r="H37" s="2388"/>
      <c r="I37" s="2388"/>
      <c r="J37" s="1036"/>
    </row>
    <row r="38" spans="1:10" ht="7.5" customHeight="1" x14ac:dyDescent="0.2">
      <c r="C38" s="1035"/>
      <c r="D38" s="1037"/>
      <c r="E38" s="1038"/>
      <c r="F38" s="1039"/>
      <c r="G38" s="1038"/>
    </row>
    <row r="39" spans="1:10" ht="13.5" customHeight="1" x14ac:dyDescent="0.2">
      <c r="B39" s="1034"/>
      <c r="C39" s="2385" t="s">
        <v>882</v>
      </c>
      <c r="D39" s="2386"/>
      <c r="E39" s="2386"/>
      <c r="F39" s="2386"/>
      <c r="G39" s="2386"/>
      <c r="H39" s="2386"/>
      <c r="I39" s="2386"/>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E65"/>
  <sheetViews>
    <sheetView showGridLines="0" zoomScale="110" zoomScaleNormal="110" workbookViewId="0">
      <selection activeCell="E38" sqref="E38"/>
    </sheetView>
  </sheetViews>
  <sheetFormatPr defaultColWidth="9.140625" defaultRowHeight="12.75" x14ac:dyDescent="0.2"/>
  <cols>
    <col min="1" max="1" width="3" style="329" customWidth="1"/>
    <col min="2" max="2" width="83" style="329" customWidth="1"/>
    <col min="3" max="3" width="3.140625" style="329" customWidth="1"/>
    <col min="4" max="4" width="57.7109375" style="329" customWidth="1"/>
    <col min="5" max="16384" width="9.140625" style="329"/>
  </cols>
  <sheetData>
    <row r="2" spans="1:5" x14ac:dyDescent="0.2">
      <c r="A2" s="389" t="s">
        <v>258</v>
      </c>
    </row>
    <row r="3" spans="1:5" x14ac:dyDescent="0.2">
      <c r="A3" s="329" t="s">
        <v>259</v>
      </c>
    </row>
    <row r="4" spans="1:5" x14ac:dyDescent="0.2">
      <c r="B4" s="2013"/>
      <c r="C4" s="2013"/>
      <c r="D4" s="2013"/>
      <c r="E4" s="2013"/>
    </row>
    <row r="5" spans="1:5" ht="15" x14ac:dyDescent="0.25">
      <c r="A5" s="1041">
        <v>1</v>
      </c>
      <c r="B5" s="2012" t="s">
        <v>2123</v>
      </c>
      <c r="C5" s="2013"/>
      <c r="D5" s="2013" t="s">
        <v>2150</v>
      </c>
      <c r="E5" s="2013"/>
    </row>
    <row r="6" spans="1:5" ht="15" x14ac:dyDescent="0.25">
      <c r="A6" s="1041">
        <v>2</v>
      </c>
      <c r="B6" s="2011" t="s">
        <v>2124</v>
      </c>
      <c r="C6" s="2013"/>
      <c r="D6" s="2013" t="s">
        <v>2207</v>
      </c>
      <c r="E6" s="2013"/>
    </row>
    <row r="7" spans="1:5" x14ac:dyDescent="0.2">
      <c r="A7" s="1041">
        <v>3</v>
      </c>
      <c r="B7" s="2013" t="s">
        <v>2125</v>
      </c>
      <c r="C7" s="2013"/>
      <c r="D7" s="2013" t="s">
        <v>2208</v>
      </c>
      <c r="E7" s="2013"/>
    </row>
    <row r="8" spans="1:5" x14ac:dyDescent="0.2">
      <c r="A8" s="1041">
        <v>4</v>
      </c>
      <c r="B8" s="2013" t="s">
        <v>2126</v>
      </c>
      <c r="C8" s="2013"/>
      <c r="D8" s="2013" t="s">
        <v>2137</v>
      </c>
      <c r="E8" s="2013"/>
    </row>
    <row r="9" spans="1:5" x14ac:dyDescent="0.2">
      <c r="A9" s="1042">
        <v>5</v>
      </c>
      <c r="B9" s="2013" t="s">
        <v>2127</v>
      </c>
      <c r="C9" s="2013"/>
      <c r="D9" s="2013" t="s">
        <v>2209</v>
      </c>
      <c r="E9" s="2013"/>
    </row>
    <row r="10" spans="1:5" x14ac:dyDescent="0.2">
      <c r="A10" s="1042">
        <v>6</v>
      </c>
      <c r="B10" s="2013" t="s">
        <v>2128</v>
      </c>
      <c r="C10" s="2013"/>
      <c r="D10" s="2013" t="s">
        <v>2149</v>
      </c>
      <c r="E10" s="2013"/>
    </row>
    <row r="11" spans="1:5" x14ac:dyDescent="0.2">
      <c r="A11" s="1042">
        <v>7</v>
      </c>
      <c r="B11" s="2013" t="s">
        <v>2129</v>
      </c>
      <c r="C11" s="2013"/>
      <c r="D11" s="2013" t="s">
        <v>2131</v>
      </c>
      <c r="E11" s="2013"/>
    </row>
    <row r="12" spans="1:5" x14ac:dyDescent="0.2">
      <c r="A12" s="1042">
        <v>8</v>
      </c>
      <c r="B12" s="2013" t="s">
        <v>2130</v>
      </c>
      <c r="C12" s="2013"/>
      <c r="D12" s="2013" t="s">
        <v>2138</v>
      </c>
      <c r="E12" s="2013"/>
    </row>
    <row r="13" spans="1:5" x14ac:dyDescent="0.2">
      <c r="A13" s="1042">
        <v>9</v>
      </c>
      <c r="B13" s="2013" t="s">
        <v>2132</v>
      </c>
      <c r="C13" s="2013"/>
      <c r="D13" s="2013" t="s">
        <v>2206</v>
      </c>
      <c r="E13" s="2013"/>
    </row>
    <row r="14" spans="1:5" x14ac:dyDescent="0.2">
      <c r="A14" s="1042">
        <v>10</v>
      </c>
      <c r="B14" s="2013" t="s">
        <v>2133</v>
      </c>
      <c r="C14" s="2013"/>
      <c r="D14" s="2013" t="s">
        <v>2210</v>
      </c>
      <c r="E14" s="2013"/>
    </row>
    <row r="15" spans="1:5" x14ac:dyDescent="0.2">
      <c r="A15" s="1042">
        <v>11</v>
      </c>
      <c r="B15" s="2013" t="s">
        <v>2133</v>
      </c>
      <c r="C15" s="2013"/>
      <c r="D15" s="2013" t="s">
        <v>2134</v>
      </c>
      <c r="E15" s="2013"/>
    </row>
    <row r="16" spans="1:5" x14ac:dyDescent="0.2">
      <c r="A16" s="1042">
        <v>12</v>
      </c>
      <c r="B16" s="2013" t="s">
        <v>2135</v>
      </c>
      <c r="C16" s="2013"/>
      <c r="D16" s="2013" t="s">
        <v>2211</v>
      </c>
      <c r="E16" s="2013"/>
    </row>
    <row r="17" spans="1:5" x14ac:dyDescent="0.2">
      <c r="A17" s="1042">
        <v>13</v>
      </c>
      <c r="B17" s="2013" t="s">
        <v>2136</v>
      </c>
      <c r="C17" s="2013"/>
      <c r="D17" s="2013" t="s">
        <v>2212</v>
      </c>
      <c r="E17" s="2013"/>
    </row>
    <row r="18" spans="1:5" x14ac:dyDescent="0.2">
      <c r="A18" s="1042"/>
      <c r="B18" s="2013"/>
      <c r="C18" s="2013"/>
      <c r="D18" s="2013"/>
      <c r="E18" s="2013"/>
    </row>
    <row r="19" spans="1:5" x14ac:dyDescent="0.2">
      <c r="A19" s="1042"/>
    </row>
    <row r="20" spans="1:5" x14ac:dyDescent="0.2">
      <c r="A20" s="1042"/>
    </row>
    <row r="21" spans="1:5" x14ac:dyDescent="0.2">
      <c r="A21" s="1042"/>
    </row>
    <row r="22" spans="1:5" x14ac:dyDescent="0.2">
      <c r="A22" s="1042"/>
    </row>
    <row r="23" spans="1:5" x14ac:dyDescent="0.2">
      <c r="A23" s="1042"/>
    </row>
    <row r="24" spans="1:5" x14ac:dyDescent="0.2">
      <c r="A24" s="1042"/>
    </row>
    <row r="25" spans="1:5" x14ac:dyDescent="0.2">
      <c r="A25" s="1042"/>
    </row>
    <row r="26" spans="1:5" x14ac:dyDescent="0.2">
      <c r="A26" s="1042"/>
    </row>
    <row r="27" spans="1:5" x14ac:dyDescent="0.2">
      <c r="A27" s="1042"/>
    </row>
    <row r="28" spans="1:5" x14ac:dyDescent="0.2">
      <c r="A28" s="1042"/>
    </row>
    <row r="29" spans="1:5" x14ac:dyDescent="0.2">
      <c r="A29" s="1042"/>
    </row>
    <row r="30" spans="1:5" x14ac:dyDescent="0.2">
      <c r="A30" s="1042"/>
    </row>
    <row r="31" spans="1:5" x14ac:dyDescent="0.2">
      <c r="A31" s="1042"/>
    </row>
    <row r="32" spans="1:5"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McHenry CHSD 156</v>
      </c>
    </row>
    <row r="65" spans="2:2" x14ac:dyDescent="0.2">
      <c r="B65" s="1043">
        <f>COVER!A13</f>
        <v>44063156016</v>
      </c>
    </row>
  </sheetData>
  <phoneticPr fontId="20"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20"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9" t="s">
        <v>1685</v>
      </c>
      <c r="B18" s="2409"/>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222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B9" sqref="B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0" t="s">
        <v>1690</v>
      </c>
      <c r="B1" s="2411"/>
      <c r="C1" s="2411"/>
      <c r="D1" s="2411"/>
      <c r="E1" s="2411"/>
      <c r="F1" s="2412"/>
    </row>
    <row r="2" spans="1:8" ht="45" customHeight="1" x14ac:dyDescent="0.2">
      <c r="A2" s="2420" t="s">
        <v>1986</v>
      </c>
      <c r="B2" s="2421"/>
      <c r="C2" s="2421"/>
      <c r="D2" s="2421"/>
      <c r="E2" s="2421"/>
      <c r="F2" s="2422"/>
      <c r="G2" s="1047"/>
      <c r="H2" s="1047"/>
    </row>
    <row r="3" spans="1:8" ht="57" customHeight="1" x14ac:dyDescent="0.2">
      <c r="A3" s="2423" t="s">
        <v>1686</v>
      </c>
      <c r="B3" s="2424"/>
      <c r="C3" s="2424"/>
      <c r="D3" s="2424"/>
      <c r="E3" s="2424"/>
      <c r="F3" s="2425"/>
      <c r="G3" s="1047"/>
      <c r="H3" s="1047"/>
    </row>
    <row r="4" spans="1:8" ht="14.25" customHeight="1" x14ac:dyDescent="0.2">
      <c r="A4" s="2429" t="s">
        <v>1987</v>
      </c>
      <c r="B4" s="2430"/>
      <c r="C4" s="2430"/>
      <c r="D4" s="2430"/>
      <c r="E4" s="2430"/>
      <c r="F4" s="2431"/>
      <c r="G4" s="1047"/>
      <c r="H4" s="1047"/>
    </row>
    <row r="5" spans="1:8" ht="14.25" customHeight="1" x14ac:dyDescent="0.2">
      <c r="A5" s="2432" t="s">
        <v>1983</v>
      </c>
      <c r="B5" s="2433"/>
      <c r="C5" s="2433"/>
      <c r="D5" s="2433"/>
      <c r="E5" s="2433"/>
      <c r="F5" s="2434"/>
      <c r="G5" s="1047"/>
      <c r="H5" s="1047"/>
    </row>
    <row r="6" spans="1:8" s="1048" customFormat="1" ht="41.25" customHeight="1" x14ac:dyDescent="0.2">
      <c r="A6" s="2426" t="s">
        <v>1691</v>
      </c>
      <c r="B6" s="2427"/>
      <c r="C6" s="2427"/>
      <c r="D6" s="2427"/>
      <c r="E6" s="2427"/>
      <c r="F6" s="2428"/>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29046247</v>
      </c>
      <c r="C8" s="1788">
        <f>'Acct Summary 7-8'!D8</f>
        <v>2556897</v>
      </c>
      <c r="D8" s="1788">
        <f>'Acct Summary 7-8'!F8</f>
        <v>1338443</v>
      </c>
      <c r="E8" s="1788">
        <f>'Acct Summary 7-8'!I8</f>
        <v>112046</v>
      </c>
      <c r="F8" s="1788">
        <f>SUM(B8:E8)</f>
        <v>33053633</v>
      </c>
    </row>
    <row r="9" spans="1:8" s="1052" customFormat="1" ht="14.25" customHeight="1" thickBot="1" x14ac:dyDescent="0.25">
      <c r="A9" s="1051" t="s">
        <v>1369</v>
      </c>
      <c r="B9" s="1789">
        <f>'Acct Summary 7-8'!C17</f>
        <v>26380507</v>
      </c>
      <c r="C9" s="1789">
        <f>'Acct Summary 7-8'!D17</f>
        <v>4411119</v>
      </c>
      <c r="D9" s="1789">
        <f>'Acct Summary 7-8'!F17</f>
        <v>1421481</v>
      </c>
      <c r="E9" s="1788"/>
      <c r="F9" s="1788">
        <f>SUM(B9:E9)</f>
        <v>32213107</v>
      </c>
    </row>
    <row r="10" spans="1:8" s="1052" customFormat="1" ht="14.25" thickTop="1" thickBot="1" x14ac:dyDescent="0.25">
      <c r="A10" s="1053" t="s">
        <v>1370</v>
      </c>
      <c r="B10" s="1790">
        <f>(B8-B9)</f>
        <v>2665740</v>
      </c>
      <c r="C10" s="1790">
        <f>(C8-C9)</f>
        <v>-1854222</v>
      </c>
      <c r="D10" s="1790">
        <f>(D8-D9)</f>
        <v>-83038</v>
      </c>
      <c r="E10" s="1789">
        <f>(E8-E9)</f>
        <v>112046</v>
      </c>
      <c r="F10" s="1791">
        <f>SUM(F8-F9)</f>
        <v>840526</v>
      </c>
    </row>
    <row r="11" spans="1:8" s="1052" customFormat="1" ht="14.25" thickTop="1" thickBot="1" x14ac:dyDescent="0.25">
      <c r="A11" s="1054" t="s">
        <v>1984</v>
      </c>
      <c r="B11" s="1792">
        <f>'Acct Summary 7-8'!C81</f>
        <v>18878389</v>
      </c>
      <c r="C11" s="1792">
        <f>'Acct Summary 7-8'!D81</f>
        <v>1786217</v>
      </c>
      <c r="D11" s="1792">
        <f>'Acct Summary 7-8'!F81</f>
        <v>554040</v>
      </c>
      <c r="E11" s="1792">
        <f>'Acct Summary 7-8'!I81</f>
        <v>803005</v>
      </c>
      <c r="F11" s="1793">
        <f>SUM(B11:E11)</f>
        <v>22021651</v>
      </c>
    </row>
    <row r="12" spans="1:8" ht="16.5" customHeight="1" thickTop="1" x14ac:dyDescent="0.2">
      <c r="A12" s="1055"/>
      <c r="B12" s="1056"/>
      <c r="C12" s="2414" t="str">
        <f>IF(AND(F10&lt;0,F11&gt;=0,ABS(F10*3)&gt;ABS(F11)),A16,IF(AND(F10&lt;0,F11&gt;0,ABS(F10*3)&lt;=ABS(F11)),A17,IF(AND(F10&lt;0,F11&lt;0),A16,IF(F11=0,A19,A18))))</f>
        <v>Balanced - no deficit reduction plan is required.</v>
      </c>
      <c r="D12" s="2415"/>
      <c r="E12" s="2415"/>
      <c r="F12" s="2416"/>
    </row>
    <row r="13" spans="1:8" ht="19.5" customHeight="1" x14ac:dyDescent="0.2">
      <c r="A13" s="1057"/>
      <c r="B13" s="1058"/>
      <c r="C13" s="2414"/>
      <c r="D13" s="2415"/>
      <c r="E13" s="2415"/>
      <c r="F13" s="2416"/>
      <c r="H13" s="1047"/>
    </row>
    <row r="14" spans="1:8" ht="19.5" customHeight="1" x14ac:dyDescent="0.2">
      <c r="A14" s="1057"/>
      <c r="B14" s="1058"/>
      <c r="C14" s="2414"/>
      <c r="D14" s="2415"/>
      <c r="E14" s="2415"/>
      <c r="F14" s="2416"/>
      <c r="H14" s="1047"/>
    </row>
    <row r="15" spans="1:8" ht="17.25" customHeight="1" x14ac:dyDescent="0.2">
      <c r="A15" s="1057"/>
      <c r="B15" s="1058"/>
      <c r="C15" s="2417"/>
      <c r="D15" s="2418"/>
      <c r="E15" s="2418"/>
      <c r="F15" s="2419"/>
      <c r="H15" s="1047"/>
    </row>
    <row r="16" spans="1:8" s="310" customFormat="1" ht="51.75" hidden="1" customHeight="1" x14ac:dyDescent="0.2">
      <c r="A16" s="2413" t="s">
        <v>1687</v>
      </c>
      <c r="B16" s="2413"/>
      <c r="C16" s="2413"/>
      <c r="D16" s="2413"/>
      <c r="E16" s="2413"/>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0" colorId="8" zoomScale="110" zoomScaleNormal="110" workbookViewId="0">
      <selection activeCell="D82" sqref="D82"/>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5" t="s">
        <v>665</v>
      </c>
      <c r="B3" s="2436"/>
      <c r="C3" s="2436"/>
      <c r="D3" s="2437"/>
    </row>
    <row r="4" spans="1:4" x14ac:dyDescent="0.2">
      <c r="A4" s="1125" t="s">
        <v>1692</v>
      </c>
      <c r="B4" s="1126"/>
      <c r="C4" s="1127"/>
      <c r="D4" s="1128"/>
    </row>
    <row r="5" spans="1:4" ht="21" customHeight="1" x14ac:dyDescent="0.2">
      <c r="A5" s="1121"/>
      <c r="B5" s="1122">
        <v>1</v>
      </c>
      <c r="C5" s="1123" t="s">
        <v>1834</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6" t="s">
        <v>1504</v>
      </c>
      <c r="D7" s="2447"/>
    </row>
    <row r="8" spans="1:4" s="643" customFormat="1" ht="12.75" x14ac:dyDescent="0.2">
      <c r="A8" s="1111"/>
      <c r="B8" s="1066"/>
      <c r="C8" s="1069" t="s">
        <v>1503</v>
      </c>
      <c r="D8" s="1070"/>
    </row>
    <row r="9" spans="1:4" s="643" customFormat="1" ht="14.25" customHeight="1" x14ac:dyDescent="0.2">
      <c r="A9" s="1111"/>
      <c r="B9" s="1066">
        <f>B7+1</f>
        <v>4</v>
      </c>
      <c r="C9" s="1067" t="s">
        <v>1912</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8" t="s">
        <v>1008</v>
      </c>
      <c r="B15" s="2439"/>
      <c r="C15" s="2439"/>
      <c r="D15" s="2440"/>
    </row>
    <row r="16" spans="1:4" s="643" customFormat="1" ht="24" customHeight="1" x14ac:dyDescent="0.2">
      <c r="A16" s="2441" t="s">
        <v>663</v>
      </c>
      <c r="B16" s="2442"/>
      <c r="C16" s="2442"/>
      <c r="D16" s="2443"/>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50" t="s">
        <v>314</v>
      </c>
      <c r="D21" s="2451"/>
    </row>
    <row r="22" spans="1:10" ht="12.75" x14ac:dyDescent="0.2">
      <c r="A22" s="1112"/>
      <c r="B22" s="1113">
        <v>2</v>
      </c>
      <c r="C22" s="2448" t="s">
        <v>1524</v>
      </c>
      <c r="D22" s="2449"/>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2" t="s">
        <v>536</v>
      </c>
      <c r="D43" s="2453"/>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4" t="s">
        <v>784</v>
      </c>
      <c r="D56" s="2445"/>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1913</v>
      </c>
      <c r="D66" s="1098"/>
    </row>
    <row r="67" spans="1:4" x14ac:dyDescent="0.2">
      <c r="A67" s="1092"/>
      <c r="B67" s="1113"/>
      <c r="C67" s="1120" t="s">
        <v>1021</v>
      </c>
      <c r="D67" s="1098"/>
    </row>
    <row r="68" spans="1:4" x14ac:dyDescent="0.2">
      <c r="A68" s="1073"/>
      <c r="B68" s="1083"/>
      <c r="C68" s="1075" t="s">
        <v>1914</v>
      </c>
      <c r="D68" s="1097" t="str">
        <f>IF('Short-Term Long-Term Debt 24'!F49=SUM(,'Acct Summary 7-8'!C33:K33),"OK","ERROR!")</f>
        <v>OK</v>
      </c>
    </row>
    <row r="69" spans="1:4" x14ac:dyDescent="0.2">
      <c r="A69" s="1073"/>
      <c r="B69" s="1083"/>
      <c r="C69" s="1075" t="s">
        <v>1915</v>
      </c>
      <c r="D69" s="1097" t="str">
        <f>IF('Expenditures 15-22'!H170&lt;&gt;'Short-Term Long-Term Debt 24'!H49,"ERROR!","OK")</f>
        <v>OK</v>
      </c>
    </row>
    <row r="70" spans="1:4" x14ac:dyDescent="0.2">
      <c r="A70" s="1071"/>
      <c r="B70" s="1093">
        <f>B66+1</f>
        <v>9</v>
      </c>
      <c r="C70" s="2444" t="s">
        <v>1696</v>
      </c>
      <c r="D70" s="2445"/>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1916</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1917</v>
      </c>
      <c r="D78" s="1097" t="str">
        <f>IF(ISNUMBER('Acct Summary 7-8'!C9),"OK","ENTRY IS REQUIRED!")</f>
        <v>OK</v>
      </c>
    </row>
    <row r="79" spans="1:4" x14ac:dyDescent="0.2">
      <c r="A79" s="1092"/>
      <c r="B79" s="1093">
        <f>B74+1+1</f>
        <v>12</v>
      </c>
      <c r="C79" s="1103" t="s">
        <v>1902</v>
      </c>
      <c r="D79" s="1104" t="str">
        <f>IF(OR(COVER!$B$6="X",'PCTC-OEPP 27-28'!F78&gt;0),"OK","PLEASE ENTER 9 MO ADA.")</f>
        <v>OK</v>
      </c>
    </row>
    <row r="80" spans="1:4" x14ac:dyDescent="0.2">
      <c r="A80" s="1071"/>
      <c r="B80" s="1093">
        <v>13</v>
      </c>
      <c r="C80" s="1103" t="s">
        <v>1918</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44063156016</v>
      </c>
    </row>
    <row r="3" spans="1:2" x14ac:dyDescent="0.2">
      <c r="A3" t="s">
        <v>956</v>
      </c>
      <c r="B3" s="138" t="str">
        <f>COVER!A15</f>
        <v xml:space="preserve">MCHENRY </v>
      </c>
    </row>
    <row r="4" spans="1:2" x14ac:dyDescent="0.2">
      <c r="A4" t="s">
        <v>1007</v>
      </c>
      <c r="B4" s="138" t="str">
        <f>COVER!A17</f>
        <v>McHenry CHSD 156</v>
      </c>
    </row>
    <row r="5" spans="1:2" x14ac:dyDescent="0.2">
      <c r="A5" t="s">
        <v>704</v>
      </c>
      <c r="B5" s="138" t="str">
        <f>COVER!A38</f>
        <v>DAVID LAWSON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13446992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18879559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1170</v>
      </c>
      <c r="C91" s="2" t="s">
        <v>573</v>
      </c>
      <c r="D91" s="2" t="str">
        <f t="shared" si="0"/>
        <v>Error?</v>
      </c>
    </row>
    <row r="92" spans="1:4" x14ac:dyDescent="0.2">
      <c r="A92" s="5">
        <v>31</v>
      </c>
      <c r="B92" s="138">
        <f>'Assets-Liab 5-6'!C39</f>
        <v>18572773</v>
      </c>
      <c r="D92" s="2" t="str">
        <f t="shared" si="0"/>
        <v>Error?</v>
      </c>
    </row>
    <row r="93" spans="1:4" x14ac:dyDescent="0.2">
      <c r="A93" s="5">
        <v>32</v>
      </c>
      <c r="B93" s="138">
        <f>'Assets-Liab 5-6'!C41</f>
        <v>18879559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1371022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1786217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1786217</v>
      </c>
      <c r="D123" s="2" t="str">
        <f t="shared" si="0"/>
        <v>Error?</v>
      </c>
    </row>
    <row r="124" spans="1:4" x14ac:dyDescent="0.2">
      <c r="A124" s="5">
        <v>63</v>
      </c>
      <c r="B124" s="138">
        <f>'Assets-Liab 5-6'!D41</f>
        <v>1786217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1796130</v>
      </c>
      <c r="D129" s="2" t="str">
        <f t="shared" si="1"/>
        <v>Error?</v>
      </c>
    </row>
    <row r="130" spans="1:4" x14ac:dyDescent="0.2">
      <c r="A130" s="5">
        <v>69</v>
      </c>
      <c r="B130" s="138">
        <f>'Assets-Liab 5-6'!E12</f>
        <v>0</v>
      </c>
      <c r="D130" s="2" t="str">
        <f t="shared" si="1"/>
        <v>Error?</v>
      </c>
    </row>
    <row r="131" spans="1:4" x14ac:dyDescent="0.2">
      <c r="A131" s="5">
        <v>70</v>
      </c>
      <c r="B131" s="138">
        <f>'Assets-Liab 5-6'!E13</f>
        <v>4121205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4121205</v>
      </c>
      <c r="D140" s="2" t="str">
        <f t="shared" si="1"/>
        <v>Error?</v>
      </c>
    </row>
    <row r="141" spans="1:4" x14ac:dyDescent="0.2">
      <c r="A141" s="5">
        <v>80</v>
      </c>
      <c r="B141" s="138">
        <f>'Assets-Liab 5-6'!E41</f>
        <v>4121205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412113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554040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554040</v>
      </c>
      <c r="D170" s="2" t="str">
        <f t="shared" si="1"/>
        <v>Error?</v>
      </c>
    </row>
    <row r="171" spans="1:4" x14ac:dyDescent="0.2">
      <c r="A171" s="5">
        <v>110</v>
      </c>
      <c r="B171" s="138">
        <f>'Assets-Liab 5-6'!F41</f>
        <v>554040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293518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394603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161600</v>
      </c>
      <c r="D189" s="2" t="str">
        <f t="shared" si="1"/>
        <v>Error?</v>
      </c>
    </row>
    <row r="190" spans="1:4" x14ac:dyDescent="0.2">
      <c r="A190" s="5">
        <v>129</v>
      </c>
      <c r="B190" s="138">
        <f>'Assets-Liab 5-6'!G41</f>
        <v>394603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31456544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43096063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42403246</v>
      </c>
      <c r="D212" s="2" t="str">
        <f t="shared" si="2"/>
        <v>Error?</v>
      </c>
    </row>
    <row r="213" spans="1:4" x14ac:dyDescent="0.2">
      <c r="A213" s="12">
        <v>152</v>
      </c>
      <c r="B213" s="138">
        <f>'Assets-Liab 5-6'!H41</f>
        <v>43096063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3150000</v>
      </c>
      <c r="D273" s="2" t="str">
        <f t="shared" si="3"/>
        <v>Error?</v>
      </c>
    </row>
    <row r="274" spans="1:4" x14ac:dyDescent="0.2">
      <c r="A274" s="5">
        <v>213</v>
      </c>
      <c r="B274" s="138">
        <f>'Assets-Liab 5-6'!M17</f>
        <v>29456245</v>
      </c>
      <c r="D274" s="2" t="str">
        <f t="shared" si="3"/>
        <v>Error?</v>
      </c>
    </row>
    <row r="275" spans="1:4" x14ac:dyDescent="0.2">
      <c r="A275" s="5">
        <v>214</v>
      </c>
      <c r="B275" s="138">
        <f>'Assets-Liab 5-6'!M18</f>
        <v>4107233</v>
      </c>
      <c r="D275" s="2" t="str">
        <f t="shared" si="3"/>
        <v>Error?</v>
      </c>
    </row>
    <row r="276" spans="1:4" x14ac:dyDescent="0.2">
      <c r="A276" s="5">
        <v>215</v>
      </c>
      <c r="B276" s="138">
        <f>'Assets-Liab 5-6'!M19</f>
        <v>1606616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40215498</v>
      </c>
      <c r="C279" s="2" t="s">
        <v>573</v>
      </c>
      <c r="D279" s="2" t="str">
        <f t="shared" si="3"/>
        <v>Error?</v>
      </c>
    </row>
    <row r="280" spans="1:4" x14ac:dyDescent="0.2">
      <c r="A280" s="5">
        <v>219</v>
      </c>
      <c r="B280" s="138">
        <f>'Assets-Liab 5-6'!M40</f>
        <v>40215498</v>
      </c>
      <c r="D280" s="2" t="str">
        <f t="shared" si="3"/>
        <v>Error?</v>
      </c>
    </row>
    <row r="281" spans="1:4" x14ac:dyDescent="0.2">
      <c r="A281" s="5">
        <v>220</v>
      </c>
      <c r="B281" s="138">
        <f>'Assets-Liab 5-6'!M41</f>
        <v>40215498</v>
      </c>
      <c r="C281" s="2" t="s">
        <v>573</v>
      </c>
      <c r="D281" s="2" t="str">
        <f t="shared" si="3"/>
        <v>Error?</v>
      </c>
    </row>
    <row r="282" spans="1:4" x14ac:dyDescent="0.2">
      <c r="A282" s="5">
        <v>221</v>
      </c>
      <c r="B282" s="138">
        <f>'Assets-Liab 5-6'!N21</f>
        <v>4121205</v>
      </c>
      <c r="D282" s="2" t="str">
        <f t="shared" si="3"/>
        <v>Error?</v>
      </c>
    </row>
    <row r="283" spans="1:4" x14ac:dyDescent="0.2">
      <c r="A283" s="5">
        <v>222</v>
      </c>
      <c r="B283" s="138">
        <f>'Assets-Liab 5-6'!N22</f>
        <v>43768795</v>
      </c>
      <c r="D283" s="2" t="str">
        <f t="shared" si="3"/>
        <v>Error?</v>
      </c>
    </row>
    <row r="284" spans="1:4" x14ac:dyDescent="0.2">
      <c r="A284" s="5">
        <v>223</v>
      </c>
      <c r="B284" s="138">
        <f>'Assets-Liab 5-6'!N23</f>
        <v>47890000</v>
      </c>
      <c r="C284" s="2" t="s">
        <v>573</v>
      </c>
      <c r="D284" s="2" t="str">
        <f t="shared" si="3"/>
        <v>Error?</v>
      </c>
    </row>
    <row r="285" spans="1:4" x14ac:dyDescent="0.2">
      <c r="A285" s="5">
        <v>224</v>
      </c>
      <c r="B285" s="138">
        <f>'Assets-Liab 5-6'!N36</f>
        <v>47890000</v>
      </c>
      <c r="D285" s="2" t="str">
        <f t="shared" si="3"/>
        <v>Error?</v>
      </c>
    </row>
    <row r="286" spans="1:4" x14ac:dyDescent="0.2">
      <c r="A286" s="10">
        <v>225</v>
      </c>
      <c r="D286" s="2" t="str">
        <f t="shared" si="3"/>
        <v>OK</v>
      </c>
    </row>
    <row r="287" spans="1:4" x14ac:dyDescent="0.2">
      <c r="A287" s="5">
        <v>226</v>
      </c>
      <c r="B287" s="138">
        <f>'Assets-Liab 5-6'!N37</f>
        <v>47890000</v>
      </c>
      <c r="C287" s="2" t="s">
        <v>573</v>
      </c>
      <c r="D287" s="2" t="str">
        <f t="shared" si="3"/>
        <v>Error?</v>
      </c>
    </row>
    <row r="288" spans="1:4" x14ac:dyDescent="0.2">
      <c r="A288" s="5">
        <v>227</v>
      </c>
      <c r="B288" s="138">
        <f>'Assets-Liab 5-6'!N41</f>
        <v>47890000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41186210</v>
      </c>
      <c r="D618" s="2" t="str">
        <f t="shared" si="8"/>
        <v>Error?</v>
      </c>
    </row>
    <row r="619" spans="1:4" x14ac:dyDescent="0.2">
      <c r="A619" s="5">
        <v>558</v>
      </c>
      <c r="B619" s="138">
        <f>'Acct Summary 7-8'!H34</f>
        <v>2827806</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8886946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10360</v>
      </c>
      <c r="D717" s="2" t="str">
        <f t="shared" si="10"/>
        <v>Error?</v>
      </c>
    </row>
    <row r="718" spans="1:4" x14ac:dyDescent="0.2">
      <c r="A718" s="5">
        <v>657</v>
      </c>
      <c r="B718" s="138">
        <f>'Expenditures 15-22'!C14</f>
        <v>631157</v>
      </c>
      <c r="D718" s="2" t="str">
        <f t="shared" si="10"/>
        <v>Error?</v>
      </c>
    </row>
    <row r="719" spans="1:4" x14ac:dyDescent="0.2">
      <c r="A719" s="5">
        <v>658</v>
      </c>
      <c r="B719" s="138">
        <f>'Expenditures 15-22'!C15</f>
        <v>64250</v>
      </c>
      <c r="D719" s="2" t="str">
        <f t="shared" si="10"/>
        <v>Error?</v>
      </c>
    </row>
    <row r="720" spans="1:4" x14ac:dyDescent="0.2">
      <c r="A720" s="5">
        <v>659</v>
      </c>
      <c r="B720" s="138">
        <f>'Expenditures 15-22'!C33</f>
        <v>12848572</v>
      </c>
      <c r="C720" s="2" t="s">
        <v>573</v>
      </c>
      <c r="D720" s="2" t="str">
        <f t="shared" si="10"/>
        <v>Error?</v>
      </c>
    </row>
    <row r="721" spans="1:4" x14ac:dyDescent="0.2">
      <c r="A721" s="5">
        <v>660</v>
      </c>
      <c r="B721" s="138">
        <f>'Expenditures 15-22'!C36</f>
        <v>271990</v>
      </c>
      <c r="D721" s="2" t="str">
        <f t="shared" si="10"/>
        <v>Error?</v>
      </c>
    </row>
    <row r="722" spans="1:4" x14ac:dyDescent="0.2">
      <c r="A722" s="5">
        <v>661</v>
      </c>
      <c r="B722" s="138">
        <f>'Expenditures 15-22'!C37</f>
        <v>673561</v>
      </c>
      <c r="D722" s="2" t="str">
        <f t="shared" si="10"/>
        <v>Error?</v>
      </c>
    </row>
    <row r="723" spans="1:4" x14ac:dyDescent="0.2">
      <c r="A723" s="5">
        <v>662</v>
      </c>
      <c r="B723" s="138">
        <f>'Expenditures 15-22'!C38</f>
        <v>97821</v>
      </c>
      <c r="D723" s="2" t="str">
        <f t="shared" si="10"/>
        <v>Error?</v>
      </c>
    </row>
    <row r="724" spans="1:4" x14ac:dyDescent="0.2">
      <c r="A724" s="5">
        <v>663</v>
      </c>
      <c r="B724" s="138">
        <f>'Expenditures 15-22'!C39</f>
        <v>228943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142809</v>
      </c>
      <c r="D726" s="2" t="str">
        <f t="shared" si="10"/>
        <v>Error?</v>
      </c>
    </row>
    <row r="727" spans="1:4" x14ac:dyDescent="0.2">
      <c r="A727" s="5">
        <v>666</v>
      </c>
      <c r="B727" s="138">
        <f>'Expenditures 15-22'!C42</f>
        <v>1415124</v>
      </c>
      <c r="C727" s="2" t="s">
        <v>573</v>
      </c>
      <c r="D727" s="2" t="str">
        <f t="shared" si="10"/>
        <v>Error?</v>
      </c>
    </row>
    <row r="728" spans="1:4" x14ac:dyDescent="0.2">
      <c r="A728" s="5">
        <v>667</v>
      </c>
      <c r="B728" s="138">
        <f>'Expenditures 15-22'!C44</f>
        <v>694724</v>
      </c>
      <c r="D728" s="2" t="str">
        <f t="shared" si="10"/>
        <v>Error?</v>
      </c>
    </row>
    <row r="729" spans="1:4" x14ac:dyDescent="0.2">
      <c r="A729" s="5">
        <v>668</v>
      </c>
      <c r="B729" s="138">
        <f>'Expenditures 15-22'!C45</f>
        <v>643032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1337756</v>
      </c>
      <c r="C731" s="2" t="s">
        <v>573</v>
      </c>
      <c r="D731" s="2" t="str">
        <f t="shared" si="10"/>
        <v>Error?</v>
      </c>
    </row>
    <row r="732" spans="1:4" x14ac:dyDescent="0.2">
      <c r="A732" s="5">
        <v>671</v>
      </c>
      <c r="B732" s="138">
        <f>'Expenditures 15-22'!C49</f>
        <v>33185</v>
      </c>
      <c r="D732" s="2" t="str">
        <f t="shared" si="10"/>
        <v>Error?</v>
      </c>
    </row>
    <row r="733" spans="1:4" x14ac:dyDescent="0.2">
      <c r="A733" s="5">
        <v>672</v>
      </c>
      <c r="B733" s="138">
        <f>'Expenditures 15-22'!C50</f>
        <v>392613</v>
      </c>
      <c r="D733" s="2" t="str">
        <f t="shared" si="10"/>
        <v>Error?</v>
      </c>
    </row>
    <row r="734" spans="1:4" x14ac:dyDescent="0.2">
      <c r="A734" s="5">
        <v>673</v>
      </c>
      <c r="B734" s="138">
        <f>'Expenditures 15-22'!C53</f>
        <v>425798</v>
      </c>
      <c r="C734" s="2" t="s">
        <v>573</v>
      </c>
      <c r="D734" s="2" t="str">
        <f t="shared" si="10"/>
        <v>Error?</v>
      </c>
    </row>
    <row r="735" spans="1:4" x14ac:dyDescent="0.2">
      <c r="A735" s="5">
        <v>674</v>
      </c>
      <c r="B735" s="138">
        <f>'Expenditures 15-22'!C55</f>
        <v>1169340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1169340</v>
      </c>
      <c r="C737" s="2" t="s">
        <v>573</v>
      </c>
      <c r="D737" s="2" t="str">
        <f t="shared" si="10"/>
        <v>Error?</v>
      </c>
    </row>
    <row r="738" spans="1:4" x14ac:dyDescent="0.2">
      <c r="A738" s="5">
        <v>677</v>
      </c>
      <c r="B738" s="138">
        <f>'Expenditures 15-22'!C59</f>
        <v>178575</v>
      </c>
      <c r="D738" s="2" t="str">
        <f t="shared" si="10"/>
        <v>Error?</v>
      </c>
    </row>
    <row r="739" spans="1:4" x14ac:dyDescent="0.2">
      <c r="A739" s="5">
        <v>678</v>
      </c>
      <c r="B739" s="138">
        <f>'Expenditures 15-22'!C60</f>
        <v>148552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216408</v>
      </c>
      <c r="D742" s="2" t="str">
        <f t="shared" si="10"/>
        <v>Error?</v>
      </c>
    </row>
    <row r="743" spans="1:4" x14ac:dyDescent="0.2">
      <c r="A743" s="5">
        <v>682</v>
      </c>
      <c r="B743" s="138">
        <f>'Expenditures 15-22'!C64</f>
        <v>13487</v>
      </c>
      <c r="D743" s="2" t="str">
        <f t="shared" si="10"/>
        <v>Error?</v>
      </c>
    </row>
    <row r="744" spans="1:4" x14ac:dyDescent="0.2">
      <c r="A744" s="10">
        <v>683</v>
      </c>
      <c r="D744" s="2" t="str">
        <f t="shared" si="10"/>
        <v>OK</v>
      </c>
    </row>
    <row r="745" spans="1:4" x14ac:dyDescent="0.2">
      <c r="A745" s="5">
        <v>684</v>
      </c>
      <c r="B745" s="138">
        <f>'Expenditures 15-22'!C65</f>
        <v>557022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4905040</v>
      </c>
      <c r="C755" s="2" t="s">
        <v>573</v>
      </c>
      <c r="D755" s="2" t="str">
        <f t="shared" si="10"/>
        <v>Error?</v>
      </c>
    </row>
    <row r="756" spans="1:4" x14ac:dyDescent="0.2">
      <c r="A756" s="5">
        <v>695</v>
      </c>
      <c r="B756" s="138">
        <f>'Expenditures 15-22'!C75</f>
        <v>152426</v>
      </c>
      <c r="D756" s="2" t="str">
        <f t="shared" si="10"/>
        <v>Error?</v>
      </c>
    </row>
    <row r="757" spans="1:4" x14ac:dyDescent="0.2">
      <c r="A757" s="5">
        <v>696</v>
      </c>
      <c r="B757" s="138">
        <f>'Expenditures 15-22'!C114</f>
        <v>17906038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2055951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95</v>
      </c>
      <c r="D775" s="2" t="str">
        <f t="shared" si="11"/>
        <v>Error?</v>
      </c>
    </row>
    <row r="776" spans="1:4" x14ac:dyDescent="0.2">
      <c r="A776" s="5">
        <v>715</v>
      </c>
      <c r="B776" s="138">
        <f>'Expenditures 15-22'!D14</f>
        <v>6227</v>
      </c>
      <c r="D776" s="2" t="str">
        <f t="shared" si="11"/>
        <v>Error?</v>
      </c>
    </row>
    <row r="777" spans="1:4" x14ac:dyDescent="0.2">
      <c r="A777" s="5">
        <v>716</v>
      </c>
      <c r="B777" s="138">
        <f>'Expenditures 15-22'!D15</f>
        <v>1383</v>
      </c>
      <c r="D777" s="2" t="str">
        <f t="shared" si="11"/>
        <v>Error?</v>
      </c>
    </row>
    <row r="778" spans="1:4" x14ac:dyDescent="0.2">
      <c r="A778" s="5">
        <v>717</v>
      </c>
      <c r="B778" s="138">
        <f>'Expenditures 15-22'!D33</f>
        <v>2645047</v>
      </c>
      <c r="C778" s="2" t="s">
        <v>573</v>
      </c>
      <c r="D778" s="2" t="str">
        <f t="shared" si="11"/>
        <v>Error?</v>
      </c>
    </row>
    <row r="779" spans="1:4" x14ac:dyDescent="0.2">
      <c r="A779" s="5">
        <v>718</v>
      </c>
      <c r="B779" s="138">
        <f>'Expenditures 15-22'!D36</f>
        <v>36332</v>
      </c>
      <c r="D779" s="2" t="str">
        <f t="shared" si="11"/>
        <v>Error?</v>
      </c>
    </row>
    <row r="780" spans="1:4" x14ac:dyDescent="0.2">
      <c r="A780" s="5">
        <v>719</v>
      </c>
      <c r="B780" s="138">
        <f>'Expenditures 15-22'!D37</f>
        <v>75413</v>
      </c>
      <c r="D780" s="2" t="str">
        <f t="shared" si="11"/>
        <v>Error?</v>
      </c>
    </row>
    <row r="781" spans="1:4" x14ac:dyDescent="0.2">
      <c r="A781" s="5">
        <v>720</v>
      </c>
      <c r="B781" s="138">
        <f>'Expenditures 15-22'!D38</f>
        <v>13304</v>
      </c>
      <c r="D781" s="2" t="str">
        <f t="shared" si="11"/>
        <v>Error?</v>
      </c>
    </row>
    <row r="782" spans="1:4" x14ac:dyDescent="0.2">
      <c r="A782" s="5">
        <v>721</v>
      </c>
      <c r="B782" s="138">
        <f>'Expenditures 15-22'!D39</f>
        <v>46931</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171980</v>
      </c>
      <c r="C785" s="2" t="s">
        <v>573</v>
      </c>
      <c r="D785" s="2" t="str">
        <f t="shared" si="11"/>
        <v>Error?</v>
      </c>
    </row>
    <row r="786" spans="1:4" x14ac:dyDescent="0.2">
      <c r="A786" s="5">
        <v>725</v>
      </c>
      <c r="B786" s="138">
        <f>'Expenditures 15-22'!D44</f>
        <v>11828</v>
      </c>
      <c r="D786" s="2" t="str">
        <f t="shared" si="11"/>
        <v>Error?</v>
      </c>
    </row>
    <row r="787" spans="1:4" x14ac:dyDescent="0.2">
      <c r="A787" s="5">
        <v>726</v>
      </c>
      <c r="B787" s="138">
        <f>'Expenditures 15-22'!D45</f>
        <v>79845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91673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61016</v>
      </c>
      <c r="D791" s="2" t="str">
        <f t="shared" si="11"/>
        <v>Error?</v>
      </c>
    </row>
    <row r="792" spans="1:4" x14ac:dyDescent="0.2">
      <c r="A792" s="5">
        <v>731</v>
      </c>
      <c r="B792" s="138">
        <f>'Expenditures 15-22'!D53</f>
        <v>61016</v>
      </c>
      <c r="C792" s="2" t="s">
        <v>573</v>
      </c>
      <c r="D792" s="2" t="str">
        <f t="shared" si="11"/>
        <v>Error?</v>
      </c>
    </row>
    <row r="793" spans="1:4" x14ac:dyDescent="0.2">
      <c r="A793" s="5">
        <v>732</v>
      </c>
      <c r="B793" s="138">
        <f>'Expenditures 15-22'!D55</f>
        <v>280680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280680</v>
      </c>
      <c r="C795" s="2" t="s">
        <v>573</v>
      </c>
      <c r="D795" s="2" t="str">
        <f t="shared" si="11"/>
        <v>Error?</v>
      </c>
    </row>
    <row r="796" spans="1:4" x14ac:dyDescent="0.2">
      <c r="A796" s="5">
        <v>735</v>
      </c>
      <c r="B796" s="138">
        <f>'Expenditures 15-22'!D59</f>
        <v>21473</v>
      </c>
      <c r="D796" s="2" t="str">
        <f t="shared" si="11"/>
        <v>Error?</v>
      </c>
    </row>
    <row r="797" spans="1:4" x14ac:dyDescent="0.2">
      <c r="A797" s="5">
        <v>736</v>
      </c>
      <c r="B797" s="138">
        <f>'Expenditures 15-22'!D60</f>
        <v>15991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31787</v>
      </c>
      <c r="D800" s="2" t="str">
        <f t="shared" si="11"/>
        <v>Error?</v>
      </c>
    </row>
    <row r="801" spans="1:4" x14ac:dyDescent="0.2">
      <c r="A801" s="5">
        <v>740</v>
      </c>
      <c r="B801" s="138">
        <f>'Expenditures 15-22'!D64</f>
        <v>85</v>
      </c>
      <c r="D801" s="2" t="str">
        <f t="shared" si="11"/>
        <v>Error?</v>
      </c>
    </row>
    <row r="802" spans="1:4" x14ac:dyDescent="0.2">
      <c r="A802" s="10">
        <v>741</v>
      </c>
      <c r="D802" s="2" t="str">
        <f t="shared" si="11"/>
        <v>OK</v>
      </c>
    </row>
    <row r="803" spans="1:4" x14ac:dyDescent="0.2">
      <c r="A803" s="5">
        <v>742</v>
      </c>
      <c r="B803" s="138">
        <f>'Expenditures 15-22'!D65</f>
        <v>69336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674685</v>
      </c>
      <c r="C813" s="2" t="s">
        <v>573</v>
      </c>
      <c r="D813" s="2" t="str">
        <f t="shared" si="11"/>
        <v>Error?</v>
      </c>
    </row>
    <row r="814" spans="1:4" x14ac:dyDescent="0.2">
      <c r="A814" s="5">
        <v>753</v>
      </c>
      <c r="B814" s="138">
        <f>'Expenditures 15-22'!D75</f>
        <v>844</v>
      </c>
      <c r="D814" s="2" t="str">
        <f t="shared" si="11"/>
        <v>Error?</v>
      </c>
    </row>
    <row r="815" spans="1:4" x14ac:dyDescent="0.2">
      <c r="A815" s="5">
        <v>754</v>
      </c>
      <c r="B815" s="138">
        <f>'Expenditures 15-22'!D114</f>
        <v>3320576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182214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35471</v>
      </c>
      <c r="D833" s="2" t="str">
        <f t="shared" si="12"/>
        <v>Error?</v>
      </c>
    </row>
    <row r="834" spans="1:4" x14ac:dyDescent="0.2">
      <c r="A834" s="5">
        <v>773</v>
      </c>
      <c r="B834" s="138">
        <f>'Expenditures 15-22'!E14</f>
        <v>137239</v>
      </c>
      <c r="D834" s="2" t="str">
        <f t="shared" si="12"/>
        <v>Error?</v>
      </c>
    </row>
    <row r="835" spans="1:4" x14ac:dyDescent="0.2">
      <c r="A835" s="5">
        <v>774</v>
      </c>
      <c r="B835" s="138">
        <f>'Expenditures 15-22'!E15</f>
        <v>3150</v>
      </c>
      <c r="D835" s="2" t="str">
        <f t="shared" si="12"/>
        <v>Error?</v>
      </c>
    </row>
    <row r="836" spans="1:4" x14ac:dyDescent="0.2">
      <c r="A836" s="5">
        <v>775</v>
      </c>
      <c r="B836" s="138">
        <f>'Expenditures 15-22'!E33</f>
        <v>365882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820</v>
      </c>
      <c r="D838" s="2" t="str">
        <f t="shared" si="12"/>
        <v>Error?</v>
      </c>
    </row>
    <row r="839" spans="1:4" x14ac:dyDescent="0.2">
      <c r="A839" s="5">
        <v>778</v>
      </c>
      <c r="B839" s="138">
        <f>'Expenditures 15-22'!E38</f>
        <v>15025</v>
      </c>
      <c r="D839" s="2" t="str">
        <f t="shared" si="12"/>
        <v>Error?</v>
      </c>
    </row>
    <row r="840" spans="1:4" x14ac:dyDescent="0.2">
      <c r="A840" s="5">
        <v>779</v>
      </c>
      <c r="B840" s="138">
        <f>'Expenditures 15-22'!E39</f>
        <v>1200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17045</v>
      </c>
      <c r="C843" s="2" t="s">
        <v>573</v>
      </c>
      <c r="D843" s="2" t="str">
        <f t="shared" si="12"/>
        <v>Error?</v>
      </c>
    </row>
    <row r="844" spans="1:4" x14ac:dyDescent="0.2">
      <c r="A844" s="5">
        <v>783</v>
      </c>
      <c r="B844" s="138">
        <f>'Expenditures 15-22'!E44</f>
        <v>115149</v>
      </c>
      <c r="D844" s="2" t="str">
        <f t="shared" si="12"/>
        <v>Error?</v>
      </c>
    </row>
    <row r="845" spans="1:4" x14ac:dyDescent="0.2">
      <c r="A845" s="5">
        <v>784</v>
      </c>
      <c r="B845" s="138">
        <f>'Expenditures 15-22'!E45</f>
        <v>297451</v>
      </c>
      <c r="D845" s="2" t="str">
        <f t="shared" si="12"/>
        <v>Error?</v>
      </c>
    </row>
    <row r="846" spans="1:4" x14ac:dyDescent="0.2">
      <c r="A846" s="5">
        <v>785</v>
      </c>
      <c r="B846" s="138">
        <f>'Expenditures 15-22'!E46</f>
        <v>3116</v>
      </c>
      <c r="D846" s="2" t="str">
        <f t="shared" si="12"/>
        <v>Error?</v>
      </c>
    </row>
    <row r="847" spans="1:4" x14ac:dyDescent="0.2">
      <c r="A847" s="5">
        <v>786</v>
      </c>
      <c r="B847" s="138">
        <f>'Expenditures 15-22'!E47</f>
        <v>415716</v>
      </c>
      <c r="C847" s="2" t="s">
        <v>573</v>
      </c>
      <c r="D847" s="2" t="str">
        <f t="shared" si="12"/>
        <v>Error?</v>
      </c>
    </row>
    <row r="848" spans="1:4" x14ac:dyDescent="0.2">
      <c r="A848" s="5">
        <v>787</v>
      </c>
      <c r="B848" s="138">
        <f>'Expenditures 15-22'!E49</f>
        <v>366891</v>
      </c>
      <c r="D848" s="2" t="str">
        <f t="shared" si="12"/>
        <v>Error?</v>
      </c>
    </row>
    <row r="849" spans="1:4" x14ac:dyDescent="0.2">
      <c r="A849" s="5">
        <v>788</v>
      </c>
      <c r="B849" s="138">
        <f>'Expenditures 15-22'!E50</f>
        <v>48278</v>
      </c>
      <c r="D849" s="2" t="str">
        <f t="shared" si="12"/>
        <v>Error?</v>
      </c>
    </row>
    <row r="850" spans="1:4" x14ac:dyDescent="0.2">
      <c r="A850" s="5">
        <v>789</v>
      </c>
      <c r="B850" s="138">
        <f>'Expenditures 15-22'!E53</f>
        <v>415169</v>
      </c>
      <c r="C850" s="2" t="s">
        <v>573</v>
      </c>
      <c r="D850" s="2" t="str">
        <f t="shared" si="12"/>
        <v>Error?</v>
      </c>
    </row>
    <row r="851" spans="1:4" x14ac:dyDescent="0.2">
      <c r="A851" s="5">
        <v>790</v>
      </c>
      <c r="B851" s="138">
        <f>'Expenditures 15-22'!E55</f>
        <v>290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290</v>
      </c>
      <c r="C853" s="2" t="s">
        <v>573</v>
      </c>
      <c r="D853" s="2" t="str">
        <f t="shared" si="12"/>
        <v>Error?</v>
      </c>
    </row>
    <row r="854" spans="1:4" x14ac:dyDescent="0.2">
      <c r="A854" s="5">
        <v>793</v>
      </c>
      <c r="B854" s="138">
        <f>'Expenditures 15-22'!E59</f>
        <v>20760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4518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25278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630</v>
      </c>
      <c r="D870" s="2" t="str">
        <f t="shared" si="12"/>
        <v>Error?</v>
      </c>
    </row>
    <row r="871" spans="1:4" x14ac:dyDescent="0.2">
      <c r="A871" s="5">
        <v>810</v>
      </c>
      <c r="B871" s="138">
        <f>'Expenditures 15-22'!E74</f>
        <v>874128</v>
      </c>
      <c r="C871" s="2" t="s">
        <v>573</v>
      </c>
      <c r="D871" s="2" t="str">
        <f t="shared" si="12"/>
        <v>Error?</v>
      </c>
    </row>
    <row r="872" spans="1:4" x14ac:dyDescent="0.2">
      <c r="A872" s="5">
        <v>811</v>
      </c>
      <c r="B872" s="138">
        <f>'Expenditures 15-22'!E75</f>
        <v>60793</v>
      </c>
      <c r="D872" s="2" t="str">
        <f t="shared" si="12"/>
        <v>Error?</v>
      </c>
    </row>
    <row r="873" spans="1:4" x14ac:dyDescent="0.2">
      <c r="A873" s="5">
        <v>812</v>
      </c>
      <c r="B873" s="138">
        <f>'Expenditures 15-22'!E114</f>
        <v>1591428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352299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29402</v>
      </c>
      <c r="D891" s="2" t="str">
        <f t="shared" si="12"/>
        <v>Error?</v>
      </c>
    </row>
    <row r="892" spans="1:4" x14ac:dyDescent="0.2">
      <c r="A892" s="5">
        <v>831</v>
      </c>
      <c r="B892" s="138">
        <f>'Expenditures 15-22'!F14</f>
        <v>53715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464766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2903</v>
      </c>
      <c r="D896" s="2" t="str">
        <f t="shared" si="13"/>
        <v>Error?</v>
      </c>
    </row>
    <row r="897" spans="1:4" x14ac:dyDescent="0.2">
      <c r="A897" s="5">
        <v>836</v>
      </c>
      <c r="B897" s="138">
        <f>'Expenditures 15-22'!F38</f>
        <v>2390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5293</v>
      </c>
      <c r="C901" s="2" t="s">
        <v>573</v>
      </c>
      <c r="D901" s="2" t="str">
        <f t="shared" si="13"/>
        <v>Error?</v>
      </c>
    </row>
    <row r="902" spans="1:4" x14ac:dyDescent="0.2">
      <c r="A902" s="5">
        <v>841</v>
      </c>
      <c r="B902" s="138">
        <f>'Expenditures 15-22'!F44</f>
        <v>16081</v>
      </c>
      <c r="D902" s="2" t="str">
        <f t="shared" si="13"/>
        <v>Error?</v>
      </c>
    </row>
    <row r="903" spans="1:4" x14ac:dyDescent="0.2">
      <c r="A903" s="5">
        <v>842</v>
      </c>
      <c r="B903" s="138">
        <f>'Expenditures 15-22'!F45</f>
        <v>122648</v>
      </c>
      <c r="D903" s="2" t="str">
        <f t="shared" si="13"/>
        <v>Error?</v>
      </c>
    </row>
    <row r="904" spans="1:4" x14ac:dyDescent="0.2">
      <c r="A904" s="5">
        <v>843</v>
      </c>
      <c r="B904" s="138">
        <f>'Expenditures 15-22'!F46</f>
        <v>3950</v>
      </c>
      <c r="D904" s="2" t="str">
        <f t="shared" si="13"/>
        <v>Error?</v>
      </c>
    </row>
    <row r="905" spans="1:4" x14ac:dyDescent="0.2">
      <c r="A905" s="5">
        <v>844</v>
      </c>
      <c r="B905" s="138">
        <f>'Expenditures 15-22'!F47</f>
        <v>142679</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9413</v>
      </c>
      <c r="D907" s="2" t="str">
        <f t="shared" si="13"/>
        <v>Error?</v>
      </c>
    </row>
    <row r="908" spans="1:4" x14ac:dyDescent="0.2">
      <c r="A908" s="5">
        <v>847</v>
      </c>
      <c r="B908" s="138">
        <f>'Expenditures 15-22'!F53</f>
        <v>9413</v>
      </c>
      <c r="C908" s="2" t="s">
        <v>573</v>
      </c>
      <c r="D908" s="2" t="str">
        <f t="shared" si="13"/>
        <v>Error?</v>
      </c>
    </row>
    <row r="909" spans="1:4" x14ac:dyDescent="0.2">
      <c r="A909" s="5">
        <v>848</v>
      </c>
      <c r="B909" s="138">
        <f>'Expenditures 15-22'!F55</f>
        <v>20181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20181</v>
      </c>
      <c r="C911" s="2" t="s">
        <v>573</v>
      </c>
      <c r="D911" s="2" t="str">
        <f t="shared" si="13"/>
        <v>Error?</v>
      </c>
    </row>
    <row r="912" spans="1:4" x14ac:dyDescent="0.2">
      <c r="A912" s="5">
        <v>851</v>
      </c>
      <c r="B912" s="138">
        <f>'Expenditures 15-22'!F59</f>
        <v>6297</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297467</v>
      </c>
      <c r="D916" s="2" t="str">
        <f t="shared" si="13"/>
        <v>Error?</v>
      </c>
    </row>
    <row r="917" spans="1:4" x14ac:dyDescent="0.2">
      <c r="A917" s="5">
        <v>856</v>
      </c>
      <c r="B917" s="138">
        <f>'Expenditures 15-22'!F64</f>
        <v>60964</v>
      </c>
      <c r="D917" s="2" t="str">
        <f t="shared" si="13"/>
        <v>Error?</v>
      </c>
    </row>
    <row r="918" spans="1:4" x14ac:dyDescent="0.2">
      <c r="A918" s="10">
        <v>857</v>
      </c>
      <c r="D918" s="2" t="str">
        <f t="shared" si="13"/>
        <v>OK</v>
      </c>
    </row>
    <row r="919" spans="1:4" x14ac:dyDescent="0.2">
      <c r="A919" s="5">
        <v>858</v>
      </c>
      <c r="B919" s="138">
        <f>'Expenditures 15-22'!F65</f>
        <v>364728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572</v>
      </c>
      <c r="D928" s="2" t="str">
        <f t="shared" si="13"/>
        <v>Error?</v>
      </c>
    </row>
    <row r="929" spans="1:4" x14ac:dyDescent="0.2">
      <c r="A929" s="5">
        <v>868</v>
      </c>
      <c r="B929" s="138">
        <f>'Expenditures 15-22'!F74</f>
        <v>542866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1007632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7388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7388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7388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1687018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697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697</v>
      </c>
      <c r="C1021" s="2" t="s">
        <v>573</v>
      </c>
      <c r="D1021" s="2" t="str">
        <f t="shared" si="14"/>
        <v>Error?</v>
      </c>
    </row>
    <row r="1022" spans="1:4" x14ac:dyDescent="0.2">
      <c r="A1022" s="5">
        <v>961</v>
      </c>
      <c r="B1022" s="138">
        <f>'Expenditures 15-22'!H49</f>
        <v>4928</v>
      </c>
      <c r="D1022" s="2" t="str">
        <f t="shared" si="14"/>
        <v>Error?</v>
      </c>
    </row>
    <row r="1023" spans="1:4" x14ac:dyDescent="0.2">
      <c r="A1023" s="5">
        <v>962</v>
      </c>
      <c r="B1023" s="138">
        <f>'Expenditures 15-22'!H50</f>
        <v>1545</v>
      </c>
      <c r="D1023" s="2" t="str">
        <f t="shared" ref="D1023:D1086" si="15">IF(ISBLANK(B1023),"OK",IF(A1023-B1023=0,"OK","Error?"))</f>
        <v>Error?</v>
      </c>
    </row>
    <row r="1024" spans="1:4" x14ac:dyDescent="0.2">
      <c r="A1024" s="5">
        <v>963</v>
      </c>
      <c r="B1024" s="138">
        <f>'Expenditures 15-22'!H53</f>
        <v>6473</v>
      </c>
      <c r="C1024" s="2" t="s">
        <v>573</v>
      </c>
      <c r="D1024" s="2" t="str">
        <f t="shared" si="15"/>
        <v>Error?</v>
      </c>
    </row>
    <row r="1025" spans="1:4" x14ac:dyDescent="0.2">
      <c r="A1025" s="5">
        <v>964</v>
      </c>
      <c r="B1025" s="138">
        <f>'Expenditures 15-22'!H55</f>
        <v>4317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4317</v>
      </c>
      <c r="C1027" s="2" t="s">
        <v>573</v>
      </c>
      <c r="D1027" s="2" t="str">
        <f t="shared" si="15"/>
        <v>Error?</v>
      </c>
    </row>
    <row r="1028" spans="1:4" x14ac:dyDescent="0.2">
      <c r="A1028" s="5">
        <v>967</v>
      </c>
      <c r="B1028" s="138">
        <f>'Expenditures 15-22'!H59</f>
        <v>8388</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8388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19875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302474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2009367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11550746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110896</v>
      </c>
      <c r="C1105" s="2" t="s">
        <v>573</v>
      </c>
      <c r="D1105" s="2" t="str">
        <f t="shared" si="16"/>
        <v>Error?</v>
      </c>
    </row>
    <row r="1106" spans="1:4" x14ac:dyDescent="0.2">
      <c r="A1106" s="5">
        <v>1045</v>
      </c>
      <c r="B1106" s="138">
        <f>'Expenditures 15-22'!K14</f>
        <v>848568</v>
      </c>
      <c r="C1106" s="2" t="s">
        <v>573</v>
      </c>
      <c r="D1106" s="2" t="str">
        <f t="shared" si="16"/>
        <v>Error?</v>
      </c>
    </row>
    <row r="1107" spans="1:4" x14ac:dyDescent="0.2">
      <c r="A1107" s="5">
        <v>1046</v>
      </c>
      <c r="B1107" s="138">
        <f>'Expenditures 15-22'!K15</f>
        <v>68783</v>
      </c>
      <c r="C1107" s="2" t="s">
        <v>573</v>
      </c>
      <c r="D1107" s="2" t="str">
        <f t="shared" si="16"/>
        <v>Error?</v>
      </c>
    </row>
    <row r="1108" spans="1:4" x14ac:dyDescent="0.2">
      <c r="A1108" s="5">
        <v>1047</v>
      </c>
      <c r="B1108" s="138">
        <f>'Expenditures 15-22'!K33</f>
        <v>18153107</v>
      </c>
      <c r="C1108" s="2" t="s">
        <v>573</v>
      </c>
      <c r="D1108" s="2" t="str">
        <f t="shared" si="16"/>
        <v>Error?</v>
      </c>
    </row>
    <row r="1109" spans="1:4" x14ac:dyDescent="0.2">
      <c r="A1109" s="5">
        <v>1048</v>
      </c>
      <c r="B1109" s="138">
        <f>'Expenditures 15-22'!K36</f>
        <v>308322</v>
      </c>
      <c r="C1109" s="2" t="s">
        <v>573</v>
      </c>
      <c r="D1109" s="2" t="str">
        <f t="shared" si="16"/>
        <v>Error?</v>
      </c>
    </row>
    <row r="1110" spans="1:4" x14ac:dyDescent="0.2">
      <c r="A1110" s="5">
        <v>1049</v>
      </c>
      <c r="B1110" s="138">
        <f>'Expenditures 15-22'!K37</f>
        <v>752697</v>
      </c>
      <c r="C1110" s="2" t="s">
        <v>573</v>
      </c>
      <c r="D1110" s="2" t="str">
        <f t="shared" si="16"/>
        <v>Error?</v>
      </c>
    </row>
    <row r="1111" spans="1:4" x14ac:dyDescent="0.2">
      <c r="A1111" s="5">
        <v>1050</v>
      </c>
      <c r="B1111" s="138">
        <f>'Expenditures 15-22'!K38</f>
        <v>128540</v>
      </c>
      <c r="C1111" s="2" t="s">
        <v>573</v>
      </c>
      <c r="D1111" s="2" t="str">
        <f t="shared" si="16"/>
        <v>Error?</v>
      </c>
    </row>
    <row r="1112" spans="1:4" x14ac:dyDescent="0.2">
      <c r="A1112" s="5">
        <v>1051</v>
      </c>
      <c r="B1112" s="138">
        <f>'Expenditures 15-22'!K39</f>
        <v>277074</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142809</v>
      </c>
      <c r="C1114" s="2" t="s">
        <v>573</v>
      </c>
      <c r="D1114" s="2" t="str">
        <f t="shared" si="16"/>
        <v>Error?</v>
      </c>
    </row>
    <row r="1115" spans="1:4" x14ac:dyDescent="0.2">
      <c r="A1115" s="5">
        <v>1054</v>
      </c>
      <c r="B1115" s="138">
        <f>'Expenditures 15-22'!K42</f>
        <v>1609442</v>
      </c>
      <c r="C1115" s="2" t="s">
        <v>573</v>
      </c>
      <c r="D1115" s="2" t="str">
        <f t="shared" si="16"/>
        <v>Error?</v>
      </c>
    </row>
    <row r="1116" spans="1:4" x14ac:dyDescent="0.2">
      <c r="A1116" s="5">
        <v>1055</v>
      </c>
      <c r="B1116" s="138">
        <f>'Expenditures 15-22'!K44</f>
        <v>861861</v>
      </c>
      <c r="C1116" s="2" t="s">
        <v>573</v>
      </c>
      <c r="D1116" s="2" t="str">
        <f t="shared" si="16"/>
        <v>Error?</v>
      </c>
    </row>
    <row r="1117" spans="1:4" x14ac:dyDescent="0.2">
      <c r="A1117" s="5">
        <v>1056</v>
      </c>
      <c r="B1117" s="138">
        <f>'Expenditures 15-22'!K45</f>
        <v>1502913</v>
      </c>
      <c r="C1117" s="2" t="s">
        <v>573</v>
      </c>
      <c r="D1117" s="2" t="str">
        <f t="shared" si="16"/>
        <v>Error?</v>
      </c>
    </row>
    <row r="1118" spans="1:4" x14ac:dyDescent="0.2">
      <c r="A1118" s="5">
        <v>1057</v>
      </c>
      <c r="B1118" s="138">
        <f>'Expenditures 15-22'!K46</f>
        <v>7066</v>
      </c>
      <c r="C1118" s="2" t="s">
        <v>573</v>
      </c>
      <c r="D1118" s="2" t="str">
        <f t="shared" si="16"/>
        <v>Error?</v>
      </c>
    </row>
    <row r="1119" spans="1:4" x14ac:dyDescent="0.2">
      <c r="A1119" s="5">
        <v>1058</v>
      </c>
      <c r="B1119" s="138">
        <f>'Expenditures 15-22'!K47</f>
        <v>2371840</v>
      </c>
      <c r="C1119" s="2" t="s">
        <v>573</v>
      </c>
      <c r="D1119" s="2" t="str">
        <f t="shared" si="16"/>
        <v>Error?</v>
      </c>
    </row>
    <row r="1120" spans="1:4" x14ac:dyDescent="0.2">
      <c r="A1120" s="5">
        <v>1059</v>
      </c>
      <c r="B1120" s="138">
        <f>'Expenditures 15-22'!K49</f>
        <v>405004</v>
      </c>
      <c r="C1120" s="2" t="s">
        <v>573</v>
      </c>
      <c r="D1120" s="2" t="str">
        <f t="shared" si="16"/>
        <v>Error?</v>
      </c>
    </row>
    <row r="1121" spans="1:4" x14ac:dyDescent="0.2">
      <c r="A1121" s="5">
        <v>1060</v>
      </c>
      <c r="B1121" s="138">
        <f>'Expenditures 15-22'!K50</f>
        <v>532885</v>
      </c>
      <c r="C1121" s="2" t="s">
        <v>573</v>
      </c>
      <c r="D1121" s="2" t="str">
        <f t="shared" si="16"/>
        <v>Error?</v>
      </c>
    </row>
    <row r="1122" spans="1:4" x14ac:dyDescent="0.2">
      <c r="A1122" s="5">
        <v>1061</v>
      </c>
      <c r="B1122" s="138">
        <f>'Expenditures 15-22'!K53</f>
        <v>937889</v>
      </c>
      <c r="C1122" s="2" t="s">
        <v>573</v>
      </c>
      <c r="D1122" s="2" t="str">
        <f t="shared" si="16"/>
        <v>Error?</v>
      </c>
    </row>
    <row r="1123" spans="1:4" x14ac:dyDescent="0.2">
      <c r="A1123" s="5">
        <v>1062</v>
      </c>
      <c r="B1123" s="138">
        <f>'Expenditures 15-22'!K55</f>
        <v>1474808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1474808</v>
      </c>
      <c r="C1125" s="2" t="s">
        <v>573</v>
      </c>
      <c r="D1125" s="2" t="str">
        <f t="shared" si="16"/>
        <v>Error?</v>
      </c>
    </row>
    <row r="1126" spans="1:4" x14ac:dyDescent="0.2">
      <c r="A1126" s="5">
        <v>1065</v>
      </c>
      <c r="B1126" s="138">
        <f>'Expenditures 15-22'!K59</f>
        <v>235798</v>
      </c>
      <c r="C1126" s="2" t="s">
        <v>573</v>
      </c>
      <c r="D1126" s="2" t="str">
        <f t="shared" si="16"/>
        <v>Error?</v>
      </c>
    </row>
    <row r="1127" spans="1:4" x14ac:dyDescent="0.2">
      <c r="A1127" s="5">
        <v>1066</v>
      </c>
      <c r="B1127" s="138">
        <f>'Expenditures 15-22'!K60</f>
        <v>164543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550180</v>
      </c>
      <c r="C1130" s="2" t="s">
        <v>573</v>
      </c>
      <c r="D1130" s="2" t="str">
        <f t="shared" si="16"/>
        <v>Error?</v>
      </c>
    </row>
    <row r="1131" spans="1:4" x14ac:dyDescent="0.2">
      <c r="A1131" s="5">
        <v>1070</v>
      </c>
      <c r="B1131" s="138">
        <f>'Expenditures 15-22'!K64</f>
        <v>74536</v>
      </c>
      <c r="C1131" s="2" t="s">
        <v>573</v>
      </c>
      <c r="D1131" s="2" t="str">
        <f t="shared" si="16"/>
        <v>Error?</v>
      </c>
    </row>
    <row r="1132" spans="1:4" x14ac:dyDescent="0.2">
      <c r="A1132" s="10">
        <v>1071</v>
      </c>
      <c r="D1132" s="2" t="str">
        <f t="shared" si="16"/>
        <v>OK</v>
      </c>
    </row>
    <row r="1133" spans="1:4" x14ac:dyDescent="0.2">
      <c r="A1133" s="5">
        <v>1072</v>
      </c>
      <c r="B1133" s="138">
        <f>'Expenditures 15-22'!K65</f>
        <v>1025057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1202</v>
      </c>
      <c r="C1142" s="2" t="s">
        <v>573</v>
      </c>
      <c r="D1142" s="2" t="str">
        <f t="shared" si="16"/>
        <v>Error?</v>
      </c>
    </row>
    <row r="1143" spans="1:4" x14ac:dyDescent="0.2">
      <c r="A1143" s="5">
        <v>1082</v>
      </c>
      <c r="B1143" s="138">
        <f>'Expenditures 15-22'!K74</f>
        <v>7420238</v>
      </c>
      <c r="C1143" s="2" t="s">
        <v>573</v>
      </c>
      <c r="D1143" s="2" t="str">
        <f t="shared" si="16"/>
        <v>Error?</v>
      </c>
    </row>
    <row r="1144" spans="1:4" x14ac:dyDescent="0.2">
      <c r="A1144" s="5">
        <v>1083</v>
      </c>
      <c r="B1144" s="138">
        <f>'Expenditures 15-22'!K75</f>
        <v>214063</v>
      </c>
      <c r="C1144" s="2" t="s">
        <v>573</v>
      </c>
      <c r="D1144" s="2" t="str">
        <f t="shared" si="16"/>
        <v>Error?</v>
      </c>
    </row>
    <row r="1145" spans="1:4" x14ac:dyDescent="0.2">
      <c r="A1145" s="5">
        <v>1084</v>
      </c>
      <c r="B1145" s="138">
        <f>'Expenditures 15-22'!K102</f>
        <v>593099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26380507</v>
      </c>
      <c r="C1152" s="2" t="s">
        <v>573</v>
      </c>
      <c r="D1152" s="2" t="str">
        <f t="shared" si="17"/>
        <v>Error?</v>
      </c>
    </row>
    <row r="1153" spans="1:4" x14ac:dyDescent="0.2">
      <c r="A1153" s="5">
        <v>1092</v>
      </c>
      <c r="B1153" s="138">
        <f>'Expenditures 15-22'!K115</f>
        <v>2665740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707909</v>
      </c>
      <c r="D1221" s="2" t="str">
        <f t="shared" si="18"/>
        <v>Error?</v>
      </c>
    </row>
    <row r="1222" spans="1:4" x14ac:dyDescent="0.2">
      <c r="A1222" s="10">
        <v>1161</v>
      </c>
      <c r="D1222" s="2" t="str">
        <f t="shared" si="18"/>
        <v>OK</v>
      </c>
    </row>
    <row r="1223" spans="1:4" x14ac:dyDescent="0.2">
      <c r="A1223" s="5">
        <v>1162</v>
      </c>
      <c r="B1223" s="138">
        <f>'Expenditures 15-22'!C127</f>
        <v>707909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707909</v>
      </c>
      <c r="C1225" s="2" t="s">
        <v>573</v>
      </c>
      <c r="D1225" s="2" t="str">
        <f t="shared" si="18"/>
        <v>Error?</v>
      </c>
    </row>
    <row r="1226" spans="1:4" x14ac:dyDescent="0.2">
      <c r="A1226" s="5">
        <v>1165</v>
      </c>
      <c r="B1226" s="138">
        <f>'Expenditures 15-22'!C151</f>
        <v>707909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119286</v>
      </c>
      <c r="D1229" s="2" t="str">
        <f t="shared" si="18"/>
        <v>Error?</v>
      </c>
    </row>
    <row r="1230" spans="1:4" x14ac:dyDescent="0.2">
      <c r="A1230" s="10">
        <v>1169</v>
      </c>
      <c r="D1230" s="2" t="str">
        <f t="shared" si="18"/>
        <v>OK</v>
      </c>
    </row>
    <row r="1231" spans="1:4" x14ac:dyDescent="0.2">
      <c r="A1231" s="5">
        <v>1170</v>
      </c>
      <c r="B1231" s="138">
        <f>'Expenditures 15-22'!D127</f>
        <v>119286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119286</v>
      </c>
      <c r="C1233" s="2" t="s">
        <v>573</v>
      </c>
      <c r="D1233" s="2" t="str">
        <f t="shared" si="18"/>
        <v>Error?</v>
      </c>
    </row>
    <row r="1234" spans="1:4" x14ac:dyDescent="0.2">
      <c r="A1234" s="5">
        <v>1173</v>
      </c>
      <c r="B1234" s="138">
        <f>'Expenditures 15-22'!D151</f>
        <v>119286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1500</v>
      </c>
      <c r="D1236" s="2" t="str">
        <f t="shared" si="18"/>
        <v>Error?</v>
      </c>
    </row>
    <row r="1237" spans="1:4" x14ac:dyDescent="0.2">
      <c r="A1237" s="5">
        <v>1176</v>
      </c>
      <c r="B1237" s="138">
        <f>'Expenditures 15-22'!E124</f>
        <v>1621665</v>
      </c>
      <c r="D1237" s="2" t="str">
        <f t="shared" si="18"/>
        <v>Error?</v>
      </c>
    </row>
    <row r="1238" spans="1:4" x14ac:dyDescent="0.2">
      <c r="A1238" s="10">
        <v>1177</v>
      </c>
      <c r="D1238" s="2" t="str">
        <f t="shared" si="18"/>
        <v>OK</v>
      </c>
    </row>
    <row r="1239" spans="1:4" x14ac:dyDescent="0.2">
      <c r="A1239" s="5">
        <v>1178</v>
      </c>
      <c r="B1239" s="138">
        <f>'Expenditures 15-22'!E127</f>
        <v>1623165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1623165</v>
      </c>
      <c r="C1241" s="2" t="s">
        <v>573</v>
      </c>
      <c r="D1241" s="2" t="str">
        <f t="shared" si="18"/>
        <v>Error?</v>
      </c>
    </row>
    <row r="1242" spans="1:4" x14ac:dyDescent="0.2">
      <c r="A1242" s="5">
        <v>1181</v>
      </c>
      <c r="B1242" s="138">
        <f>'Expenditures 15-22'!E151</f>
        <v>1623165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970073</v>
      </c>
      <c r="D1245" s="2" t="str">
        <f t="shared" si="18"/>
        <v>Error?</v>
      </c>
    </row>
    <row r="1246" spans="1:4" x14ac:dyDescent="0.2">
      <c r="A1246" s="10">
        <v>1185</v>
      </c>
      <c r="D1246" s="2" t="str">
        <f t="shared" si="18"/>
        <v>OK</v>
      </c>
    </row>
    <row r="1247" spans="1:4" x14ac:dyDescent="0.2">
      <c r="A1247" s="5">
        <v>1186</v>
      </c>
      <c r="B1247" s="138">
        <f>'Expenditures 15-22'!F127</f>
        <v>970073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970073</v>
      </c>
      <c r="C1249" s="2" t="s">
        <v>573</v>
      </c>
      <c r="D1249" s="2" t="str">
        <f t="shared" si="18"/>
        <v>Error?</v>
      </c>
    </row>
    <row r="1250" spans="1:4" x14ac:dyDescent="0.2">
      <c r="A1250" s="5">
        <v>1189</v>
      </c>
      <c r="B1250" s="138">
        <f>'Expenditures 15-22'!F151</f>
        <v>970073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829409</v>
      </c>
      <c r="D1252" s="2" t="str">
        <f t="shared" si="18"/>
        <v>Error?</v>
      </c>
    </row>
    <row r="1253" spans="1:4" x14ac:dyDescent="0.2">
      <c r="A1253" s="5">
        <v>1192</v>
      </c>
      <c r="B1253" s="138">
        <f>'Expenditures 15-22'!G124</f>
        <v>56959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886368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886368</v>
      </c>
      <c r="C1258" s="2" t="s">
        <v>573</v>
      </c>
      <c r="D1258" s="2" t="str">
        <f t="shared" si="18"/>
        <v>Error?</v>
      </c>
    </row>
    <row r="1259" spans="1:4" x14ac:dyDescent="0.2">
      <c r="A1259" s="5">
        <v>1198</v>
      </c>
      <c r="B1259" s="138">
        <f>'Expenditures 15-22'!G151</f>
        <v>886368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830909</v>
      </c>
      <c r="C1275" s="2" t="s">
        <v>573</v>
      </c>
      <c r="D1275" s="2" t="str">
        <f t="shared" si="18"/>
        <v>Error?</v>
      </c>
    </row>
    <row r="1276" spans="1:4" x14ac:dyDescent="0.2">
      <c r="A1276" s="5">
        <v>1215</v>
      </c>
      <c r="B1276" s="138">
        <f>'Expenditures 15-22'!K124</f>
        <v>3580210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4411119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4411119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4411119</v>
      </c>
      <c r="C1288" s="2" t="s">
        <v>573</v>
      </c>
      <c r="D1288" s="2" t="str">
        <f t="shared" si="19"/>
        <v>Error?</v>
      </c>
    </row>
    <row r="1289" spans="1:4" x14ac:dyDescent="0.2">
      <c r="A1289" s="5">
        <v>1228</v>
      </c>
      <c r="B1289" s="138">
        <f>'Expenditures 15-22'!K152</f>
        <v>-1854222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181000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4385000</v>
      </c>
      <c r="D1315" s="2" t="str">
        <f t="shared" si="19"/>
        <v>Error?</v>
      </c>
    </row>
    <row r="1316" spans="1:4" x14ac:dyDescent="0.2">
      <c r="A1316" s="5">
        <v>1255</v>
      </c>
      <c r="B1316" s="138">
        <f>'Expenditures 15-22'!H171</f>
        <v>520607</v>
      </c>
      <c r="D1316" s="2" t="str">
        <f t="shared" si="19"/>
        <v>Error?</v>
      </c>
    </row>
    <row r="1317" spans="1:4" x14ac:dyDescent="0.2">
      <c r="A1317" s="5">
        <v>1256</v>
      </c>
      <c r="B1317" s="138">
        <f>'Expenditures 15-22'!H172</f>
        <v>5086607</v>
      </c>
      <c r="C1317" s="2" t="s">
        <v>573</v>
      </c>
      <c r="D1317" s="2" t="str">
        <f t="shared" si="19"/>
        <v>Error?</v>
      </c>
    </row>
    <row r="1318" spans="1:4" x14ac:dyDescent="0.2">
      <c r="A1318" s="5">
        <v>1257</v>
      </c>
      <c r="B1318" s="138">
        <f>'Expenditures 15-22'!H174</f>
        <v>5086607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181000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4385000</v>
      </c>
      <c r="C1329" s="2" t="s">
        <v>573</v>
      </c>
      <c r="D1329" s="2" t="str">
        <f t="shared" si="19"/>
        <v>Error?</v>
      </c>
    </row>
    <row r="1330" spans="1:4" x14ac:dyDescent="0.2">
      <c r="A1330" s="5">
        <v>1269</v>
      </c>
      <c r="B1330" s="138">
        <f>'Expenditures 15-22'!K171</f>
        <v>520607</v>
      </c>
      <c r="C1330" s="2" t="s">
        <v>573</v>
      </c>
      <c r="D1330" s="2" t="str">
        <f t="shared" si="19"/>
        <v>Error?</v>
      </c>
    </row>
    <row r="1331" spans="1:4" x14ac:dyDescent="0.2">
      <c r="A1331" s="5">
        <v>1270</v>
      </c>
      <c r="B1331" s="138">
        <f>'Expenditures 15-22'!K172</f>
        <v>5086607</v>
      </c>
      <c r="C1331" s="2" t="s">
        <v>573</v>
      </c>
      <c r="D1331" s="2" t="str">
        <f t="shared" si="19"/>
        <v>Error?</v>
      </c>
    </row>
    <row r="1332" spans="1:4" x14ac:dyDescent="0.2">
      <c r="A1332" s="5">
        <v>1271</v>
      </c>
      <c r="B1332" s="138">
        <f>'Expenditures 15-22'!K174</f>
        <v>5086607</v>
      </c>
      <c r="C1332" s="2" t="s">
        <v>573</v>
      </c>
      <c r="D1332" s="2" t="str">
        <f t="shared" si="19"/>
        <v>Error?</v>
      </c>
    </row>
    <row r="1333" spans="1:4" x14ac:dyDescent="0.2">
      <c r="A1333" s="5">
        <v>1272</v>
      </c>
      <c r="B1333" s="138">
        <f>'Expenditures 15-22'!K175</f>
        <v>-498850</v>
      </c>
      <c r="C1333" s="2" t="s">
        <v>573</v>
      </c>
      <c r="D1333" s="2" t="str">
        <f t="shared" si="19"/>
        <v>Error?</v>
      </c>
    </row>
    <row r="1334" spans="1:4" x14ac:dyDescent="0.2">
      <c r="A1334" s="10">
        <v>1273</v>
      </c>
      <c r="D1334" s="2" t="str">
        <f t="shared" si="19"/>
        <v>OK</v>
      </c>
    </row>
    <row r="1335" spans="1:4" x14ac:dyDescent="0.2">
      <c r="A1335" s="5">
        <v>1274</v>
      </c>
      <c r="B1335" s="138">
        <f>'Expenditures 15-22'!C182</f>
        <v>726806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726806</v>
      </c>
      <c r="C1339" s="2" t="s">
        <v>573</v>
      </c>
      <c r="D1339" s="2" t="str">
        <f t="shared" si="19"/>
        <v>Error?</v>
      </c>
    </row>
    <row r="1340" spans="1:4" x14ac:dyDescent="0.2">
      <c r="A1340" s="5">
        <v>1279</v>
      </c>
      <c r="B1340" s="138">
        <f>'Expenditures 15-22'!C210</f>
        <v>726806</v>
      </c>
      <c r="C1340" s="2" t="s">
        <v>573</v>
      </c>
      <c r="D1340" s="2" t="str">
        <f t="shared" si="19"/>
        <v>Error?</v>
      </c>
    </row>
    <row r="1341" spans="1:4" x14ac:dyDescent="0.2">
      <c r="A1341" s="5">
        <v>1280</v>
      </c>
      <c r="B1341" s="138">
        <f>'Expenditures 15-22'!D182</f>
        <v>25153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25153</v>
      </c>
      <c r="C1345" s="2" t="s">
        <v>573</v>
      </c>
      <c r="D1345" s="2" t="str">
        <f t="shared" si="20"/>
        <v>Error?</v>
      </c>
    </row>
    <row r="1346" spans="1:4" x14ac:dyDescent="0.2">
      <c r="A1346" s="5">
        <v>1285</v>
      </c>
      <c r="B1346" s="138">
        <f>'Expenditures 15-22'!D210</f>
        <v>25153</v>
      </c>
      <c r="C1346" s="2" t="s">
        <v>573</v>
      </c>
      <c r="D1346" s="2" t="str">
        <f t="shared" si="20"/>
        <v>Error?</v>
      </c>
    </row>
    <row r="1347" spans="1:4" x14ac:dyDescent="0.2">
      <c r="A1347" s="5">
        <v>1286</v>
      </c>
      <c r="B1347" s="138">
        <f>'Expenditures 15-22'!E182</f>
        <v>558904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558904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558904</v>
      </c>
      <c r="C1353" s="2" t="s">
        <v>573</v>
      </c>
      <c r="D1353" s="2" t="str">
        <f t="shared" si="20"/>
        <v>Error?</v>
      </c>
    </row>
    <row r="1354" spans="1:4" x14ac:dyDescent="0.2">
      <c r="A1354" s="5">
        <v>1293</v>
      </c>
      <c r="B1354" s="138">
        <f>'Expenditures 15-22'!F182</f>
        <v>110246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110246</v>
      </c>
      <c r="C1358" s="2" t="s">
        <v>573</v>
      </c>
      <c r="D1358" s="2" t="str">
        <f t="shared" si="20"/>
        <v>Error?</v>
      </c>
    </row>
    <row r="1359" spans="1:4" x14ac:dyDescent="0.2">
      <c r="A1359" s="5">
        <v>1298</v>
      </c>
      <c r="B1359" s="138">
        <f>'Expenditures 15-22'!F210</f>
        <v>110246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1421481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1421481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1421481</v>
      </c>
      <c r="C1388" s="2" t="s">
        <v>573</v>
      </c>
      <c r="D1388" s="2" t="str">
        <f t="shared" si="20"/>
        <v>Error?</v>
      </c>
    </row>
    <row r="1389" spans="1:4" x14ac:dyDescent="0.2">
      <c r="A1389" s="5">
        <v>1328</v>
      </c>
      <c r="B1389" s="138">
        <f>'Expenditures 15-22'!K211</f>
        <v>-83038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610</v>
      </c>
      <c r="D1407" s="2" t="str">
        <f t="shared" ref="D1407:D1470" si="21">IF(ISBLANK(B1407),"OK",IF(A1407-B1407=0,"OK","Error?"))</f>
        <v>Error?</v>
      </c>
    </row>
    <row r="1408" spans="1:4" x14ac:dyDescent="0.2">
      <c r="A1408" s="5">
        <v>1347</v>
      </c>
      <c r="B1408" s="138">
        <f>'Expenditures 15-22'!D223</f>
        <v>23047</v>
      </c>
      <c r="D1408" s="2" t="str">
        <f t="shared" si="21"/>
        <v>Error?</v>
      </c>
    </row>
    <row r="1409" spans="1:4" x14ac:dyDescent="0.2">
      <c r="A1409" s="5">
        <v>1348</v>
      </c>
      <c r="B1409" s="138">
        <f>'Expenditures 15-22'!D224</f>
        <v>1639</v>
      </c>
      <c r="D1409" s="2" t="str">
        <f t="shared" si="21"/>
        <v>Error?</v>
      </c>
    </row>
    <row r="1410" spans="1:4" x14ac:dyDescent="0.2">
      <c r="A1410" s="5">
        <v>1349</v>
      </c>
      <c r="B1410" s="138">
        <f>'Expenditures 15-22'!D229</f>
        <v>295388</v>
      </c>
      <c r="C1410" s="2" t="s">
        <v>573</v>
      </c>
      <c r="D1410" s="2" t="str">
        <f t="shared" si="21"/>
        <v>Error?</v>
      </c>
    </row>
    <row r="1411" spans="1:4" x14ac:dyDescent="0.2">
      <c r="A1411" s="5">
        <v>1350</v>
      </c>
      <c r="B1411" s="138">
        <f>'Expenditures 15-22'!D232</f>
        <v>3947</v>
      </c>
      <c r="D1411" s="2" t="str">
        <f t="shared" si="21"/>
        <v>Error?</v>
      </c>
    </row>
    <row r="1412" spans="1:4" x14ac:dyDescent="0.2">
      <c r="A1412" s="5">
        <v>1351</v>
      </c>
      <c r="B1412" s="138">
        <f>'Expenditures 15-22'!D233</f>
        <v>13651</v>
      </c>
      <c r="D1412" s="2" t="str">
        <f t="shared" si="21"/>
        <v>Error?</v>
      </c>
    </row>
    <row r="1413" spans="1:4" x14ac:dyDescent="0.2">
      <c r="A1413" s="5">
        <v>1352</v>
      </c>
      <c r="B1413" s="138">
        <f>'Expenditures 15-22'!D234</f>
        <v>8774</v>
      </c>
      <c r="D1413" s="2" t="str">
        <f t="shared" si="21"/>
        <v>Error?</v>
      </c>
    </row>
    <row r="1414" spans="1:4" x14ac:dyDescent="0.2">
      <c r="A1414" s="5">
        <v>1353</v>
      </c>
      <c r="B1414" s="138">
        <f>'Expenditures 15-22'!D235</f>
        <v>3326</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23988</v>
      </c>
      <c r="D1416" s="2" t="str">
        <f t="shared" si="21"/>
        <v>Error?</v>
      </c>
    </row>
    <row r="1417" spans="1:4" x14ac:dyDescent="0.2">
      <c r="A1417" s="5">
        <v>1356</v>
      </c>
      <c r="B1417" s="138">
        <f>'Expenditures 15-22'!D238</f>
        <v>53686</v>
      </c>
      <c r="C1417" s="2" t="s">
        <v>573</v>
      </c>
      <c r="D1417" s="2" t="str">
        <f t="shared" si="21"/>
        <v>Error?</v>
      </c>
    </row>
    <row r="1418" spans="1:4" x14ac:dyDescent="0.2">
      <c r="A1418" s="5">
        <v>1357</v>
      </c>
      <c r="B1418" s="138">
        <f>'Expenditures 15-22'!D240</f>
        <v>10282</v>
      </c>
      <c r="D1418" s="2" t="str">
        <f t="shared" si="21"/>
        <v>Error?</v>
      </c>
    </row>
    <row r="1419" spans="1:4" x14ac:dyDescent="0.2">
      <c r="A1419" s="5">
        <v>1358</v>
      </c>
      <c r="B1419" s="138">
        <f>'Expenditures 15-22'!D241</f>
        <v>79938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90220</v>
      </c>
      <c r="C1421" s="2" t="s">
        <v>573</v>
      </c>
      <c r="D1421" s="2" t="str">
        <f t="shared" si="21"/>
        <v>Error?</v>
      </c>
    </row>
    <row r="1422" spans="1:4" x14ac:dyDescent="0.2">
      <c r="A1422" s="5">
        <v>1361</v>
      </c>
      <c r="B1422" s="138">
        <f>'Expenditures 15-22'!D245</f>
        <v>5595</v>
      </c>
      <c r="D1422" s="2" t="str">
        <f t="shared" si="21"/>
        <v>Error?</v>
      </c>
    </row>
    <row r="1423" spans="1:4" x14ac:dyDescent="0.2">
      <c r="A1423" s="5">
        <v>1362</v>
      </c>
      <c r="B1423" s="138">
        <f>'Expenditures 15-22'!D246</f>
        <v>19991</v>
      </c>
      <c r="D1423" s="2" t="str">
        <f t="shared" si="21"/>
        <v>Error?</v>
      </c>
    </row>
    <row r="1424" spans="1:4" x14ac:dyDescent="0.2">
      <c r="A1424" s="5">
        <v>1363</v>
      </c>
      <c r="B1424" s="138">
        <f>'Expenditures 15-22'!D257</f>
        <v>25586</v>
      </c>
      <c r="C1424" s="2" t="s">
        <v>573</v>
      </c>
      <c r="D1424" s="2" t="str">
        <f t="shared" si="21"/>
        <v>Error?</v>
      </c>
    </row>
    <row r="1425" spans="1:4" x14ac:dyDescent="0.2">
      <c r="A1425" s="5">
        <v>1364</v>
      </c>
      <c r="B1425" s="138">
        <f>'Expenditures 15-22'!D259</f>
        <v>77585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77585</v>
      </c>
      <c r="C1427" s="2" t="s">
        <v>573</v>
      </c>
      <c r="D1427" s="2" t="str">
        <f t="shared" si="21"/>
        <v>Error?</v>
      </c>
    </row>
    <row r="1428" spans="1:4" x14ac:dyDescent="0.2">
      <c r="A1428" s="5">
        <v>1367</v>
      </c>
      <c r="B1428" s="138">
        <f>'Expenditures 15-22'!D263</f>
        <v>2676</v>
      </c>
      <c r="D1428" s="2" t="str">
        <f t="shared" si="21"/>
        <v>Error?</v>
      </c>
    </row>
    <row r="1429" spans="1:4" x14ac:dyDescent="0.2">
      <c r="A1429" s="5">
        <v>1368</v>
      </c>
      <c r="B1429" s="138">
        <f>'Expenditures 15-22'!D264</f>
        <v>24802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115578</v>
      </c>
      <c r="D1431" s="2" t="str">
        <f t="shared" si="21"/>
        <v>Error?</v>
      </c>
    </row>
    <row r="1432" spans="1:4" x14ac:dyDescent="0.2">
      <c r="A1432" s="5">
        <v>1371</v>
      </c>
      <c r="B1432" s="138">
        <f>'Expenditures 15-22'!D267</f>
        <v>120811</v>
      </c>
      <c r="D1432" s="2" t="str">
        <f t="shared" si="21"/>
        <v>Error?</v>
      </c>
    </row>
    <row r="1433" spans="1:4" x14ac:dyDescent="0.2">
      <c r="A1433" s="5">
        <v>1372</v>
      </c>
      <c r="B1433" s="138">
        <f>'Expenditures 15-22'!D268</f>
        <v>35700</v>
      </c>
      <c r="D1433" s="2" t="str">
        <f t="shared" si="21"/>
        <v>Error?</v>
      </c>
    </row>
    <row r="1434" spans="1:4" x14ac:dyDescent="0.2">
      <c r="A1434" s="5">
        <v>1373</v>
      </c>
      <c r="B1434" s="138">
        <f>'Expenditures 15-22'!D269</f>
        <v>682</v>
      </c>
      <c r="D1434" s="2" t="str">
        <f t="shared" si="21"/>
        <v>Error?</v>
      </c>
    </row>
    <row r="1435" spans="1:4" x14ac:dyDescent="0.2">
      <c r="A1435" s="10">
        <v>1374</v>
      </c>
      <c r="D1435" s="2" t="str">
        <f t="shared" si="21"/>
        <v>OK</v>
      </c>
    </row>
    <row r="1436" spans="1:4" x14ac:dyDescent="0.2">
      <c r="A1436" s="5">
        <v>1375</v>
      </c>
      <c r="B1436" s="138">
        <f>'Expenditures 15-22'!D270</f>
        <v>300249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547326</v>
      </c>
      <c r="C1446" s="2" t="s">
        <v>573</v>
      </c>
      <c r="D1446" s="2" t="str">
        <f t="shared" si="21"/>
        <v>Error?</v>
      </c>
    </row>
    <row r="1447" spans="1:4" x14ac:dyDescent="0.2">
      <c r="A1447" s="5">
        <v>1386</v>
      </c>
      <c r="B1447" s="138">
        <f>'Expenditures 15-22'!D280</f>
        <v>17035</v>
      </c>
      <c r="D1447" s="2" t="str">
        <f t="shared" si="21"/>
        <v>Error?</v>
      </c>
    </row>
    <row r="1448" spans="1:4" x14ac:dyDescent="0.2">
      <c r="A1448" s="5">
        <v>1387</v>
      </c>
      <c r="B1448" s="138">
        <f>'Expenditures 15-22'!D295</f>
        <v>859749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610</v>
      </c>
      <c r="C1471" s="2" t="s">
        <v>573</v>
      </c>
      <c r="D1471" s="2" t="str">
        <f t="shared" ref="D1471:D1534" si="22">IF(ISBLANK(B1471),"OK",IF(A1471-B1471=0,"OK","Error?"))</f>
        <v>Error?</v>
      </c>
    </row>
    <row r="1472" spans="1:4" x14ac:dyDescent="0.2">
      <c r="A1472" s="5">
        <v>1411</v>
      </c>
      <c r="B1472" s="138">
        <f>'Expenditures 15-22'!K223</f>
        <v>23047</v>
      </c>
      <c r="C1472" s="2" t="s">
        <v>573</v>
      </c>
      <c r="D1472" s="2" t="str">
        <f t="shared" si="22"/>
        <v>Error?</v>
      </c>
    </row>
    <row r="1473" spans="1:4" x14ac:dyDescent="0.2">
      <c r="A1473" s="5">
        <v>1412</v>
      </c>
      <c r="B1473" s="138">
        <f>'Expenditures 15-22'!K224</f>
        <v>1639</v>
      </c>
      <c r="C1473" s="2" t="s">
        <v>573</v>
      </c>
      <c r="D1473" s="2" t="str">
        <f t="shared" si="22"/>
        <v>Error?</v>
      </c>
    </row>
    <row r="1474" spans="1:4" x14ac:dyDescent="0.2">
      <c r="A1474" s="5">
        <v>1413</v>
      </c>
      <c r="B1474" s="138">
        <f>'Expenditures 15-22'!K229</f>
        <v>295388</v>
      </c>
      <c r="C1474" s="2" t="s">
        <v>573</v>
      </c>
      <c r="D1474" s="2" t="str">
        <f t="shared" si="22"/>
        <v>Error?</v>
      </c>
    </row>
    <row r="1475" spans="1:4" x14ac:dyDescent="0.2">
      <c r="A1475" s="5">
        <v>1414</v>
      </c>
      <c r="B1475" s="138">
        <f>'Expenditures 15-22'!K232</f>
        <v>3947</v>
      </c>
      <c r="C1475" s="2" t="s">
        <v>573</v>
      </c>
      <c r="D1475" s="2" t="str">
        <f t="shared" si="22"/>
        <v>Error?</v>
      </c>
    </row>
    <row r="1476" spans="1:4" x14ac:dyDescent="0.2">
      <c r="A1476" s="5">
        <v>1415</v>
      </c>
      <c r="B1476" s="138">
        <f>'Expenditures 15-22'!K233</f>
        <v>13651</v>
      </c>
      <c r="C1476" s="2" t="s">
        <v>573</v>
      </c>
      <c r="D1476" s="2" t="str">
        <f t="shared" si="22"/>
        <v>Error?</v>
      </c>
    </row>
    <row r="1477" spans="1:4" x14ac:dyDescent="0.2">
      <c r="A1477" s="5">
        <v>1416</v>
      </c>
      <c r="B1477" s="138">
        <f>'Expenditures 15-22'!K234</f>
        <v>8774</v>
      </c>
      <c r="C1477" s="2" t="s">
        <v>573</v>
      </c>
      <c r="D1477" s="2" t="str">
        <f t="shared" si="22"/>
        <v>Error?</v>
      </c>
    </row>
    <row r="1478" spans="1:4" x14ac:dyDescent="0.2">
      <c r="A1478" s="5">
        <v>1417</v>
      </c>
      <c r="B1478" s="138">
        <f>'Expenditures 15-22'!K235</f>
        <v>3326</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23988</v>
      </c>
      <c r="C1480" s="2" t="s">
        <v>573</v>
      </c>
      <c r="D1480" s="2" t="str">
        <f t="shared" si="22"/>
        <v>Error?</v>
      </c>
    </row>
    <row r="1481" spans="1:4" x14ac:dyDescent="0.2">
      <c r="A1481" s="5">
        <v>1420</v>
      </c>
      <c r="B1481" s="138">
        <f>'Expenditures 15-22'!K238</f>
        <v>53686</v>
      </c>
      <c r="C1481" s="2" t="s">
        <v>573</v>
      </c>
      <c r="D1481" s="2" t="str">
        <f t="shared" si="22"/>
        <v>Error?</v>
      </c>
    </row>
    <row r="1482" spans="1:4" x14ac:dyDescent="0.2">
      <c r="A1482" s="5">
        <v>1421</v>
      </c>
      <c r="B1482" s="138">
        <f>'Expenditures 15-22'!K240</f>
        <v>10282</v>
      </c>
      <c r="C1482" s="2" t="s">
        <v>573</v>
      </c>
      <c r="D1482" s="2" t="str">
        <f t="shared" si="22"/>
        <v>Error?</v>
      </c>
    </row>
    <row r="1483" spans="1:4" x14ac:dyDescent="0.2">
      <c r="A1483" s="5">
        <v>1422</v>
      </c>
      <c r="B1483" s="138">
        <f>'Expenditures 15-22'!K241</f>
        <v>79938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90220</v>
      </c>
      <c r="C1485" s="2" t="s">
        <v>573</v>
      </c>
      <c r="D1485" s="2" t="str">
        <f t="shared" si="22"/>
        <v>Error?</v>
      </c>
    </row>
    <row r="1486" spans="1:4" x14ac:dyDescent="0.2">
      <c r="A1486" s="5">
        <v>1425</v>
      </c>
      <c r="B1486" s="138">
        <f>'Expenditures 15-22'!K245</f>
        <v>5595</v>
      </c>
      <c r="C1486" s="2" t="s">
        <v>573</v>
      </c>
      <c r="D1486" s="2" t="str">
        <f t="shared" si="22"/>
        <v>Error?</v>
      </c>
    </row>
    <row r="1487" spans="1:4" x14ac:dyDescent="0.2">
      <c r="A1487" s="5">
        <v>1426</v>
      </c>
      <c r="B1487" s="138">
        <f>'Expenditures 15-22'!K246</f>
        <v>19991</v>
      </c>
      <c r="C1487" s="2" t="s">
        <v>573</v>
      </c>
      <c r="D1487" s="2" t="str">
        <f t="shared" si="22"/>
        <v>Error?</v>
      </c>
    </row>
    <row r="1488" spans="1:4" x14ac:dyDescent="0.2">
      <c r="A1488" s="5">
        <v>1427</v>
      </c>
      <c r="B1488" s="138">
        <f>'Expenditures 15-22'!K257</f>
        <v>25586</v>
      </c>
      <c r="C1488" s="2" t="s">
        <v>573</v>
      </c>
      <c r="D1488" s="2" t="str">
        <f t="shared" si="22"/>
        <v>Error?</v>
      </c>
    </row>
    <row r="1489" spans="1:4" x14ac:dyDescent="0.2">
      <c r="A1489" s="5">
        <v>1428</v>
      </c>
      <c r="B1489" s="138">
        <f>'Expenditures 15-22'!K259</f>
        <v>77585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77585</v>
      </c>
      <c r="C1491" s="2" t="s">
        <v>573</v>
      </c>
      <c r="D1491" s="2" t="str">
        <f t="shared" si="22"/>
        <v>Error?</v>
      </c>
    </row>
    <row r="1492" spans="1:4" x14ac:dyDescent="0.2">
      <c r="A1492" s="5">
        <v>1431</v>
      </c>
      <c r="B1492" s="138">
        <f>'Expenditures 15-22'!K263</f>
        <v>2676</v>
      </c>
      <c r="C1492" s="2" t="s">
        <v>573</v>
      </c>
      <c r="D1492" s="2" t="str">
        <f t="shared" si="22"/>
        <v>Error?</v>
      </c>
    </row>
    <row r="1493" spans="1:4" x14ac:dyDescent="0.2">
      <c r="A1493" s="5">
        <v>1432</v>
      </c>
      <c r="B1493" s="138">
        <f>'Expenditures 15-22'!K264</f>
        <v>24802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115578</v>
      </c>
      <c r="C1495" s="2" t="s">
        <v>573</v>
      </c>
      <c r="D1495" s="2" t="str">
        <f t="shared" si="22"/>
        <v>Error?</v>
      </c>
    </row>
    <row r="1496" spans="1:4" x14ac:dyDescent="0.2">
      <c r="A1496" s="5">
        <v>1435</v>
      </c>
      <c r="B1496" s="138">
        <f>'Expenditures 15-22'!K267</f>
        <v>120811</v>
      </c>
      <c r="C1496" s="2" t="s">
        <v>573</v>
      </c>
      <c r="D1496" s="2" t="str">
        <f t="shared" si="22"/>
        <v>Error?</v>
      </c>
    </row>
    <row r="1497" spans="1:4" x14ac:dyDescent="0.2">
      <c r="A1497" s="5">
        <v>1436</v>
      </c>
      <c r="B1497" s="138">
        <f>'Expenditures 15-22'!K268</f>
        <v>35700</v>
      </c>
      <c r="C1497" s="2" t="s">
        <v>573</v>
      </c>
      <c r="D1497" s="2" t="str">
        <f t="shared" si="22"/>
        <v>Error?</v>
      </c>
    </row>
    <row r="1498" spans="1:4" x14ac:dyDescent="0.2">
      <c r="A1498" s="5">
        <v>1437</v>
      </c>
      <c r="B1498" s="138">
        <f>'Expenditures 15-22'!K269</f>
        <v>682</v>
      </c>
      <c r="C1498" s="2" t="s">
        <v>573</v>
      </c>
      <c r="D1498" s="2" t="str">
        <f t="shared" si="22"/>
        <v>Error?</v>
      </c>
    </row>
    <row r="1499" spans="1:4" x14ac:dyDescent="0.2">
      <c r="A1499" s="10">
        <v>1438</v>
      </c>
      <c r="D1499" s="2" t="str">
        <f t="shared" si="22"/>
        <v>OK</v>
      </c>
    </row>
    <row r="1500" spans="1:4" x14ac:dyDescent="0.2">
      <c r="A1500" s="5">
        <v>1439</v>
      </c>
      <c r="B1500" s="138">
        <f>'Expenditures 15-22'!K270</f>
        <v>300249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547326</v>
      </c>
      <c r="C1510" s="2" t="s">
        <v>573</v>
      </c>
      <c r="D1510" s="2" t="str">
        <f t="shared" si="22"/>
        <v>Error?</v>
      </c>
    </row>
    <row r="1511" spans="1:4" x14ac:dyDescent="0.2">
      <c r="A1511" s="5">
        <v>1450</v>
      </c>
      <c r="B1511" s="138">
        <f>'Expenditures 15-22'!K280</f>
        <v>17035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859749</v>
      </c>
      <c r="C1517" s="2" t="s">
        <v>573</v>
      </c>
      <c r="D1517" s="2" t="str">
        <f t="shared" si="22"/>
        <v>Error?</v>
      </c>
    </row>
    <row r="1518" spans="1:4" x14ac:dyDescent="0.2">
      <c r="A1518" s="5">
        <v>1457</v>
      </c>
      <c r="B1518" s="138">
        <f>'Expenditures 15-22'!K296</f>
        <v>34120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12650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12650</v>
      </c>
      <c r="C1535" s="2" t="s">
        <v>573</v>
      </c>
      <c r="D1535" s="2" t="str">
        <f t="shared" ref="D1535:D1598" si="23">IF(ISBLANK(B1535),"OK",IF(A1535-B1535=0,"OK","Error?"))</f>
        <v>Error?</v>
      </c>
    </row>
    <row r="1536" spans="1:4" x14ac:dyDescent="0.2">
      <c r="A1536" s="5">
        <v>1475</v>
      </c>
      <c r="B1536" s="138">
        <f>'Expenditures 15-22'!E312</f>
        <v>12650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1798687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1798687</v>
      </c>
      <c r="C1547" s="2" t="s">
        <v>573</v>
      </c>
      <c r="D1547" s="2" t="str">
        <f t="shared" si="23"/>
        <v>Error?</v>
      </c>
    </row>
    <row r="1548" spans="1:4" x14ac:dyDescent="0.2">
      <c r="A1548" s="5">
        <v>1487</v>
      </c>
      <c r="B1548" s="138">
        <f>'Expenditures 15-22'!G312</f>
        <v>1798687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1811337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1811337</v>
      </c>
      <c r="C1559" s="2" t="s">
        <v>573</v>
      </c>
      <c r="D1559" s="2" t="str">
        <f t="shared" si="23"/>
        <v>Error?</v>
      </c>
    </row>
    <row r="1560" spans="1:4" x14ac:dyDescent="0.2">
      <c r="A1560" s="5">
        <v>1499</v>
      </c>
      <c r="B1560" s="138">
        <f>'Expenditures 15-22'!K312</f>
        <v>1811337</v>
      </c>
      <c r="C1560" s="2" t="s">
        <v>573</v>
      </c>
      <c r="D1560" s="2" t="str">
        <f t="shared" si="23"/>
        <v>Error?</v>
      </c>
    </row>
    <row r="1561" spans="1:4" x14ac:dyDescent="0.2">
      <c r="A1561" s="5">
        <v>1500</v>
      </c>
      <c r="B1561" s="138">
        <f>'Expenditures 15-22'!K313</f>
        <v>-1676433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16212649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18878389</v>
      </c>
      <c r="C1630" s="2" t="s">
        <v>573</v>
      </c>
      <c r="D1630" s="2" t="str">
        <f t="shared" si="24"/>
        <v>Error?</v>
      </c>
    </row>
    <row r="1631" spans="1:4" x14ac:dyDescent="0.2">
      <c r="A1631" s="5">
        <v>1570</v>
      </c>
      <c r="B1631" s="138">
        <f>'Acct Summary 7-8'!D79</f>
        <v>3640439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1786217</v>
      </c>
      <c r="C1644" s="2" t="s">
        <v>573</v>
      </c>
      <c r="D1644" s="2" t="str">
        <f t="shared" si="24"/>
        <v>Error?</v>
      </c>
    </row>
    <row r="1645" spans="1:4" x14ac:dyDescent="0.2">
      <c r="A1645" s="5">
        <v>1584</v>
      </c>
      <c r="B1645" s="138">
        <f>'Acct Summary 7-8'!E79</f>
        <v>2581265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4121205</v>
      </c>
      <c r="C1658" s="2" t="s">
        <v>573</v>
      </c>
      <c r="D1658" s="2" t="str">
        <f t="shared" si="24"/>
        <v>Error?</v>
      </c>
    </row>
    <row r="1659" spans="1:4" x14ac:dyDescent="0.2">
      <c r="A1659" s="5">
        <v>1598</v>
      </c>
      <c r="B1659" s="138">
        <f>'Acct Summary 7-8'!F79</f>
        <v>637078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554040</v>
      </c>
      <c r="C1672" s="2" t="s">
        <v>573</v>
      </c>
      <c r="D1672" s="2" t="str">
        <f t="shared" si="25"/>
        <v>Error?</v>
      </c>
    </row>
    <row r="1673" spans="1:4" x14ac:dyDescent="0.2">
      <c r="A1673" s="5">
        <v>1612</v>
      </c>
      <c r="B1673" s="138">
        <f>'Acct Summary 7-8'!G79</f>
        <v>360483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394603</v>
      </c>
      <c r="C1686" s="2" t="s">
        <v>573</v>
      </c>
      <c r="D1686" s="2" t="str">
        <f t="shared" si="25"/>
        <v>Error?</v>
      </c>
    </row>
    <row r="1687" spans="1:4" x14ac:dyDescent="0.2">
      <c r="A1687" s="5">
        <v>1626</v>
      </c>
      <c r="B1687" s="138">
        <f>'Acct Summary 7-8'!H79</f>
        <v>758480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43096063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19200446</v>
      </c>
      <c r="C1744" s="2" t="s">
        <v>573</v>
      </c>
      <c r="D1744" s="2" t="str">
        <f t="shared" si="26"/>
        <v>Error?</v>
      </c>
    </row>
    <row r="1745" spans="1:5" x14ac:dyDescent="0.2">
      <c r="A1745" s="5">
        <v>1684</v>
      </c>
      <c r="B1745" s="138">
        <f>'Tax Sched 23'!B5</f>
        <v>2308090</v>
      </c>
      <c r="C1745" s="2" t="s">
        <v>573</v>
      </c>
      <c r="D1745" s="2" t="str">
        <f t="shared" si="26"/>
        <v>Error?</v>
      </c>
    </row>
    <row r="1746" spans="1:5" x14ac:dyDescent="0.2">
      <c r="A1746" s="5">
        <v>1685</v>
      </c>
      <c r="B1746" s="138">
        <f>'Tax Sched 23'!B6</f>
        <v>4554532</v>
      </c>
      <c r="C1746" s="2" t="s">
        <v>573</v>
      </c>
      <c r="D1746" s="2" t="str">
        <f t="shared" si="26"/>
        <v>Error?</v>
      </c>
    </row>
    <row r="1747" spans="1:5" x14ac:dyDescent="0.2">
      <c r="A1747" s="5">
        <v>1686</v>
      </c>
      <c r="B1747" s="138">
        <f>'Tax Sched 23'!B7</f>
        <v>506298</v>
      </c>
      <c r="C1747" s="2" t="s">
        <v>573</v>
      </c>
      <c r="D1747" s="2" t="str">
        <f t="shared" si="26"/>
        <v>Error?</v>
      </c>
    </row>
    <row r="1748" spans="1:5" x14ac:dyDescent="0.2">
      <c r="A1748" s="5">
        <v>1687</v>
      </c>
      <c r="B1748" s="138">
        <f>'Tax Sched 23'!B8</f>
        <v>361413</v>
      </c>
      <c r="C1748" s="2" t="s">
        <v>573</v>
      </c>
      <c r="D1748" s="2" t="str">
        <f t="shared" si="26"/>
        <v>Error?</v>
      </c>
    </row>
    <row r="1749" spans="1:5" x14ac:dyDescent="0.2">
      <c r="A1749" s="5">
        <v>1688</v>
      </c>
      <c r="B1749" s="138">
        <f>'Tax Sched 23'!B10</f>
        <v>110388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125785</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255983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27856519</v>
      </c>
      <c r="C1759" s="2" t="s">
        <v>573</v>
      </c>
      <c r="D1759" s="2" t="str">
        <f t="shared" si="26"/>
        <v>Error?</v>
      </c>
    </row>
    <row r="1760" spans="1:5" x14ac:dyDescent="0.2">
      <c r="A1760" s="5">
        <v>1699</v>
      </c>
      <c r="B1760" s="138">
        <f>'Tax Sched 23'!D4</f>
        <v>9120389</v>
      </c>
      <c r="C1760" s="2" t="s">
        <v>573</v>
      </c>
      <c r="D1760" s="2" t="str">
        <f t="shared" si="26"/>
        <v>Error?</v>
      </c>
    </row>
    <row r="1761" spans="1:5" x14ac:dyDescent="0.2">
      <c r="A1761" s="5">
        <v>1700</v>
      </c>
      <c r="B1761" s="138">
        <f>'Tax Sched 23'!D5</f>
        <v>962004</v>
      </c>
      <c r="C1761" s="2" t="s">
        <v>573</v>
      </c>
      <c r="D1761" s="2" t="str">
        <f t="shared" si="26"/>
        <v>Error?</v>
      </c>
    </row>
    <row r="1762" spans="1:5" s="8" customFormat="1" x14ac:dyDescent="0.2">
      <c r="A1762" s="5">
        <v>1701</v>
      </c>
      <c r="B1762" s="138">
        <f>'Tax Sched 23'!D6</f>
        <v>2116943</v>
      </c>
      <c r="C1762" s="2" t="s">
        <v>573</v>
      </c>
      <c r="D1762" s="2" t="str">
        <f t="shared" si="26"/>
        <v>Error?</v>
      </c>
      <c r="E1762" s="9"/>
    </row>
    <row r="1763" spans="1:5" x14ac:dyDescent="0.2">
      <c r="A1763" s="5">
        <v>1702</v>
      </c>
      <c r="B1763" s="138">
        <f>'Tax Sched 23'!D7</f>
        <v>237335</v>
      </c>
      <c r="C1763" s="2" t="s">
        <v>573</v>
      </c>
      <c r="D1763" s="2" t="str">
        <f t="shared" si="26"/>
        <v>Error?</v>
      </c>
    </row>
    <row r="1764" spans="1:5" x14ac:dyDescent="0.2">
      <c r="A1764" s="5">
        <v>1703</v>
      </c>
      <c r="B1764" s="138">
        <f>'Tax Sched 23'!D8</f>
        <v>169416</v>
      </c>
      <c r="C1764" s="2" t="s">
        <v>573</v>
      </c>
      <c r="D1764" s="2" t="str">
        <f t="shared" si="26"/>
        <v>Error?</v>
      </c>
    </row>
    <row r="1765" spans="1:5" x14ac:dyDescent="0.2">
      <c r="A1765" s="5">
        <v>1704</v>
      </c>
      <c r="B1765" s="138">
        <f>'Tax Sched 23'!D10</f>
        <v>51751.41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58970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119994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13040055.41</v>
      </c>
      <c r="C1775" s="2" t="s">
        <v>573</v>
      </c>
      <c r="D1775" s="2" t="str">
        <f t="shared" si="26"/>
        <v>Error?</v>
      </c>
    </row>
    <row r="1776" spans="1:5" x14ac:dyDescent="0.2">
      <c r="A1776" s="5">
        <v>1715</v>
      </c>
      <c r="B1776" s="138">
        <f>'Tax Sched 23'!C4</f>
        <v>10080057</v>
      </c>
      <c r="D1776" s="2" t="str">
        <f t="shared" si="26"/>
        <v>Error?</v>
      </c>
    </row>
    <row r="1777" spans="1:4" x14ac:dyDescent="0.2">
      <c r="A1777" s="5">
        <v>1716</v>
      </c>
      <c r="B1777" s="138">
        <f>'Tax Sched 23'!C5</f>
        <v>1346086</v>
      </c>
      <c r="D1777" s="2" t="str">
        <f t="shared" si="26"/>
        <v>Error?</v>
      </c>
    </row>
    <row r="1778" spans="1:4" x14ac:dyDescent="0.2">
      <c r="A1778" s="5">
        <v>1717</v>
      </c>
      <c r="B1778" s="138">
        <f>'Tax Sched 23'!C6</f>
        <v>2437589</v>
      </c>
      <c r="D1778" s="2" t="str">
        <f t="shared" si="26"/>
        <v>Error?</v>
      </c>
    </row>
    <row r="1779" spans="1:4" x14ac:dyDescent="0.2">
      <c r="A1779" s="5">
        <v>1718</v>
      </c>
      <c r="B1779" s="138">
        <f>'Tax Sched 23'!C7</f>
        <v>268963</v>
      </c>
      <c r="D1779" s="2" t="str">
        <f t="shared" si="26"/>
        <v>Error?</v>
      </c>
    </row>
    <row r="1780" spans="1:4" x14ac:dyDescent="0.2">
      <c r="A1780" s="5">
        <v>1719</v>
      </c>
      <c r="B1780" s="138">
        <f>'Tax Sched 23'!C8</f>
        <v>191997</v>
      </c>
      <c r="D1780" s="2" t="str">
        <f t="shared" si="26"/>
        <v>Error?</v>
      </c>
    </row>
    <row r="1781" spans="1:4" x14ac:dyDescent="0.2">
      <c r="A1781" s="5">
        <v>1720</v>
      </c>
      <c r="B1781" s="138">
        <f>'Tax Sched 23'!C10</f>
        <v>58636.59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66815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135989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14816463.59</v>
      </c>
      <c r="C1791" s="2" t="s">
        <v>573</v>
      </c>
      <c r="D1791" s="2" t="str">
        <f t="shared" ref="D1791:D1854" si="27">IF(ISBLANK(B1791),"OK",IF(A1791-B1791=0,"OK","Error?"))</f>
        <v>Error?</v>
      </c>
    </row>
    <row r="1792" spans="1:4" x14ac:dyDescent="0.2">
      <c r="A1792" s="5">
        <v>1731</v>
      </c>
      <c r="B1792" s="138">
        <f>'Tax Sched 23'!F4</f>
        <v>9597084</v>
      </c>
      <c r="C1792" s="2" t="s">
        <v>573</v>
      </c>
      <c r="D1792" s="2" t="str">
        <f t="shared" si="27"/>
        <v>Error?</v>
      </c>
    </row>
    <row r="1793" spans="1:4" x14ac:dyDescent="0.2">
      <c r="A1793" s="5">
        <v>1732</v>
      </c>
      <c r="B1793" s="138">
        <f>'Tax Sched 23'!F5</f>
        <v>1281589</v>
      </c>
      <c r="C1793" s="2" t="s">
        <v>573</v>
      </c>
      <c r="D1793" s="2" t="str">
        <f t="shared" si="27"/>
        <v>Error?</v>
      </c>
    </row>
    <row r="1794" spans="1:4" x14ac:dyDescent="0.2">
      <c r="A1794" s="5">
        <v>1733</v>
      </c>
      <c r="B1794" s="138">
        <f>'Tax Sched 23'!F6</f>
        <v>2320795</v>
      </c>
      <c r="C1794" s="2" t="s">
        <v>573</v>
      </c>
      <c r="D1794" s="2" t="str">
        <f t="shared" si="27"/>
        <v>Error?</v>
      </c>
    </row>
    <row r="1795" spans="1:4" x14ac:dyDescent="0.2">
      <c r="A1795" s="5">
        <v>1734</v>
      </c>
      <c r="B1795" s="138">
        <f>'Tax Sched 23'!F7</f>
        <v>256075</v>
      </c>
      <c r="C1795" s="2" t="s">
        <v>573</v>
      </c>
      <c r="D1795" s="2" t="str">
        <f t="shared" si="27"/>
        <v>Error?</v>
      </c>
    </row>
    <row r="1796" spans="1:4" x14ac:dyDescent="0.2">
      <c r="A1796" s="5">
        <v>1735</v>
      </c>
      <c r="B1796" s="138">
        <f>'Tax Sched 23'!F8</f>
        <v>182797</v>
      </c>
      <c r="C1796" s="2" t="s">
        <v>573</v>
      </c>
      <c r="D1796" s="2" t="str">
        <f t="shared" si="27"/>
        <v>Error?</v>
      </c>
    </row>
    <row r="1797" spans="1:4" x14ac:dyDescent="0.2">
      <c r="A1797" s="5">
        <v>1736</v>
      </c>
      <c r="B1797" s="138">
        <f>'Tax Sched 23'!F10</f>
        <v>55827.41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63613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129473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14106548.41</v>
      </c>
      <c r="C1807" s="2" t="s">
        <v>573</v>
      </c>
      <c r="D1807" s="2" t="str">
        <f t="shared" si="27"/>
        <v>Error?</v>
      </c>
    </row>
    <row r="1808" spans="1:4" x14ac:dyDescent="0.2">
      <c r="A1808" s="5">
        <v>1747</v>
      </c>
      <c r="B1808" s="138">
        <f>'Tax Sched 23'!E4</f>
        <v>19677141</v>
      </c>
      <c r="D1808" s="2" t="str">
        <f t="shared" si="27"/>
        <v>Error?</v>
      </c>
    </row>
    <row r="1809" spans="1:4" x14ac:dyDescent="0.2">
      <c r="A1809" s="5">
        <v>1748</v>
      </c>
      <c r="B1809" s="138">
        <f>'Tax Sched 23'!E5</f>
        <v>2627675</v>
      </c>
      <c r="D1809" s="2" t="str">
        <f t="shared" si="27"/>
        <v>Error?</v>
      </c>
    </row>
    <row r="1810" spans="1:4" x14ac:dyDescent="0.2">
      <c r="A1810" s="5">
        <v>1749</v>
      </c>
      <c r="B1810" s="138">
        <f>'Tax Sched 23'!E6</f>
        <v>4758384</v>
      </c>
      <c r="D1810" s="2" t="str">
        <f t="shared" si="27"/>
        <v>Error?</v>
      </c>
    </row>
    <row r="1811" spans="1:4" x14ac:dyDescent="0.2">
      <c r="A1811" s="5">
        <v>1750</v>
      </c>
      <c r="B1811" s="138">
        <f>'Tax Sched 23'!E7</f>
        <v>525038</v>
      </c>
      <c r="D1811" s="2" t="str">
        <f t="shared" si="27"/>
        <v>Error?</v>
      </c>
    </row>
    <row r="1812" spans="1:4" x14ac:dyDescent="0.2">
      <c r="A1812" s="5">
        <v>1751</v>
      </c>
      <c r="B1812" s="138">
        <f>'Tax Sched 23'!E8</f>
        <v>374794</v>
      </c>
      <c r="D1812" s="2" t="str">
        <f t="shared" si="27"/>
        <v>Error?</v>
      </c>
    </row>
    <row r="1813" spans="1:4" x14ac:dyDescent="0.2">
      <c r="A1813" s="5">
        <v>1752</v>
      </c>
      <c r="B1813" s="138">
        <f>'Tax Sched 23'!E10</f>
        <v>114464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130428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265462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28923012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9050000</v>
      </c>
      <c r="C1939" s="2" t="s">
        <v>573</v>
      </c>
      <c r="D1939" s="2" t="str">
        <f t="shared" si="29"/>
        <v>Error?</v>
      </c>
    </row>
    <row r="1940" spans="1:5" x14ac:dyDescent="0.2">
      <c r="A1940" s="5">
        <v>1879</v>
      </c>
      <c r="B1940" s="138">
        <f>'Short-Term Long-Term Debt 24'!F49</f>
        <v>43225000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255983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255983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255983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3150000</v>
      </c>
      <c r="D2008" s="2" t="str">
        <f t="shared" si="30"/>
        <v>Error?</v>
      </c>
    </row>
    <row r="2009" spans="1:4" x14ac:dyDescent="0.2">
      <c r="A2009" s="5">
        <v>1948</v>
      </c>
      <c r="B2009" s="138">
        <f>'Cap Outlay Deprec 26'!C8</f>
        <v>28759133</v>
      </c>
      <c r="D2009" s="2" t="str">
        <f t="shared" si="30"/>
        <v>Error?</v>
      </c>
    </row>
    <row r="2010" spans="1:4" x14ac:dyDescent="0.2">
      <c r="A2010" s="5">
        <v>1949</v>
      </c>
      <c r="B2010" s="138">
        <f>'Cap Outlay Deprec 26'!C10</f>
        <v>4099845</v>
      </c>
      <c r="D2010" s="2" t="str">
        <f t="shared" si="30"/>
        <v>Error?</v>
      </c>
    </row>
    <row r="2011" spans="1:4" x14ac:dyDescent="0.2">
      <c r="A2011" s="5">
        <v>1950</v>
      </c>
      <c r="B2011" s="138">
        <f>'Cap Outlay Deprec 26'!C12</f>
        <v>1623957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37632935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697112</v>
      </c>
      <c r="D2015" s="2" t="str">
        <f t="shared" si="30"/>
        <v>Error?</v>
      </c>
    </row>
    <row r="2016" spans="1:4" x14ac:dyDescent="0.2">
      <c r="A2016" s="5">
        <v>1955</v>
      </c>
      <c r="B2016" s="138">
        <f>'Cap Outlay Deprec 26'!D10</f>
        <v>7388</v>
      </c>
      <c r="D2016" s="2" t="str">
        <f t="shared" si="30"/>
        <v>Error?</v>
      </c>
    </row>
    <row r="2017" spans="1:4" x14ac:dyDescent="0.2">
      <c r="A2017" s="5">
        <v>1956</v>
      </c>
      <c r="B2017" s="138">
        <f>'Cap Outlay Deprec 26'!D12</f>
        <v>92539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2692443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109880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109880</v>
      </c>
      <c r="C2025" s="2" t="s">
        <v>573</v>
      </c>
      <c r="D2025" s="2" t="str">
        <f t="shared" si="30"/>
        <v>Error?</v>
      </c>
    </row>
    <row r="2026" spans="1:4" x14ac:dyDescent="0.2">
      <c r="A2026" s="5">
        <v>1965</v>
      </c>
      <c r="B2026" s="138">
        <f>'Cap Outlay Deprec 26'!F5</f>
        <v>3150000</v>
      </c>
      <c r="C2026" s="2" t="s">
        <v>573</v>
      </c>
      <c r="D2026" s="2" t="str">
        <f t="shared" si="30"/>
        <v>Error?</v>
      </c>
    </row>
    <row r="2027" spans="1:4" x14ac:dyDescent="0.2">
      <c r="A2027" s="5">
        <v>1966</v>
      </c>
      <c r="B2027" s="138">
        <f>'Cap Outlay Deprec 26'!F8</f>
        <v>29456245</v>
      </c>
      <c r="C2027" s="2" t="s">
        <v>573</v>
      </c>
      <c r="D2027" s="2" t="str">
        <f t="shared" si="30"/>
        <v>Error?</v>
      </c>
    </row>
    <row r="2028" spans="1:4" x14ac:dyDescent="0.2">
      <c r="A2028" s="5">
        <v>1967</v>
      </c>
      <c r="B2028" s="138">
        <f>'Cap Outlay Deprec 26'!F10</f>
        <v>4107233</v>
      </c>
      <c r="C2028" s="2" t="s">
        <v>573</v>
      </c>
      <c r="D2028" s="2" t="str">
        <f t="shared" si="30"/>
        <v>Error?</v>
      </c>
    </row>
    <row r="2029" spans="1:4" x14ac:dyDescent="0.2">
      <c r="A2029" s="5">
        <v>1968</v>
      </c>
      <c r="B2029" s="138">
        <f>'Cap Outlay Deprec 26'!F12</f>
        <v>1606616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40215498</v>
      </c>
      <c r="C2031" s="2" t="s">
        <v>573</v>
      </c>
      <c r="D2031" s="2" t="str">
        <f t="shared" si="30"/>
        <v>Error?</v>
      </c>
    </row>
    <row r="2032" spans="1:4" x14ac:dyDescent="0.2">
      <c r="A2032" s="10">
        <v>1971</v>
      </c>
      <c r="D2032" s="2" t="str">
        <f t="shared" si="30"/>
        <v>OK</v>
      </c>
    </row>
    <row r="2033" spans="1:4" x14ac:dyDescent="0.2">
      <c r="A2033" s="5">
        <v>1972</v>
      </c>
      <c r="B2033" s="138">
        <f>'Cap Outlay Deprec 26'!H8</f>
        <v>11820428</v>
      </c>
      <c r="D2033" s="2" t="str">
        <f t="shared" si="30"/>
        <v>Error?</v>
      </c>
    </row>
    <row r="2034" spans="1:4" x14ac:dyDescent="0.2">
      <c r="A2034" s="5">
        <v>1973</v>
      </c>
      <c r="B2034" s="138">
        <f>'Cap Outlay Deprec 26'!H10</f>
        <v>2600457</v>
      </c>
      <c r="D2034" s="2" t="str">
        <f t="shared" si="30"/>
        <v>Error?</v>
      </c>
    </row>
    <row r="2035" spans="1:4" x14ac:dyDescent="0.2">
      <c r="A2035" s="5">
        <v>1974</v>
      </c>
      <c r="B2035" s="138">
        <f>'Cap Outlay Deprec 26'!H12</f>
        <v>1022462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15443347</v>
      </c>
      <c r="C2037" s="2" t="s">
        <v>573</v>
      </c>
      <c r="D2037" s="2" t="str">
        <f t="shared" si="30"/>
        <v>Error?</v>
      </c>
    </row>
    <row r="2038" spans="1:4" x14ac:dyDescent="0.2">
      <c r="A2038" s="10">
        <v>1977</v>
      </c>
      <c r="D2038" s="2" t="str">
        <f t="shared" si="30"/>
        <v>OK</v>
      </c>
    </row>
    <row r="2039" spans="1:4" x14ac:dyDescent="0.2">
      <c r="A2039" s="5">
        <v>1978</v>
      </c>
      <c r="B2039" s="138">
        <f>'Cap Outlay Deprec 26'!I8</f>
        <v>512519</v>
      </c>
      <c r="D2039" s="2" t="str">
        <f t="shared" si="30"/>
        <v>Error?</v>
      </c>
    </row>
    <row r="2040" spans="1:4" x14ac:dyDescent="0.2">
      <c r="A2040" s="5">
        <v>1979</v>
      </c>
      <c r="B2040" s="138">
        <f>'Cap Outlay Deprec 26'!I10</f>
        <v>109910</v>
      </c>
      <c r="D2040" s="2" t="str">
        <f t="shared" si="30"/>
        <v>Error?</v>
      </c>
    </row>
    <row r="2041" spans="1:4" x14ac:dyDescent="0.2">
      <c r="A2041" s="5">
        <v>1980</v>
      </c>
      <c r="B2041" s="138">
        <f>'Cap Outlay Deprec 26'!I12</f>
        <v>96408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718837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109309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109309</v>
      </c>
      <c r="C2049" s="2" t="s">
        <v>573</v>
      </c>
      <c r="D2049" s="2" t="str">
        <f t="shared" si="31"/>
        <v>Error?</v>
      </c>
    </row>
    <row r="2050" spans="1:4" x14ac:dyDescent="0.2">
      <c r="A2050" s="10">
        <v>1989</v>
      </c>
      <c r="D2050" s="2" t="str">
        <f t="shared" si="31"/>
        <v>OK</v>
      </c>
    </row>
    <row r="2051" spans="1:4" x14ac:dyDescent="0.2">
      <c r="A2051" s="5">
        <v>1990</v>
      </c>
      <c r="B2051" s="138">
        <f>'Cap Outlay Deprec 26'!K8</f>
        <v>12332947</v>
      </c>
      <c r="C2051" s="2" t="s">
        <v>573</v>
      </c>
      <c r="D2051" s="2" t="str">
        <f t="shared" si="31"/>
        <v>Error?</v>
      </c>
    </row>
    <row r="2052" spans="1:4" x14ac:dyDescent="0.2">
      <c r="A2052" s="5">
        <v>1991</v>
      </c>
      <c r="B2052" s="138">
        <f>'Cap Outlay Deprec 26'!K10</f>
        <v>2710367</v>
      </c>
      <c r="C2052" s="2" t="s">
        <v>573</v>
      </c>
      <c r="D2052" s="2" t="str">
        <f t="shared" si="31"/>
        <v>Error?</v>
      </c>
    </row>
    <row r="2053" spans="1:4" x14ac:dyDescent="0.2">
      <c r="A2053" s="5">
        <v>1992</v>
      </c>
      <c r="B2053" s="138">
        <f>'Cap Outlay Deprec 26'!K12</f>
        <v>1009561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16052875</v>
      </c>
      <c r="C2055" s="2" t="s">
        <v>573</v>
      </c>
      <c r="D2055" s="2" t="str">
        <f t="shared" si="31"/>
        <v>Error?</v>
      </c>
    </row>
    <row r="2056" spans="1:4" x14ac:dyDescent="0.2">
      <c r="A2056" s="5">
        <v>1995</v>
      </c>
      <c r="B2056" s="138">
        <f>'Cap Outlay Deprec 26'!L5</f>
        <v>3150000</v>
      </c>
      <c r="C2056" s="2" t="s">
        <v>573</v>
      </c>
      <c r="D2056" s="2" t="str">
        <f t="shared" si="31"/>
        <v>Error?</v>
      </c>
    </row>
    <row r="2057" spans="1:4" x14ac:dyDescent="0.2">
      <c r="A2057" s="5">
        <v>1996</v>
      </c>
      <c r="B2057" s="138">
        <f>'Cap Outlay Deprec 26'!L8</f>
        <v>17123298</v>
      </c>
      <c r="C2057" s="2" t="s">
        <v>573</v>
      </c>
      <c r="D2057" s="2" t="str">
        <f t="shared" si="31"/>
        <v>Error?</v>
      </c>
    </row>
    <row r="2058" spans="1:4" x14ac:dyDescent="0.2">
      <c r="A2058" s="5">
        <v>1997</v>
      </c>
      <c r="B2058" s="138">
        <f>'Cap Outlay Deprec 26'!L10</f>
        <v>1396866</v>
      </c>
      <c r="C2058" s="2" t="s">
        <v>573</v>
      </c>
      <c r="D2058" s="2" t="str">
        <f t="shared" si="31"/>
        <v>Error?</v>
      </c>
    </row>
    <row r="2059" spans="1:4" x14ac:dyDescent="0.2">
      <c r="A2059" s="5">
        <v>1998</v>
      </c>
      <c r="B2059" s="138">
        <f>'Cap Outlay Deprec 26'!L12</f>
        <v>597055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24162623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1516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292141</v>
      </c>
      <c r="C2088" s="2" t="s">
        <v>573</v>
      </c>
      <c r="D2088" s="2" t="str">
        <f t="shared" si="31"/>
        <v>Error?</v>
      </c>
    </row>
    <row r="2089" spans="1:4" x14ac:dyDescent="0.2">
      <c r="A2089" s="5">
        <v>2028</v>
      </c>
      <c r="B2089" s="138">
        <f>'Expenditures 15-22'!K92</f>
        <v>300958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305616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233003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692817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21519065</v>
      </c>
      <c r="C2551" s="2" t="s">
        <v>573</v>
      </c>
      <c r="D2551" s="2" t="str">
        <f t="shared" si="38"/>
        <v>Error?</v>
      </c>
    </row>
    <row r="2552" spans="1:4" x14ac:dyDescent="0.2">
      <c r="A2552" s="10">
        <v>2491</v>
      </c>
      <c r="D2552" s="2" t="str">
        <f t="shared" si="38"/>
        <v>OK</v>
      </c>
    </row>
    <row r="2553" spans="1:4" x14ac:dyDescent="0.2">
      <c r="A2553" s="5">
        <v>2492</v>
      </c>
      <c r="B2553" s="138">
        <f>'Acct Summary 7-8'!C6</f>
        <v>6124923</v>
      </c>
      <c r="C2553" s="2" t="s">
        <v>573</v>
      </c>
      <c r="D2553" s="2" t="str">
        <f t="shared" si="38"/>
        <v>Error?</v>
      </c>
    </row>
    <row r="2554" spans="1:4" x14ac:dyDescent="0.2">
      <c r="A2554" s="5">
        <v>2493</v>
      </c>
      <c r="B2554" s="138">
        <f>'Acct Summary 7-8'!C7</f>
        <v>1402259</v>
      </c>
      <c r="C2554" s="2" t="s">
        <v>573</v>
      </c>
      <c r="D2554" s="2" t="str">
        <f t="shared" si="38"/>
        <v>Error?</v>
      </c>
    </row>
    <row r="2555" spans="1:4" x14ac:dyDescent="0.2">
      <c r="A2555" s="5">
        <v>2494</v>
      </c>
      <c r="B2555" s="138">
        <f>'Acct Summary 7-8'!C8</f>
        <v>29046247</v>
      </c>
      <c r="C2555" s="2" t="s">
        <v>573</v>
      </c>
      <c r="D2555" s="2" t="str">
        <f t="shared" si="38"/>
        <v>Error?</v>
      </c>
    </row>
    <row r="2556" spans="1:4" x14ac:dyDescent="0.2">
      <c r="A2556" s="5">
        <v>2495</v>
      </c>
      <c r="B2556" s="138">
        <f>'Acct Summary 7-8'!C12</f>
        <v>18153107</v>
      </c>
      <c r="C2556" s="2" t="s">
        <v>573</v>
      </c>
      <c r="D2556" s="2" t="str">
        <f t="shared" si="38"/>
        <v>Error?</v>
      </c>
    </row>
    <row r="2557" spans="1:4" x14ac:dyDescent="0.2">
      <c r="A2557" s="5">
        <v>2496</v>
      </c>
      <c r="B2557" s="138">
        <f>'Acct Summary 7-8'!C13</f>
        <v>7420238</v>
      </c>
      <c r="C2557" s="2" t="s">
        <v>573</v>
      </c>
      <c r="D2557" s="2" t="str">
        <f t="shared" si="38"/>
        <v>Error?</v>
      </c>
    </row>
    <row r="2558" spans="1:4" x14ac:dyDescent="0.2">
      <c r="A2558" s="5">
        <v>2497</v>
      </c>
      <c r="B2558" s="138">
        <f>'Acct Summary 7-8'!C14</f>
        <v>214063</v>
      </c>
      <c r="C2558" s="2" t="s">
        <v>573</v>
      </c>
      <c r="D2558" s="2" t="str">
        <f t="shared" si="38"/>
        <v>Error?</v>
      </c>
    </row>
    <row r="2559" spans="1:4" x14ac:dyDescent="0.2">
      <c r="A2559" s="5">
        <v>2498</v>
      </c>
      <c r="B2559" s="138">
        <f>'Acct Summary 7-8'!C15</f>
        <v>593099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26380507</v>
      </c>
      <c r="C2561" s="2" t="s">
        <v>573</v>
      </c>
      <c r="D2561" s="2" t="str">
        <f t="shared" si="39"/>
        <v>Error?</v>
      </c>
    </row>
    <row r="2562" spans="1:4" x14ac:dyDescent="0.2">
      <c r="A2562" s="5">
        <v>2501</v>
      </c>
      <c r="B2562" s="138">
        <f>'Acct Summary 7-8'!C20</f>
        <v>2665740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2556897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2556897</v>
      </c>
      <c r="C2568" s="2" t="s">
        <v>573</v>
      </c>
      <c r="D2568" s="2" t="str">
        <f t="shared" si="39"/>
        <v>Error?</v>
      </c>
    </row>
    <row r="2569" spans="1:4" x14ac:dyDescent="0.2">
      <c r="A2569" s="5">
        <v>2508</v>
      </c>
      <c r="B2569" s="138">
        <f>'Acct Summary 7-8'!D13</f>
        <v>4411119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4411119</v>
      </c>
      <c r="C2573" s="2" t="s">
        <v>573</v>
      </c>
      <c r="D2573" s="2" t="str">
        <f t="shared" si="39"/>
        <v>Error?</v>
      </c>
    </row>
    <row r="2574" spans="1:4" x14ac:dyDescent="0.2">
      <c r="A2574" s="5">
        <v>2513</v>
      </c>
      <c r="B2574" s="138">
        <f>'Acct Summary 7-8'!D20</f>
        <v>-1854222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529660</v>
      </c>
      <c r="C2591" s="2" t="s">
        <v>573</v>
      </c>
      <c r="D2591" s="2" t="str">
        <f t="shared" si="39"/>
        <v>Error?</v>
      </c>
    </row>
    <row r="2592" spans="1:4" x14ac:dyDescent="0.2">
      <c r="A2592" s="10">
        <v>2531</v>
      </c>
      <c r="D2592" s="2" t="str">
        <f t="shared" si="39"/>
        <v>OK</v>
      </c>
    </row>
    <row r="2593" spans="1:4" x14ac:dyDescent="0.2">
      <c r="A2593" s="5">
        <v>2532</v>
      </c>
      <c r="B2593" s="138">
        <f>'Acct Summary 7-8'!F6</f>
        <v>808783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1338443</v>
      </c>
      <c r="C2595" s="2" t="s">
        <v>573</v>
      </c>
      <c r="D2595" s="2" t="str">
        <f t="shared" si="39"/>
        <v>Error?</v>
      </c>
    </row>
    <row r="2596" spans="1:4" x14ac:dyDescent="0.2">
      <c r="A2596" s="5">
        <v>2535</v>
      </c>
      <c r="B2596" s="138">
        <f>'Acct Summary 7-8'!F13</f>
        <v>1421481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1421481</v>
      </c>
      <c r="C2600" s="2" t="s">
        <v>573</v>
      </c>
      <c r="D2600" s="2" t="str">
        <f t="shared" si="39"/>
        <v>Error?</v>
      </c>
    </row>
    <row r="2601" spans="1:4" x14ac:dyDescent="0.2">
      <c r="A2601" s="5">
        <v>2540</v>
      </c>
      <c r="B2601" s="138">
        <f>'Acct Summary 7-8'!F20</f>
        <v>-83038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893869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893869</v>
      </c>
      <c r="C2606" s="2" t="s">
        <v>573</v>
      </c>
      <c r="D2606" s="2" t="str">
        <f t="shared" si="39"/>
        <v>Error?</v>
      </c>
    </row>
    <row r="2607" spans="1:4" x14ac:dyDescent="0.2">
      <c r="A2607" s="5">
        <v>2546</v>
      </c>
      <c r="B2607" s="138">
        <f>'Acct Summary 7-8'!G12</f>
        <v>295388</v>
      </c>
      <c r="C2607" s="2" t="s">
        <v>573</v>
      </c>
      <c r="D2607" s="2" t="str">
        <f t="shared" si="39"/>
        <v>Error?</v>
      </c>
    </row>
    <row r="2608" spans="1:4" x14ac:dyDescent="0.2">
      <c r="A2608" s="5">
        <v>2547</v>
      </c>
      <c r="B2608" s="138">
        <f>'Acct Summary 7-8'!G13</f>
        <v>547326</v>
      </c>
      <c r="C2608" s="2" t="s">
        <v>573</v>
      </c>
      <c r="D2608" s="2" t="str">
        <f t="shared" si="39"/>
        <v>Error?</v>
      </c>
    </row>
    <row r="2609" spans="1:4" x14ac:dyDescent="0.2">
      <c r="A2609" s="5">
        <v>2548</v>
      </c>
      <c r="B2609" s="138">
        <f>'Acct Summary 7-8'!G14</f>
        <v>17035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859749</v>
      </c>
      <c r="C2612" s="2" t="s">
        <v>573</v>
      </c>
      <c r="D2612" s="2" t="str">
        <f t="shared" si="39"/>
        <v>Error?</v>
      </c>
    </row>
    <row r="2613" spans="1:4" x14ac:dyDescent="0.2">
      <c r="A2613" s="5">
        <v>2552</v>
      </c>
      <c r="B2613" s="138">
        <f>'Acct Summary 7-8'!G20</f>
        <v>34120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4587757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4587757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5086607</v>
      </c>
      <c r="C2634" s="2" t="s">
        <v>573</v>
      </c>
      <c r="D2634" s="2" t="str">
        <f t="shared" si="40"/>
        <v>Error?</v>
      </c>
    </row>
    <row r="2635" spans="1:4" x14ac:dyDescent="0.2">
      <c r="A2635" s="5">
        <v>2574</v>
      </c>
      <c r="B2635" s="138">
        <f>'Acct Summary 7-8'!E17</f>
        <v>5086607</v>
      </c>
      <c r="C2635" s="2" t="s">
        <v>573</v>
      </c>
      <c r="D2635" s="2" t="str">
        <f t="shared" si="40"/>
        <v>Error?</v>
      </c>
    </row>
    <row r="2636" spans="1:4" x14ac:dyDescent="0.2">
      <c r="A2636" s="5">
        <v>2575</v>
      </c>
      <c r="B2636" s="138">
        <f>'Acct Summary 7-8'!E20</f>
        <v>-498850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134904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134904</v>
      </c>
      <c r="C2658" s="2" t="s">
        <v>573</v>
      </c>
      <c r="D2658" s="2" t="str">
        <f t="shared" si="40"/>
        <v>Error?</v>
      </c>
    </row>
    <row r="2659" spans="1:4" x14ac:dyDescent="0.2">
      <c r="A2659" s="5">
        <v>2598</v>
      </c>
      <c r="B2659" s="138">
        <f>'Acct Summary 7-8'!H13</f>
        <v>1811337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1811337</v>
      </c>
      <c r="C2661" s="2" t="s">
        <v>573</v>
      </c>
      <c r="D2661" s="2" t="str">
        <f t="shared" si="40"/>
        <v>Error?</v>
      </c>
    </row>
    <row r="2662" spans="1:4" x14ac:dyDescent="0.2">
      <c r="A2662" s="5">
        <v>2601</v>
      </c>
      <c r="B2662" s="138">
        <f>'Acct Summary 7-8'!H20</f>
        <v>-1676433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290625</v>
      </c>
      <c r="C2789" s="2" t="s">
        <v>573</v>
      </c>
      <c r="D2789" s="2" t="str">
        <f t="shared" si="42"/>
        <v>Error?</v>
      </c>
    </row>
    <row r="2790" spans="1:4" x14ac:dyDescent="0.2">
      <c r="A2790" s="5">
        <v>2729</v>
      </c>
      <c r="B2790" s="138">
        <f>'Expenditures 15-22'!E102</f>
        <v>290625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1895404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42823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803005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70000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286042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803005</v>
      </c>
      <c r="D2912" s="2" t="str">
        <f t="shared" si="44"/>
        <v>Error?</v>
      </c>
    </row>
    <row r="2913" spans="1:4" x14ac:dyDescent="0.2">
      <c r="A2913" s="5">
        <v>2852</v>
      </c>
      <c r="B2913" s="138">
        <f>'Assets-Liab 5-6'!I41</f>
        <v>803005</v>
      </c>
      <c r="C2913" s="2" t="s">
        <v>573</v>
      </c>
      <c r="D2913" s="2" t="str">
        <f t="shared" si="44"/>
        <v>Error?</v>
      </c>
    </row>
    <row r="2914" spans="1:4" x14ac:dyDescent="0.2">
      <c r="A2914" s="5">
        <v>2853</v>
      </c>
      <c r="B2914" s="138">
        <f>'Assets-Liab 5-6'!L33</f>
        <v>286042</v>
      </c>
      <c r="D2914" s="2" t="str">
        <f t="shared" si="44"/>
        <v>Error?</v>
      </c>
    </row>
    <row r="2915" spans="1:4" x14ac:dyDescent="0.2">
      <c r="A2915" s="10">
        <v>2854</v>
      </c>
      <c r="D2915" s="2" t="str">
        <f t="shared" si="44"/>
        <v>OK</v>
      </c>
    </row>
    <row r="2916" spans="1:4" x14ac:dyDescent="0.2">
      <c r="A2916" s="5">
        <v>2855</v>
      </c>
      <c r="B2916" s="138">
        <f>'Assets-Liab 5-6'!L34</f>
        <v>286042</v>
      </c>
      <c r="C2916" s="2" t="s">
        <v>573</v>
      </c>
      <c r="D2916" s="2" t="str">
        <f t="shared" si="44"/>
        <v>Error?</v>
      </c>
    </row>
    <row r="2917" spans="1:4" x14ac:dyDescent="0.2">
      <c r="A2917" s="5">
        <v>2856</v>
      </c>
      <c r="B2917" s="138">
        <f>'Assets-Liab 5-6'!L41</f>
        <v>286042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290625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1516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292141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215535</v>
      </c>
      <c r="D3055" s="2" t="str">
        <f t="shared" si="46"/>
        <v>Error?</v>
      </c>
    </row>
    <row r="3056" spans="1:4" x14ac:dyDescent="0.2">
      <c r="A3056" s="5">
        <v>2995</v>
      </c>
      <c r="B3056" s="138">
        <f>'Expenditures 15-22'!D10</f>
        <v>48853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1146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270834</v>
      </c>
      <c r="C3062" s="2" t="s">
        <v>573</v>
      </c>
      <c r="D3062" s="2" t="str">
        <f t="shared" si="46"/>
        <v>Error?</v>
      </c>
    </row>
    <row r="3063" spans="1:4" x14ac:dyDescent="0.2">
      <c r="A3063" s="10">
        <v>3002</v>
      </c>
      <c r="D3063" s="2" t="str">
        <f t="shared" si="46"/>
        <v>OK</v>
      </c>
    </row>
    <row r="3064" spans="1:4" x14ac:dyDescent="0.2">
      <c r="A3064" s="5">
        <v>3003</v>
      </c>
      <c r="B3064" s="138">
        <f>'Expenditures 15-22'!D219</f>
        <v>4194</v>
      </c>
      <c r="D3064" s="2" t="str">
        <f t="shared" si="46"/>
        <v>Error?</v>
      </c>
    </row>
    <row r="3065" spans="1:4" x14ac:dyDescent="0.2">
      <c r="A3065" s="5">
        <v>3004</v>
      </c>
      <c r="B3065" s="138">
        <f>'Expenditures 15-22'!K219</f>
        <v>4194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2038790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112046</v>
      </c>
      <c r="C3225" s="2" t="s">
        <v>573</v>
      </c>
      <c r="D3225" s="2" t="str">
        <f t="shared" si="49"/>
        <v>Error?</v>
      </c>
    </row>
    <row r="3226" spans="1:4" x14ac:dyDescent="0.2">
      <c r="A3226" s="5">
        <v>3165</v>
      </c>
      <c r="B3226" s="138">
        <f>'Acct Summary 7-8'!I8</f>
        <v>112046</v>
      </c>
      <c r="C3226" s="2" t="s">
        <v>573</v>
      </c>
      <c r="D3226" s="2" t="str">
        <f t="shared" si="49"/>
        <v>Error?</v>
      </c>
    </row>
    <row r="3227" spans="1:4" x14ac:dyDescent="0.2">
      <c r="A3227" s="5">
        <v>3166</v>
      </c>
      <c r="B3227" s="138">
        <f>'Acct Summary 7-8'!I20</f>
        <v>112046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2665740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-1854222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-83038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34120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2038790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2038790</v>
      </c>
      <c r="C3277" s="2" t="s">
        <v>573</v>
      </c>
      <c r="D3277" s="2" t="str">
        <f t="shared" si="50"/>
        <v>Error?</v>
      </c>
    </row>
    <row r="3278" spans="1:4" x14ac:dyDescent="0.2">
      <c r="A3278" s="5">
        <v>3217</v>
      </c>
      <c r="B3278" s="138">
        <f>'Acct Summary 7-8'!E78</f>
        <v>1539940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44014016</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44014016</v>
      </c>
      <c r="C3299" s="2" t="s">
        <v>573</v>
      </c>
      <c r="D3299" s="2" t="str">
        <f t="shared" si="50"/>
        <v>Error?</v>
      </c>
    </row>
    <row r="3300" spans="1:4" x14ac:dyDescent="0.2">
      <c r="A3300" s="5">
        <v>3239</v>
      </c>
      <c r="B3300" s="138">
        <f>'Acct Summary 7-8'!H78</f>
        <v>42337583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112046</v>
      </c>
      <c r="C3320" s="2" t="s">
        <v>573</v>
      </c>
      <c r="D3320" s="2" t="str">
        <f t="shared" si="50"/>
        <v>Error?</v>
      </c>
    </row>
    <row r="3321" spans="1:4" x14ac:dyDescent="0.2">
      <c r="A3321" s="5">
        <v>3260</v>
      </c>
      <c r="B3321" s="138">
        <f>'Acct Summary 7-8'!I79</f>
        <v>690959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803005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2702605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551254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6836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24890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5580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3303633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148924</v>
      </c>
      <c r="D3387" s="2" t="str">
        <f t="shared" si="51"/>
        <v>Error?</v>
      </c>
    </row>
    <row r="3388" spans="1:4" x14ac:dyDescent="0.2">
      <c r="A3388" s="5">
        <v>3327</v>
      </c>
      <c r="B3388" s="138">
        <f>'Expenditures 15-22'!D217</f>
        <v>112723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148924</v>
      </c>
      <c r="C3390" s="2" t="s">
        <v>573</v>
      </c>
      <c r="D3390" s="2" t="str">
        <f t="shared" si="51"/>
        <v>Error?</v>
      </c>
    </row>
    <row r="3391" spans="1:4" x14ac:dyDescent="0.2">
      <c r="A3391" s="5">
        <v>3330</v>
      </c>
      <c r="B3391" s="138">
        <f>'Expenditures 15-22'!K217</f>
        <v>112723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5432567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415195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2325075</v>
      </c>
      <c r="D3417" s="2" t="str">
        <f t="shared" si="52"/>
        <v>Error?</v>
      </c>
    </row>
    <row r="3418" spans="1:4" x14ac:dyDescent="0.2">
      <c r="A3418" s="10">
        <v>3357</v>
      </c>
      <c r="D3418" s="2" t="str">
        <f t="shared" si="52"/>
        <v>OK</v>
      </c>
    </row>
    <row r="3419" spans="1:4" x14ac:dyDescent="0.2">
      <c r="A3419" s="5">
        <v>3358</v>
      </c>
      <c r="B3419" s="138">
        <f>'Assets-Liab 5-6'!F4</f>
        <v>141927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101085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11639519</v>
      </c>
      <c r="D3425" s="2" t="str">
        <f t="shared" si="52"/>
        <v>Error?</v>
      </c>
    </row>
    <row r="3426" spans="1:4" x14ac:dyDescent="0.2">
      <c r="A3426" s="10">
        <v>3365</v>
      </c>
      <c r="D3426" s="2" t="str">
        <f t="shared" si="52"/>
        <v>OK</v>
      </c>
    </row>
    <row r="3427" spans="1:4" x14ac:dyDescent="0.2">
      <c r="A3427" s="5">
        <v>3366</v>
      </c>
      <c r="B3427" s="138">
        <f>'Assets-Liab 5-6'!I4</f>
        <v>760182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216042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433584</v>
      </c>
      <c r="C3446" s="2" t="s">
        <v>573</v>
      </c>
      <c r="D3446" s="2" t="str">
        <f t="shared" si="52"/>
        <v>Error?</v>
      </c>
    </row>
    <row r="3447" spans="1:4" x14ac:dyDescent="0.2">
      <c r="A3447" s="5">
        <v>3386</v>
      </c>
      <c r="B3447" s="138">
        <f>'Tax Sched 23'!D16</f>
        <v>203253</v>
      </c>
      <c r="C3447" s="2" t="s">
        <v>573</v>
      </c>
      <c r="D3447" s="2" t="str">
        <f t="shared" si="52"/>
        <v>Error?</v>
      </c>
    </row>
    <row r="3448" spans="1:4" x14ac:dyDescent="0.2">
      <c r="A3448" s="5">
        <v>3387</v>
      </c>
      <c r="B3448" s="138">
        <f>'Tax Sched 23'!C16</f>
        <v>230331</v>
      </c>
      <c r="D3448" s="2" t="str">
        <f t="shared" si="52"/>
        <v>Error?</v>
      </c>
    </row>
    <row r="3449" spans="1:4" x14ac:dyDescent="0.2">
      <c r="A3449" s="5">
        <v>3388</v>
      </c>
      <c r="B3449" s="138">
        <f>'Tax Sched 23'!F16</f>
        <v>219295</v>
      </c>
      <c r="C3449" s="2" t="s">
        <v>573</v>
      </c>
      <c r="D3449" s="2" t="str">
        <f t="shared" si="52"/>
        <v>Error?</v>
      </c>
    </row>
    <row r="3450" spans="1:4" x14ac:dyDescent="0.2">
      <c r="A3450" s="5">
        <v>3389</v>
      </c>
      <c r="B3450" s="138">
        <f>'Tax Sched 23'!E16</f>
        <v>449626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1895404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1895404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1895404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10480729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39526976</v>
      </c>
      <c r="C4122" s="2" t="s">
        <v>573</v>
      </c>
      <c r="D4122" s="2" t="str">
        <f t="shared" si="63"/>
        <v>Error?</v>
      </c>
    </row>
    <row r="4123" spans="1:4" x14ac:dyDescent="0.2">
      <c r="A4123" s="5">
        <v>4062</v>
      </c>
      <c r="B4123" s="138">
        <f>'Acct Summary 7-8'!D10</f>
        <v>2556897</v>
      </c>
      <c r="C4123" s="2" t="s">
        <v>573</v>
      </c>
      <c r="D4123" s="2" t="str">
        <f t="shared" si="63"/>
        <v>Error?</v>
      </c>
    </row>
    <row r="4124" spans="1:4" x14ac:dyDescent="0.2">
      <c r="A4124" s="5">
        <v>4063</v>
      </c>
      <c r="B4124" s="138">
        <f>'Acct Summary 7-8'!E10</f>
        <v>4587757</v>
      </c>
      <c r="C4124" s="2" t="s">
        <v>573</v>
      </c>
      <c r="D4124" s="2" t="str">
        <f t="shared" si="63"/>
        <v>Error?</v>
      </c>
    </row>
    <row r="4125" spans="1:4" x14ac:dyDescent="0.2">
      <c r="A4125" s="5">
        <v>4064</v>
      </c>
      <c r="B4125" s="138">
        <f>'Acct Summary 7-8'!F10</f>
        <v>1338443</v>
      </c>
      <c r="C4125" s="2" t="s">
        <v>573</v>
      </c>
      <c r="D4125" s="2" t="str">
        <f t="shared" si="63"/>
        <v>Error?</v>
      </c>
    </row>
    <row r="4126" spans="1:4" x14ac:dyDescent="0.2">
      <c r="A4126" s="5">
        <v>4065</v>
      </c>
      <c r="B4126" s="138">
        <f>'Acct Summary 7-8'!G10</f>
        <v>893869</v>
      </c>
      <c r="C4126" s="2" t="s">
        <v>573</v>
      </c>
      <c r="D4126" s="2" t="str">
        <f t="shared" si="63"/>
        <v>Error?</v>
      </c>
    </row>
    <row r="4127" spans="1:4" x14ac:dyDescent="0.2">
      <c r="A4127" s="5">
        <v>4066</v>
      </c>
      <c r="B4127" s="138">
        <f>'Acct Summary 7-8'!H10</f>
        <v>134904</v>
      </c>
      <c r="C4127" s="2" t="s">
        <v>573</v>
      </c>
      <c r="D4127" s="2" t="str">
        <f t="shared" si="63"/>
        <v>Error?</v>
      </c>
    </row>
    <row r="4128" spans="1:4" x14ac:dyDescent="0.2">
      <c r="A4128" s="5">
        <v>4067</v>
      </c>
      <c r="B4128" s="138">
        <f>'Acct Summary 7-8'!I10</f>
        <v>112046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10480729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36861236</v>
      </c>
      <c r="C4136" s="2" t="s">
        <v>573</v>
      </c>
      <c r="D4136" s="2" t="str">
        <f t="shared" si="63"/>
        <v>Error?</v>
      </c>
    </row>
    <row r="4137" spans="1:4" x14ac:dyDescent="0.2">
      <c r="A4137" s="5">
        <v>4076</v>
      </c>
      <c r="B4137" s="138">
        <f>'Acct Summary 7-8'!D19</f>
        <v>4411119</v>
      </c>
      <c r="C4137" s="2" t="s">
        <v>573</v>
      </c>
      <c r="D4137" s="2" t="str">
        <f t="shared" si="63"/>
        <v>Error?</v>
      </c>
    </row>
    <row r="4138" spans="1:4" x14ac:dyDescent="0.2">
      <c r="A4138" s="5">
        <v>4077</v>
      </c>
      <c r="B4138" s="138">
        <f>'Acct Summary 7-8'!E19</f>
        <v>5086607</v>
      </c>
      <c r="C4138" s="2" t="s">
        <v>573</v>
      </c>
      <c r="D4138" s="2" t="str">
        <f t="shared" si="63"/>
        <v>Error?</v>
      </c>
    </row>
    <row r="4139" spans="1:4" x14ac:dyDescent="0.2">
      <c r="A4139" s="5">
        <v>4078</v>
      </c>
      <c r="B4139" s="138">
        <f>'Acct Summary 7-8'!F19</f>
        <v>1421481</v>
      </c>
      <c r="C4139" s="2" t="s">
        <v>573</v>
      </c>
      <c r="D4139" s="2" t="str">
        <f t="shared" si="63"/>
        <v>Error?</v>
      </c>
    </row>
    <row r="4140" spans="1:4" x14ac:dyDescent="0.2">
      <c r="A4140" s="5">
        <v>4079</v>
      </c>
      <c r="B4140" s="138">
        <f>'Acct Summary 7-8'!G19</f>
        <v>859749</v>
      </c>
      <c r="C4140" s="2" t="s">
        <v>573</v>
      </c>
      <c r="D4140" s="2" t="str">
        <f t="shared" si="63"/>
        <v>Error?</v>
      </c>
    </row>
    <row r="4141" spans="1:4" x14ac:dyDescent="0.2">
      <c r="A4141" s="5">
        <v>4080</v>
      </c>
      <c r="B4141" s="138">
        <f>'Acct Summary 7-8'!H19</f>
        <v>1811337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47890000</v>
      </c>
      <c r="C4171" s="2" t="s">
        <v>573</v>
      </c>
      <c r="D4171" s="2" t="str">
        <f t="shared" si="64"/>
        <v>Error?</v>
      </c>
    </row>
    <row r="4172" spans="1:4" x14ac:dyDescent="0.2">
      <c r="A4172" s="5">
        <v>4111</v>
      </c>
      <c r="B4172" s="138">
        <f>'Short-Term Long-Term Debt 24'!J49</f>
        <v>43768795</v>
      </c>
      <c r="C4172" s="2" t="s">
        <v>573</v>
      </c>
      <c r="D4172" s="2" t="str">
        <f t="shared" si="64"/>
        <v>Error?</v>
      </c>
    </row>
    <row r="4173" spans="1:4" x14ac:dyDescent="0.2">
      <c r="A4173" s="5">
        <v>4112</v>
      </c>
      <c r="B4173" s="138">
        <f>'Short-Term Long-Term Debt 24'!H49</f>
        <v>4385000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1798.3</v>
      </c>
      <c r="C4265" s="2" t="s">
        <v>573</v>
      </c>
      <c r="D4265" s="2" t="str">
        <f t="shared" si="65"/>
        <v>Error?</v>
      </c>
      <c r="E4265" s="128"/>
    </row>
    <row r="4266" spans="1:5" x14ac:dyDescent="0.2">
      <c r="A4266" s="12">
        <v>4205</v>
      </c>
      <c r="B4266" s="138">
        <f>('FP Info 3'!F10)*100000</f>
        <v>240.1</v>
      </c>
      <c r="C4266" s="2" t="s">
        <v>573</v>
      </c>
      <c r="D4266" s="2" t="str">
        <f t="shared" si="65"/>
        <v>Error?</v>
      </c>
      <c r="E4266" s="128"/>
    </row>
    <row r="4267" spans="1:5" x14ac:dyDescent="0.2">
      <c r="A4267" s="12">
        <v>4206</v>
      </c>
      <c r="B4267" s="138">
        <f>('FP Info 3'!H10)*100000</f>
        <v>46</v>
      </c>
      <c r="C4267" s="2" t="s">
        <v>573</v>
      </c>
      <c r="D4267" s="2" t="str">
        <f t="shared" si="65"/>
        <v>Error?</v>
      </c>
      <c r="E4267" s="128"/>
    </row>
    <row r="4268" spans="1:5" x14ac:dyDescent="0.2">
      <c r="A4268" s="12">
        <v>4207</v>
      </c>
      <c r="B4268" s="138">
        <f>('FP Info 3'!J10)*100000</f>
        <v>2084</v>
      </c>
      <c r="C4268" s="2" t="s">
        <v>573</v>
      </c>
      <c r="D4268" s="2" t="str">
        <f t="shared" si="65"/>
        <v>Error?</v>
      </c>
    </row>
    <row r="4269" spans="1:5" x14ac:dyDescent="0.2">
      <c r="A4269" s="12">
        <v>4208</v>
      </c>
      <c r="B4269" s="138">
        <f>'FP Info 3'!J16</f>
        <v>22021651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13682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102586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6464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82197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11020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451</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107931</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1094194517</v>
      </c>
      <c r="D4995" s="2" t="str">
        <f t="shared" si="77"/>
        <v>Error?</v>
      </c>
    </row>
    <row r="4996" spans="1:4" x14ac:dyDescent="0.2">
      <c r="A4996" s="12">
        <v>4935</v>
      </c>
      <c r="B4996" s="138">
        <f>'FP Info 3'!H31</f>
        <v>75499421.673000008</v>
      </c>
      <c r="D4996" s="2" t="str">
        <f t="shared" si="77"/>
        <v>Error?</v>
      </c>
    </row>
    <row r="4997" spans="1:4" x14ac:dyDescent="0.2">
      <c r="A4997" s="12">
        <v>4936</v>
      </c>
      <c r="B4997" s="138">
        <f>'FP Info 3'!H37</f>
        <v>47890000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19200446</v>
      </c>
      <c r="D5061" s="2" t="str">
        <f t="shared" si="78"/>
        <v>Error?</v>
      </c>
    </row>
    <row r="5062" spans="1:4" x14ac:dyDescent="0.2">
      <c r="A5062" s="10">
        <v>5001</v>
      </c>
      <c r="D5062" s="2" t="str">
        <f t="shared" si="78"/>
        <v>OK</v>
      </c>
    </row>
    <row r="5063" spans="1:4" x14ac:dyDescent="0.2">
      <c r="A5063" s="5">
        <v>5002</v>
      </c>
      <c r="B5063" s="138">
        <f>'Revenues 9-14'!C7</f>
        <v>255983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19456429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247012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247012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70367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70367</v>
      </c>
      <c r="C5087" s="2" t="s">
        <v>573</v>
      </c>
      <c r="D5087" s="2" t="str">
        <f t="shared" si="78"/>
        <v>Error?</v>
      </c>
    </row>
    <row r="5088" spans="1:4" x14ac:dyDescent="0.2">
      <c r="A5088" s="5">
        <v>5027</v>
      </c>
      <c r="B5088" s="138">
        <f>'Revenues 9-14'!C65</f>
        <v>388830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388830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433354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15850</v>
      </c>
      <c r="D5095" s="2" t="str">
        <f t="shared" si="78"/>
        <v>Error?</v>
      </c>
    </row>
    <row r="5096" spans="1:4" x14ac:dyDescent="0.2">
      <c r="A5096" s="5">
        <v>5035</v>
      </c>
      <c r="B5096" s="138">
        <f>'Revenues 9-14'!C75</f>
        <v>449204</v>
      </c>
      <c r="C5096" s="2" t="s">
        <v>573</v>
      </c>
      <c r="D5096" s="2" t="str">
        <f t="shared" si="78"/>
        <v>Error?</v>
      </c>
    </row>
    <row r="5097" spans="1:4" x14ac:dyDescent="0.2">
      <c r="A5097" s="5">
        <v>5036</v>
      </c>
      <c r="B5097" s="138">
        <f>'Revenues 9-14'!C77</f>
        <v>31905</v>
      </c>
      <c r="D5097" s="2" t="str">
        <f t="shared" si="78"/>
        <v>Error?</v>
      </c>
    </row>
    <row r="5098" spans="1:4" x14ac:dyDescent="0.2">
      <c r="A5098" s="5">
        <v>5037</v>
      </c>
      <c r="B5098" s="138">
        <f>'Revenues 9-14'!C78</f>
        <v>-50</v>
      </c>
      <c r="D5098" s="2" t="str">
        <f t="shared" si="78"/>
        <v>Error?</v>
      </c>
    </row>
    <row r="5099" spans="1:4" x14ac:dyDescent="0.2">
      <c r="A5099" s="5">
        <v>5038</v>
      </c>
      <c r="B5099" s="138">
        <f>'Revenues 9-14'!C79</f>
        <v>526927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177234</v>
      </c>
      <c r="D5101" s="2" t="str">
        <f t="shared" si="78"/>
        <v>Error?</v>
      </c>
    </row>
    <row r="5102" spans="1:4" x14ac:dyDescent="0.2">
      <c r="A5102" s="5">
        <v>5041</v>
      </c>
      <c r="B5102" s="138">
        <f>'Revenues 9-14'!C82</f>
        <v>736016</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13027</v>
      </c>
      <c r="D5113" s="2" t="str">
        <f t="shared" si="78"/>
        <v>Error?</v>
      </c>
    </row>
    <row r="5114" spans="1:4" x14ac:dyDescent="0.2">
      <c r="A5114" s="5">
        <v>5053</v>
      </c>
      <c r="B5114" s="138">
        <f>'Revenues 9-14'!C96</f>
        <v>4589</v>
      </c>
      <c r="D5114" s="2" t="str">
        <f t="shared" si="78"/>
        <v>Error?</v>
      </c>
    </row>
    <row r="5115" spans="1:4" x14ac:dyDescent="0.2">
      <c r="A5115" s="5">
        <v>5054</v>
      </c>
      <c r="B5115" s="138">
        <f>'Revenues 9-14'!C98</f>
        <v>51255</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65483</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171207</v>
      </c>
      <c r="C5120" s="2" t="s">
        <v>573</v>
      </c>
      <c r="D5120" s="2" t="str">
        <f t="shared" si="79"/>
        <v>Error?</v>
      </c>
    </row>
    <row r="5121" spans="1:4" x14ac:dyDescent="0.2">
      <c r="A5121" s="5">
        <v>5060</v>
      </c>
      <c r="B5121" s="138">
        <f>'Revenues 9-14'!C109</f>
        <v>21519065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5231428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5339810</v>
      </c>
      <c r="C5132" s="2" t="s">
        <v>573</v>
      </c>
      <c r="D5132" s="2" t="str">
        <f t="shared" si="79"/>
        <v>Error?</v>
      </c>
    </row>
    <row r="5133" spans="1:4" x14ac:dyDescent="0.2">
      <c r="A5133" s="5">
        <v>5072</v>
      </c>
      <c r="B5133" s="138">
        <f>'Revenues 9-14'!C125</f>
        <v>627901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627901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78916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78916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4757</v>
      </c>
      <c r="D5167" s="2" t="str">
        <f t="shared" si="79"/>
        <v>Error?</v>
      </c>
    </row>
    <row r="5168" spans="1:4" x14ac:dyDescent="0.2">
      <c r="A5168" s="5">
        <v>5107</v>
      </c>
      <c r="B5168" s="138">
        <f>'Revenues 9-14'!C148</f>
        <v>62519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785113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6124923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281583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37266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318849</v>
      </c>
      <c r="C5246" s="2" t="s">
        <v>573</v>
      </c>
      <c r="D5246" s="2" t="str">
        <f t="shared" si="80"/>
        <v>Error?</v>
      </c>
    </row>
    <row r="5247" spans="1:4" x14ac:dyDescent="0.2">
      <c r="A5247" s="5">
        <v>5186</v>
      </c>
      <c r="B5247" s="138">
        <f>'Revenues 9-14'!C200</f>
        <v>272185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6464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272185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421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408870</v>
      </c>
      <c r="D5278" s="2" t="str">
        <f t="shared" si="81"/>
        <v>Error?</v>
      </c>
    </row>
    <row r="5279" spans="1:4" x14ac:dyDescent="0.2">
      <c r="A5279" s="5">
        <v>5218</v>
      </c>
      <c r="B5279" s="138">
        <f>'Revenues 9-14'!C214</f>
        <v>138461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547752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58544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58544</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1402259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1402259</v>
      </c>
      <c r="C5326" s="2" t="s">
        <v>573</v>
      </c>
      <c r="D5326" s="2" t="str">
        <f t="shared" si="82"/>
        <v>Error?</v>
      </c>
    </row>
    <row r="5327" spans="1:5" x14ac:dyDescent="0.2">
      <c r="A5327" s="5">
        <v>5266</v>
      </c>
      <c r="B5327" s="138">
        <f>'Revenues 9-14'!C268</f>
        <v>29046247</v>
      </c>
      <c r="C5327" s="2" t="s">
        <v>573</v>
      </c>
      <c r="D5327" s="2" t="str">
        <f t="shared" si="82"/>
        <v>Error?</v>
      </c>
    </row>
    <row r="5328" spans="1:5" x14ac:dyDescent="0.2">
      <c r="A5328" s="5">
        <v>5267</v>
      </c>
      <c r="B5328" s="138">
        <f>'Revenues 9-14'!D5</f>
        <v>2308090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2308090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47242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47242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62118</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62118</v>
      </c>
      <c r="C5348" s="2" t="s">
        <v>573</v>
      </c>
      <c r="D5348" s="2" t="str">
        <f t="shared" si="82"/>
        <v>Error?</v>
      </c>
    </row>
    <row r="5349" spans="1:4" x14ac:dyDescent="0.2">
      <c r="A5349" s="5">
        <v>5288</v>
      </c>
      <c r="B5349" s="138">
        <f>'Revenues 9-14'!D95</f>
        <v>99720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39727</v>
      </c>
      <c r="D5354" s="2" t="str">
        <f t="shared" si="82"/>
        <v>Error?</v>
      </c>
    </row>
    <row r="5355" spans="1:4" x14ac:dyDescent="0.2">
      <c r="A5355" s="5">
        <v>5294</v>
      </c>
      <c r="B5355" s="138">
        <f>'Revenues 9-14'!D108</f>
        <v>139447</v>
      </c>
      <c r="C5355" s="2" t="s">
        <v>573</v>
      </c>
      <c r="D5355" s="2" t="str">
        <f t="shared" si="82"/>
        <v>Error?</v>
      </c>
    </row>
    <row r="5356" spans="1:4" x14ac:dyDescent="0.2">
      <c r="A5356" s="5">
        <v>5295</v>
      </c>
      <c r="B5356" s="138">
        <f>'Revenues 9-14'!D109</f>
        <v>2556897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2556897</v>
      </c>
      <c r="C5508" s="2" t="s">
        <v>573</v>
      </c>
      <c r="D5508" s="2" t="str">
        <f t="shared" si="85"/>
        <v>Error?</v>
      </c>
    </row>
    <row r="5509" spans="1:4" x14ac:dyDescent="0.2">
      <c r="A5509" s="5">
        <v>5448</v>
      </c>
      <c r="B5509" s="138">
        <f>'Revenues 9-14'!E5</f>
        <v>4554532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4554532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33225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33225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4587757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4587757</v>
      </c>
      <c r="C5552" s="2" t="s">
        <v>573</v>
      </c>
      <c r="D5552" s="2" t="str">
        <f t="shared" si="85"/>
        <v>Error?</v>
      </c>
    </row>
    <row r="5553" spans="1:4" x14ac:dyDescent="0.2">
      <c r="A5553" s="5">
        <v>5492</v>
      </c>
      <c r="B5553" s="138">
        <f>'Revenues 9-14'!F5</f>
        <v>506298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506298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7281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3880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11161</v>
      </c>
      <c r="C5579" s="2" t="s">
        <v>573</v>
      </c>
      <c r="D5579" s="2" t="str">
        <f t="shared" si="86"/>
        <v>Error?</v>
      </c>
    </row>
    <row r="5580" spans="1:4" x14ac:dyDescent="0.2">
      <c r="A5580" s="5">
        <v>5519</v>
      </c>
      <c r="B5580" s="138">
        <f>'Revenues 9-14'!F65</f>
        <v>12201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12201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529660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19205</v>
      </c>
      <c r="D5615" s="2" t="str">
        <f t="shared" si="86"/>
        <v>Error?</v>
      </c>
    </row>
    <row r="5616" spans="1:4" x14ac:dyDescent="0.2">
      <c r="A5616" s="10">
        <v>5555</v>
      </c>
      <c r="D5616" s="2" t="str">
        <f t="shared" si="86"/>
        <v>OK</v>
      </c>
    </row>
    <row r="5617" spans="1:5" x14ac:dyDescent="0.2">
      <c r="A5617" s="5">
        <v>5556</v>
      </c>
      <c r="B5617" s="138">
        <f>'Revenues 9-14'!F153</f>
        <v>789578</v>
      </c>
      <c r="D5617" s="2" t="str">
        <f t="shared" si="86"/>
        <v>Error?</v>
      </c>
    </row>
    <row r="5618" spans="1:5" x14ac:dyDescent="0.2">
      <c r="A5618" s="5">
        <v>5557</v>
      </c>
      <c r="B5618" s="138">
        <f>'Revenues 9-14'!F155</f>
        <v>808783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808783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808783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1338443</v>
      </c>
      <c r="C5720" s="2" t="s">
        <v>573</v>
      </c>
      <c r="D5720" s="2" t="str">
        <f t="shared" si="88"/>
        <v>Error?</v>
      </c>
    </row>
    <row r="5721" spans="1:4" x14ac:dyDescent="0.2">
      <c r="A5721" s="5">
        <v>5660</v>
      </c>
      <c r="B5721" s="138">
        <f>'Revenues 9-14'!G5</f>
        <v>361413</v>
      </c>
      <c r="D5721" s="2" t="str">
        <f t="shared" si="88"/>
        <v>Error?</v>
      </c>
    </row>
    <row r="5722" spans="1:4" x14ac:dyDescent="0.2">
      <c r="A5722" s="5">
        <v>5661</v>
      </c>
      <c r="B5722" s="138">
        <f>'Revenues 9-14'!G7</f>
        <v>0</v>
      </c>
      <c r="D5722" s="2" t="str">
        <f t="shared" si="88"/>
        <v>Error?</v>
      </c>
    </row>
    <row r="5723" spans="1:4" x14ac:dyDescent="0.2">
      <c r="A5723" s="5">
        <v>5662</v>
      </c>
      <c r="B5723" s="138">
        <f>'Revenues 9-14'!G8</f>
        <v>433584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794997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82337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82337</v>
      </c>
      <c r="C5730" s="2" t="s">
        <v>573</v>
      </c>
      <c r="D5730" s="2" t="str">
        <f t="shared" si="88"/>
        <v>Error?</v>
      </c>
    </row>
    <row r="5731" spans="1:4" x14ac:dyDescent="0.2">
      <c r="A5731" s="5">
        <v>5670</v>
      </c>
      <c r="B5731" s="138">
        <f>'Revenues 9-14'!G65</f>
        <v>16535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16535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893869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75812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75812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59092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134904</v>
      </c>
      <c r="C5915" s="2" t="s">
        <v>573</v>
      </c>
      <c r="D5915" s="2" t="str">
        <f t="shared" si="91"/>
        <v>Error?</v>
      </c>
    </row>
    <row r="5916" spans="1:4" x14ac:dyDescent="0.2">
      <c r="A5916" s="5">
        <v>5855</v>
      </c>
      <c r="B5916" s="138">
        <f>'Revenues 9-14'!I5</f>
        <v>110388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110388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1658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1658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112046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893869</v>
      </c>
      <c r="C6024" s="2" t="s">
        <v>573</v>
      </c>
      <c r="D6024" s="2" t="str">
        <f t="shared" si="93"/>
        <v>Error?</v>
      </c>
    </row>
    <row r="6025" spans="1:5" x14ac:dyDescent="0.2">
      <c r="A6025" s="5">
        <v>5964</v>
      </c>
      <c r="B6025" s="138">
        <f>'Revenues 9-14'!H109</f>
        <v>134904</v>
      </c>
      <c r="C6025" s="2" t="s">
        <v>573</v>
      </c>
      <c r="D6025" s="2" t="str">
        <f t="shared" si="93"/>
        <v>Error?</v>
      </c>
    </row>
    <row r="6026" spans="1:5" x14ac:dyDescent="0.2">
      <c r="A6026" s="5">
        <v>5965</v>
      </c>
      <c r="B6026" s="138">
        <f>'Revenues 9-14'!I109</f>
        <v>112046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42446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1938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62906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1170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62906</v>
      </c>
      <c r="D6215" s="2" t="str">
        <f t="shared" si="96"/>
        <v>Error?</v>
      </c>
      <c r="E6215" s="2" t="s">
        <v>190</v>
      </c>
    </row>
    <row r="6216" spans="1:5" x14ac:dyDescent="0.2">
      <c r="A6216">
        <v>6155</v>
      </c>
      <c r="B6216" s="138">
        <f>'Assets-Liab 5-6'!J41</f>
        <v>62906</v>
      </c>
      <c r="D6216" s="2" t="str">
        <f t="shared" si="96"/>
        <v>Error?</v>
      </c>
      <c r="E6216" s="2" t="s">
        <v>190</v>
      </c>
    </row>
    <row r="6217" spans="1:5" x14ac:dyDescent="0.2">
      <c r="A6217">
        <v>6156</v>
      </c>
      <c r="B6217" s="138">
        <f>'Assets-Liab 5-6'!J4</f>
        <v>14115</v>
      </c>
      <c r="D6217" s="2" t="str">
        <f t="shared" si="96"/>
        <v>Error?</v>
      </c>
      <c r="E6217" s="2" t="s">
        <v>190</v>
      </c>
    </row>
    <row r="6218" spans="1:5" x14ac:dyDescent="0.2">
      <c r="A6218">
        <v>6157</v>
      </c>
      <c r="B6218" s="138">
        <f>'Assets-Liab 5-6'!J5</f>
        <v>48791</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127674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127674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127674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179936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179936</v>
      </c>
      <c r="D6229" s="2" t="str">
        <f t="shared" si="96"/>
        <v>Error?</v>
      </c>
      <c r="E6229" s="2" t="s">
        <v>190</v>
      </c>
    </row>
    <row r="6230" spans="1:5" x14ac:dyDescent="0.2">
      <c r="A6230">
        <v>6169</v>
      </c>
      <c r="B6230" s="138">
        <f>'Acct Summary 7-8'!J20</f>
        <v>-52262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-52262</v>
      </c>
      <c r="D6263" s="2" t="str">
        <f t="shared" si="96"/>
        <v>Error?</v>
      </c>
      <c r="E6263" s="2" t="s">
        <v>190</v>
      </c>
    </row>
    <row r="6264" spans="1:5" x14ac:dyDescent="0.2">
      <c r="A6264">
        <v>6203</v>
      </c>
      <c r="B6264" s="138">
        <f>'Acct Summary 7-8'!J79</f>
        <v>115168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62906</v>
      </c>
      <c r="D6266" s="2" t="str">
        <f t="shared" si="96"/>
        <v>Error?</v>
      </c>
      <c r="E6266" s="2" t="s">
        <v>190</v>
      </c>
    </row>
    <row r="6267" spans="1:5" x14ac:dyDescent="0.2">
      <c r="A6267">
        <v>6206</v>
      </c>
      <c r="B6267" s="138">
        <f>'Acct Summary 7-8'!C82</f>
        <v>2665740</v>
      </c>
      <c r="D6267" s="2" t="str">
        <f t="shared" si="96"/>
        <v>Error?</v>
      </c>
      <c r="E6267" s="2" t="s">
        <v>190</v>
      </c>
    </row>
    <row r="6268" spans="1:5" x14ac:dyDescent="0.2">
      <c r="A6268">
        <v>6207</v>
      </c>
      <c r="B6268" s="138">
        <f>'Acct Summary 7-8'!D82</f>
        <v>-1854222</v>
      </c>
      <c r="D6268" s="2" t="str">
        <f t="shared" si="96"/>
        <v>Error?</v>
      </c>
      <c r="E6268" s="2" t="s">
        <v>190</v>
      </c>
    </row>
    <row r="6269" spans="1:5" x14ac:dyDescent="0.2">
      <c r="A6269">
        <v>6208</v>
      </c>
      <c r="B6269" s="138">
        <f>'Acct Summary 7-8'!E82</f>
        <v>1539940</v>
      </c>
      <c r="D6269" s="2" t="str">
        <f t="shared" si="96"/>
        <v>Error?</v>
      </c>
      <c r="E6269" s="2" t="s">
        <v>190</v>
      </c>
    </row>
    <row r="6270" spans="1:5" x14ac:dyDescent="0.2">
      <c r="A6270">
        <v>6209</v>
      </c>
      <c r="B6270" s="138">
        <f>'Acct Summary 7-8'!F82</f>
        <v>-83038</v>
      </c>
      <c r="D6270" s="2" t="str">
        <f t="shared" si="96"/>
        <v>Error?</v>
      </c>
      <c r="E6270" s="2" t="s">
        <v>190</v>
      </c>
    </row>
    <row r="6271" spans="1:5" x14ac:dyDescent="0.2">
      <c r="A6271">
        <v>6210</v>
      </c>
      <c r="B6271" s="138">
        <f>'Acct Summary 7-8'!G82</f>
        <v>34120</v>
      </c>
      <c r="D6271" s="2" t="str">
        <f t="shared" ref="D6271:D6334" si="97">IF(ISBLANK(B6271),"OK",IF(A6271-B6271=0,"OK","Error?"))</f>
        <v>Error?</v>
      </c>
      <c r="E6271" s="2" t="s">
        <v>190</v>
      </c>
    </row>
    <row r="6272" spans="1:5" x14ac:dyDescent="0.2">
      <c r="A6272">
        <v>6211</v>
      </c>
      <c r="B6272" s="138">
        <f>'Acct Summary 7-8'!H82</f>
        <v>42337583</v>
      </c>
      <c r="D6272" s="2" t="str">
        <f t="shared" si="97"/>
        <v>Error?</v>
      </c>
      <c r="E6272" s="2" t="s">
        <v>190</v>
      </c>
    </row>
    <row r="6273" spans="1:5" x14ac:dyDescent="0.2">
      <c r="A6273">
        <v>6212</v>
      </c>
      <c r="B6273" s="138">
        <f>'Acct Summary 7-8'!I82</f>
        <v>112046</v>
      </c>
      <c r="D6273" s="2" t="str">
        <f t="shared" si="97"/>
        <v>Error?</v>
      </c>
      <c r="E6273" s="2" t="s">
        <v>190</v>
      </c>
    </row>
    <row r="6274" spans="1:5" x14ac:dyDescent="0.2">
      <c r="A6274">
        <v>6213</v>
      </c>
      <c r="B6274" s="138">
        <f>'Acct Summary 7-8'!J82</f>
        <v>-52262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0.14120590480469494</v>
      </c>
      <c r="D6276" s="2" t="str">
        <f t="shared" si="97"/>
        <v>Error?</v>
      </c>
      <c r="E6276" s="2" t="s">
        <v>190</v>
      </c>
    </row>
    <row r="6277" spans="1:5" x14ac:dyDescent="0.2">
      <c r="A6277">
        <v>6216</v>
      </c>
      <c r="B6277" s="138">
        <f>'Acct Summary 7-8'!D83</f>
        <v>-1.0380720819474902</v>
      </c>
      <c r="D6277" s="2" t="str">
        <f t="shared" si="97"/>
        <v>Error?</v>
      </c>
      <c r="E6277" s="2" t="s">
        <v>190</v>
      </c>
    </row>
    <row r="6278" spans="1:5" x14ac:dyDescent="0.2">
      <c r="A6278">
        <v>6217</v>
      </c>
      <c r="B6278" s="138">
        <f>'Acct Summary 7-8'!E83</f>
        <v>0.37366255743162496</v>
      </c>
      <c r="D6278" s="2" t="str">
        <f t="shared" si="97"/>
        <v>Error?</v>
      </c>
      <c r="E6278" s="2" t="s">
        <v>190</v>
      </c>
    </row>
    <row r="6279" spans="1:5" x14ac:dyDescent="0.2">
      <c r="A6279">
        <v>6218</v>
      </c>
      <c r="B6279" s="138">
        <f>'Acct Summary 7-8'!F83</f>
        <v>-0.14987726517940944</v>
      </c>
      <c r="D6279" s="2" t="str">
        <f t="shared" si="97"/>
        <v>Error?</v>
      </c>
      <c r="E6279" s="2" t="s">
        <v>190</v>
      </c>
    </row>
    <row r="6280" spans="1:5" x14ac:dyDescent="0.2">
      <c r="A6280">
        <v>6219</v>
      </c>
      <c r="B6280" s="138">
        <f>'Acct Summary 7-8'!G83</f>
        <v>8.6466651292564936E-2</v>
      </c>
      <c r="D6280" s="2" t="str">
        <f t="shared" si="97"/>
        <v>Error?</v>
      </c>
      <c r="E6280" s="2" t="s">
        <v>190</v>
      </c>
    </row>
    <row r="6281" spans="1:5" x14ac:dyDescent="0.2">
      <c r="A6281">
        <v>6220</v>
      </c>
      <c r="B6281" s="138">
        <f>'Acct Summary 7-8'!H83</f>
        <v>0.98240024848673535</v>
      </c>
      <c r="D6281" s="2" t="str">
        <f t="shared" si="97"/>
        <v>Error?</v>
      </c>
      <c r="E6281" s="2" t="s">
        <v>190</v>
      </c>
    </row>
    <row r="6282" spans="1:5" x14ac:dyDescent="0.2">
      <c r="A6282">
        <v>6221</v>
      </c>
      <c r="B6282" s="138">
        <f>'Acct Summary 7-8'!I83</f>
        <v>0.13953337774982721</v>
      </c>
      <c r="D6282" s="2" t="str">
        <f t="shared" si="97"/>
        <v>Error?</v>
      </c>
      <c r="E6282" s="2" t="s">
        <v>190</v>
      </c>
    </row>
    <row r="6283" spans="1:5" x14ac:dyDescent="0.2">
      <c r="A6283">
        <v>6222</v>
      </c>
      <c r="B6283" s="138">
        <f>'Acct Summary 7-8'!J83</f>
        <v>-0.83079515467522969</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125785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125785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1889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1889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36853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127674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73336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12468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5300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35568</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7762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323289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1459</v>
      </c>
      <c r="D6878" s="2" t="str">
        <f t="shared" si="106"/>
        <v>Error?</v>
      </c>
    </row>
    <row r="6879" spans="1:4" x14ac:dyDescent="0.2">
      <c r="A6879">
        <v>6818</v>
      </c>
      <c r="B6879" s="138">
        <f>'Expenditures 15-22'!K21</f>
        <v>1459</v>
      </c>
      <c r="D6879" s="2" t="str">
        <f t="shared" si="106"/>
        <v>Error?</v>
      </c>
    </row>
    <row r="6880" spans="1:4" x14ac:dyDescent="0.2">
      <c r="A6880">
        <v>6819</v>
      </c>
      <c r="B6880" s="138">
        <f>'Expenditures 15-22'!H22</f>
        <v>1674899</v>
      </c>
      <c r="D6880" s="2" t="str">
        <f t="shared" si="106"/>
        <v>Error?</v>
      </c>
    </row>
    <row r="6881" spans="1:4" x14ac:dyDescent="0.2">
      <c r="A6881">
        <v>6820</v>
      </c>
      <c r="B6881" s="138">
        <f>'Expenditures 15-22'!K22</f>
        <v>1674899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134434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23382</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359937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383319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20020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20020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305</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305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403644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300958</v>
      </c>
      <c r="D6983" s="2" t="str">
        <f t="shared" si="108"/>
        <v>Error?</v>
      </c>
    </row>
    <row r="6984" spans="1:4" x14ac:dyDescent="0.2">
      <c r="A6984">
        <v>6923</v>
      </c>
      <c r="B6984" s="138">
        <f>'Expenditures 15-22'!K86</f>
        <v>300958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300958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538078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104318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104318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104318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179936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104318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127674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372</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372</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372</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4251</v>
      </c>
      <c r="D7079" s="2" t="str">
        <f t="shared" si="109"/>
        <v>Error?</v>
      </c>
    </row>
    <row r="7080" spans="1:4" x14ac:dyDescent="0.2">
      <c r="A7080">
        <v>7019</v>
      </c>
      <c r="B7080" s="138">
        <f>'Expenditures 15-22'!K226</f>
        <v>4251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129022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129022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179936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179936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179936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179936</v>
      </c>
      <c r="D7224" s="2" t="str">
        <f t="shared" si="111"/>
        <v>Error?</v>
      </c>
    </row>
    <row r="7225" spans="1:4" x14ac:dyDescent="0.2">
      <c r="A7225">
        <v>7164</v>
      </c>
      <c r="B7225" s="138">
        <f>'Expenditures 15-22'!K343</f>
        <v>-52262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337719</v>
      </c>
      <c r="D7263" s="2" t="str">
        <f t="shared" si="112"/>
        <v>Error?</v>
      </c>
    </row>
    <row r="7264" spans="1:4" x14ac:dyDescent="0.2">
      <c r="A7264">
        <f t="shared" si="113"/>
        <v>7203</v>
      </c>
      <c r="B7264" s="138">
        <f>'Expenditures 15-22'!D17</f>
        <v>-18716</v>
      </c>
      <c r="D7264" s="2" t="str">
        <f t="shared" si="112"/>
        <v>Error?</v>
      </c>
    </row>
    <row r="7265" spans="1:5" x14ac:dyDescent="0.2">
      <c r="A7265">
        <f t="shared" si="113"/>
        <v>7204</v>
      </c>
      <c r="B7265" s="138">
        <f>'Expenditures 15-22'!E17</f>
        <v>972</v>
      </c>
      <c r="D7265" s="2" t="str">
        <f t="shared" si="112"/>
        <v>Error?</v>
      </c>
    </row>
    <row r="7266" spans="1:5" x14ac:dyDescent="0.2">
      <c r="A7266">
        <f t="shared" si="113"/>
        <v>7205</v>
      </c>
      <c r="B7266" s="138">
        <f>'Expenditures 15-22'!F17</f>
        <v>3314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642768</v>
      </c>
      <c r="D7624" s="2" t="str">
        <f t="shared" si="124"/>
        <v>Error?</v>
      </c>
      <c r="E7624" s="2" t="s">
        <v>19</v>
      </c>
    </row>
    <row r="7625" spans="1:5" x14ac:dyDescent="0.2">
      <c r="A7625">
        <f t="shared" si="123"/>
        <v>7564</v>
      </c>
      <c r="B7625" s="138">
        <f>'Cap Outlay Deprec 26'!I17</f>
        <v>64276.800000000003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783113.8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59092</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50914</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50914</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36853</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62519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99372</v>
      </c>
      <c r="D7719" s="2" t="str">
        <f t="shared" si="126"/>
        <v>Error?</v>
      </c>
      <c r="E7719" s="2" t="s">
        <v>827</v>
      </c>
    </row>
    <row r="7720" spans="1:6" x14ac:dyDescent="0.2">
      <c r="A7720">
        <v>7659</v>
      </c>
      <c r="B7720" s="138">
        <f>'Rest Tax Levies-Tort Im 25'!H14</f>
        <v>255983</v>
      </c>
      <c r="D7720" s="2" t="str">
        <f t="shared" si="126"/>
        <v>Error?</v>
      </c>
      <c r="E7720" s="2" t="s">
        <v>827</v>
      </c>
    </row>
    <row r="7721" spans="1:6" x14ac:dyDescent="0.2">
      <c r="A7721">
        <v>7660</v>
      </c>
      <c r="B7721" s="138">
        <f>'Rest Tax Levies-Tort Im 25'!K14</f>
        <v>99372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94425</v>
      </c>
      <c r="D7797" s="2" t="str">
        <f t="shared" si="127"/>
        <v>Error?</v>
      </c>
      <c r="E7797" s="4" t="s">
        <v>1903</v>
      </c>
    </row>
    <row r="7798" spans="1:5" x14ac:dyDescent="0.2">
      <c r="A7798">
        <v>7737</v>
      </c>
      <c r="B7798" s="138">
        <f>'Contracts Paid in CY 29'!F141</f>
        <v>41241</v>
      </c>
      <c r="D7798" s="2" t="str">
        <f t="shared" si="127"/>
        <v>Error?</v>
      </c>
      <c r="E7798" s="4" t="s">
        <v>1903</v>
      </c>
    </row>
    <row r="7799" spans="1:5" x14ac:dyDescent="0.2">
      <c r="A7799">
        <v>7738</v>
      </c>
      <c r="B7799" s="138">
        <f>'Contracts Paid in CY 29'!G141</f>
        <v>53184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4" zoomScale="110" zoomScaleNormal="110" workbookViewId="0">
      <selection activeCell="B40" sqref="B40"/>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54" t="s">
        <v>1191</v>
      </c>
      <c r="B2" s="2454"/>
      <c r="C2" s="2454"/>
      <c r="D2" s="2454"/>
      <c r="E2" s="2454"/>
      <c r="F2" s="2454"/>
      <c r="G2" s="2454"/>
      <c r="H2" s="2454"/>
      <c r="I2" s="2454"/>
      <c r="J2" s="2454"/>
      <c r="K2" s="2454"/>
      <c r="L2" s="2454"/>
    </row>
    <row r="3" spans="1:29" ht="13.5" customHeight="1" x14ac:dyDescent="0.2">
      <c r="A3" s="2485" t="s">
        <v>1190</v>
      </c>
      <c r="B3" s="2485"/>
      <c r="C3" s="2485"/>
      <c r="D3" s="2485"/>
      <c r="E3" s="2485"/>
      <c r="F3" s="2485"/>
      <c r="G3" s="2485"/>
      <c r="H3" s="2485"/>
      <c r="I3" s="2485"/>
      <c r="J3" s="2485"/>
      <c r="K3" s="2485"/>
      <c r="L3" s="2485"/>
    </row>
    <row r="4" spans="1:29" ht="13.5" customHeight="1" x14ac:dyDescent="0.2">
      <c r="A4" s="2454" t="s">
        <v>1988</v>
      </c>
      <c r="B4" s="2475"/>
      <c r="C4" s="2475"/>
      <c r="D4" s="2475"/>
      <c r="E4" s="2475"/>
      <c r="F4" s="2475"/>
      <c r="G4" s="2475"/>
      <c r="H4" s="2475"/>
      <c r="I4" s="2475"/>
      <c r="J4" s="2475"/>
      <c r="K4" s="2475"/>
      <c r="L4" s="2475"/>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6" t="str">
        <f>COVER!A17</f>
        <v>McHenry CHSD 156</v>
      </c>
      <c r="B7" s="2477"/>
      <c r="C7" s="2477"/>
      <c r="D7" s="2478"/>
      <c r="E7" s="2479">
        <f>COVER!A13</f>
        <v>44063156016</v>
      </c>
      <c r="F7" s="2480"/>
      <c r="G7" s="2486" t="str">
        <f>COVER!T23</f>
        <v>066-005142</v>
      </c>
      <c r="H7" s="2487"/>
      <c r="I7" s="2487"/>
      <c r="J7" s="2487"/>
      <c r="K7" s="2487"/>
      <c r="L7" s="2488"/>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9"/>
      <c r="B9" s="2490"/>
      <c r="C9" s="2490"/>
      <c r="D9" s="2490"/>
      <c r="E9" s="2490"/>
      <c r="F9" s="2491"/>
      <c r="G9" s="2460" t="str">
        <f>COVER!T13</f>
        <v>EDER, CASELLA &amp; CO.</v>
      </c>
      <c r="H9" s="2492"/>
      <c r="I9" s="2492"/>
      <c r="J9" s="2492"/>
      <c r="K9" s="2492"/>
      <c r="L9" s="2493"/>
    </row>
    <row r="10" spans="1:29" ht="13.5" customHeight="1" x14ac:dyDescent="0.2">
      <c r="A10" s="2466" t="str">
        <f>COVER!A38</f>
        <v>DAVID LAWSON</v>
      </c>
      <c r="B10" s="2467"/>
      <c r="C10" s="2467"/>
      <c r="D10" s="2467"/>
      <c r="E10" s="2467"/>
      <c r="F10" s="2468"/>
      <c r="G10" s="2460" t="str">
        <f>COVER!T17</f>
        <v>5400 WEST ELM STREET, SUITE 203</v>
      </c>
      <c r="H10" s="2461"/>
      <c r="I10" s="2461"/>
      <c r="J10" s="2461"/>
      <c r="K10" s="2461"/>
      <c r="L10" s="2462"/>
    </row>
    <row r="11" spans="1:29" ht="13.5" customHeight="1" x14ac:dyDescent="0.2">
      <c r="A11" s="1157" t="s">
        <v>1519</v>
      </c>
      <c r="B11" s="1158"/>
      <c r="C11" s="1159"/>
      <c r="D11" s="1164"/>
      <c r="E11" s="1159"/>
      <c r="F11" s="1163"/>
      <c r="G11" s="2460" t="str">
        <f>COVER!T19</f>
        <v>MCHENRY</v>
      </c>
      <c r="H11" s="2461"/>
      <c r="I11" s="2461"/>
      <c r="J11" s="2461"/>
      <c r="K11" s="2461"/>
      <c r="L11" s="2462"/>
    </row>
    <row r="12" spans="1:29" ht="13.5" customHeight="1" x14ac:dyDescent="0.2">
      <c r="A12" s="2469" t="s">
        <v>1518</v>
      </c>
      <c r="B12" s="2470"/>
      <c r="C12" s="2470"/>
      <c r="D12" s="2470"/>
      <c r="E12" s="2470"/>
      <c r="F12" s="2471"/>
      <c r="G12" s="2463"/>
      <c r="H12" s="2464"/>
      <c r="I12" s="2464"/>
      <c r="J12" s="2464"/>
      <c r="K12" s="2464"/>
      <c r="L12" s="2465"/>
    </row>
    <row r="13" spans="1:29" ht="13.5" customHeight="1" x14ac:dyDescent="0.2">
      <c r="A13" s="2460"/>
      <c r="B13" s="2461"/>
      <c r="C13" s="2461"/>
      <c r="D13" s="2461"/>
      <c r="E13" s="2461"/>
      <c r="F13" s="2462"/>
      <c r="G13" s="2455" t="s">
        <v>1520</v>
      </c>
      <c r="H13" s="2456"/>
      <c r="I13" s="2472" t="str">
        <f>COVER!T25</f>
        <v>CPAS@EDERCASELLA.COM</v>
      </c>
      <c r="J13" s="2473"/>
      <c r="K13" s="2473"/>
      <c r="L13" s="2474"/>
    </row>
    <row r="14" spans="1:29" ht="13.5" customHeight="1" x14ac:dyDescent="0.2">
      <c r="A14" s="2460" t="str">
        <f>COVER!A19</f>
        <v>4716 W CRYSTAL LAKE ROAD</v>
      </c>
      <c r="B14" s="2461"/>
      <c r="C14" s="2461"/>
      <c r="D14" s="2461"/>
      <c r="E14" s="2461"/>
      <c r="F14" s="2462"/>
      <c r="G14" s="1168" t="s">
        <v>1185</v>
      </c>
      <c r="H14" s="1166"/>
      <c r="I14" s="1166"/>
      <c r="J14" s="1166"/>
      <c r="K14" s="1166"/>
      <c r="L14" s="1167"/>
    </row>
    <row r="15" spans="1:29" ht="13.5" customHeight="1" x14ac:dyDescent="0.2">
      <c r="A15" s="2460" t="str">
        <f>COVER!A21</f>
        <v>MCHENRY</v>
      </c>
      <c r="B15" s="2461"/>
      <c r="C15" s="2461"/>
      <c r="D15" s="2461"/>
      <c r="E15" s="2461"/>
      <c r="F15" s="2462"/>
      <c r="G15" s="2457" t="str">
        <f>COVER!T15</f>
        <v>CHERYDEN JUERGENSEN</v>
      </c>
      <c r="H15" s="2458"/>
      <c r="I15" s="2458"/>
      <c r="J15" s="2458"/>
      <c r="K15" s="2458"/>
      <c r="L15" s="2459"/>
    </row>
    <row r="16" spans="1:29" ht="12.2" customHeight="1" x14ac:dyDescent="0.2">
      <c r="A16" s="2482">
        <f>COVER!A25</f>
        <v>60050</v>
      </c>
      <c r="B16" s="2483"/>
      <c r="C16" s="2483"/>
      <c r="D16" s="2483"/>
      <c r="E16" s="2483"/>
      <c r="F16" s="2484"/>
      <c r="G16" s="2494"/>
      <c r="H16" s="2495"/>
      <c r="I16" s="2495"/>
      <c r="J16" s="2495"/>
      <c r="K16" s="2495"/>
      <c r="L16" s="2496"/>
    </row>
    <row r="17" spans="1:13" ht="12.2" customHeight="1" x14ac:dyDescent="0.2">
      <c r="A17" s="2497"/>
      <c r="B17" s="2483"/>
      <c r="C17" s="2483"/>
      <c r="D17" s="2483"/>
      <c r="E17" s="2483"/>
      <c r="F17" s="2484"/>
      <c r="G17" s="1168" t="s">
        <v>1184</v>
      </c>
      <c r="H17" s="1166"/>
      <c r="I17" s="1166"/>
      <c r="J17" s="1166"/>
      <c r="K17" s="1170" t="s">
        <v>1183</v>
      </c>
      <c r="L17" s="1163"/>
      <c r="M17" s="1156"/>
    </row>
    <row r="18" spans="1:13" ht="12.2" customHeight="1" x14ac:dyDescent="0.2">
      <c r="A18" s="2466"/>
      <c r="B18" s="2467"/>
      <c r="C18" s="2467"/>
      <c r="D18" s="2467"/>
      <c r="E18" s="2467"/>
      <c r="F18" s="2468"/>
      <c r="G18" s="2476" t="str">
        <f>COVER!T21</f>
        <v>815-344-1300</v>
      </c>
      <c r="H18" s="2477"/>
      <c r="I18" s="2477"/>
      <c r="J18" s="2477"/>
      <c r="K18" s="2476" t="str">
        <f>COVER!X21</f>
        <v>815-344-1320</v>
      </c>
      <c r="L18" s="2481"/>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2156</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2156</v>
      </c>
      <c r="C26" s="1175" t="s">
        <v>1699</v>
      </c>
    </row>
    <row r="27" spans="1:13" s="1171" customFormat="1" ht="9" customHeight="1" x14ac:dyDescent="0.2">
      <c r="B27" s="1176"/>
      <c r="C27" s="1175"/>
    </row>
    <row r="28" spans="1:13" s="1171" customFormat="1" ht="12.2" customHeight="1" x14ac:dyDescent="0.2">
      <c r="A28" s="1178"/>
      <c r="B28" s="1174" t="s">
        <v>2156</v>
      </c>
      <c r="C28" s="1175" t="s">
        <v>1700</v>
      </c>
    </row>
    <row r="29" spans="1:13" s="1171" customFormat="1" ht="9" customHeight="1" x14ac:dyDescent="0.2">
      <c r="A29" s="1178"/>
      <c r="B29" s="1176"/>
      <c r="C29" s="1175"/>
    </row>
    <row r="30" spans="1:13" s="1171" customFormat="1" ht="12.2" customHeight="1" x14ac:dyDescent="0.2">
      <c r="B30" s="1174" t="s">
        <v>2156</v>
      </c>
      <c r="C30" s="1175" t="s">
        <v>1562</v>
      </c>
      <c r="D30" s="1169"/>
      <c r="E30" s="1169"/>
    </row>
    <row r="31" spans="1:13" s="1171" customFormat="1" ht="9" customHeight="1" x14ac:dyDescent="0.2">
      <c r="B31" s="1176"/>
      <c r="C31" s="1175"/>
      <c r="D31" s="1169"/>
      <c r="E31" s="1169"/>
    </row>
    <row r="32" spans="1:13" s="1171" customFormat="1" ht="12.2" customHeight="1" x14ac:dyDescent="0.2">
      <c r="B32" s="1174" t="s">
        <v>2156</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2156</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2156</v>
      </c>
      <c r="C38" s="1175" t="s">
        <v>1566</v>
      </c>
    </row>
    <row r="39" spans="1:8" ht="9" customHeight="1" x14ac:dyDescent="0.2">
      <c r="B39" s="1176"/>
      <c r="C39" s="1179"/>
    </row>
    <row r="40" spans="1:8" s="1171" customFormat="1" ht="13.5" customHeight="1" x14ac:dyDescent="0.2">
      <c r="B40" s="1174" t="s">
        <v>2156</v>
      </c>
      <c r="C40" s="1175" t="s">
        <v>1567</v>
      </c>
    </row>
    <row r="41" spans="1:8" ht="9" customHeight="1" x14ac:dyDescent="0.2">
      <c r="A41" s="1180"/>
      <c r="B41" s="1176"/>
      <c r="C41" s="1179"/>
    </row>
    <row r="42" spans="1:8" s="1171" customFormat="1" ht="13.5" customHeight="1" x14ac:dyDescent="0.2">
      <c r="B42" s="1174" t="s">
        <v>2156</v>
      </c>
      <c r="C42" s="1175" t="s">
        <v>1835</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8" t="str">
        <f>'Single Audit Cover'!A7</f>
        <v>McHenry CHSD 156</v>
      </c>
      <c r="B1" s="2475"/>
      <c r="C1" s="2475"/>
      <c r="D1" s="2475"/>
    </row>
    <row r="2" spans="1:11" s="1185" customFormat="1" ht="12.75" x14ac:dyDescent="0.2">
      <c r="A2" s="2499">
        <f>'Single Audit Cover'!E7</f>
        <v>44063156016</v>
      </c>
      <c r="B2" s="2500"/>
      <c r="C2" s="2500"/>
      <c r="D2" s="2500"/>
    </row>
    <row r="3" spans="1:11" s="1185" customFormat="1" ht="12.75" x14ac:dyDescent="0.2">
      <c r="A3" s="2498" t="s">
        <v>1513</v>
      </c>
      <c r="B3" s="2475"/>
      <c r="C3" s="2475"/>
      <c r="D3" s="2475"/>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1836</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E49"/>
  <sheetViews>
    <sheetView showGridLines="0" topLeftCell="A7"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2" t="str">
        <f>'Single Audit Cover'!A7</f>
        <v>McHenry CHSD 156</v>
      </c>
      <c r="B1" s="2502"/>
      <c r="C1" s="2502"/>
      <c r="D1" s="2502"/>
      <c r="E1" s="2502"/>
    </row>
    <row r="2" spans="1:5" x14ac:dyDescent="0.2">
      <c r="A2" s="2503">
        <f>'Single Audit Cover'!E7</f>
        <v>44063156016</v>
      </c>
      <c r="B2" s="2503"/>
      <c r="C2" s="2503"/>
      <c r="D2" s="2503"/>
      <c r="E2" s="2503"/>
    </row>
    <row r="3" spans="1:5" ht="4.5" customHeight="1" x14ac:dyDescent="0.2"/>
    <row r="4" spans="1:5" x14ac:dyDescent="0.2">
      <c r="A4" s="2502" t="s">
        <v>1245</v>
      </c>
      <c r="B4" s="2502"/>
      <c r="C4" s="2502"/>
      <c r="D4" s="2502"/>
      <c r="E4" s="2502"/>
    </row>
    <row r="5" spans="1:5" x14ac:dyDescent="0.2">
      <c r="A5" s="2505" t="str">
        <f>'Single Audit Cover'!A4</f>
        <v>Year Ending June 30, 2019</v>
      </c>
      <c r="B5" s="2505"/>
      <c r="C5" s="2505"/>
      <c r="D5" s="2505"/>
      <c r="E5" s="2505"/>
    </row>
    <row r="6" spans="1:5" x14ac:dyDescent="0.2">
      <c r="A6" s="2502" t="s">
        <v>1244</v>
      </c>
      <c r="B6" s="2502"/>
      <c r="C6" s="2502"/>
      <c r="D6" s="2502"/>
      <c r="E6" s="2502"/>
    </row>
    <row r="8" spans="1:5" x14ac:dyDescent="0.2">
      <c r="A8" s="1230" t="s">
        <v>1243</v>
      </c>
    </row>
    <row r="10" spans="1:5" x14ac:dyDescent="0.2">
      <c r="A10" s="1231" t="s">
        <v>1242</v>
      </c>
      <c r="B10" s="1232" t="s">
        <v>1241</v>
      </c>
      <c r="C10" s="1232"/>
      <c r="D10" s="1233">
        <f>SUM('Acct Summary 7-8'!C7:K7)</f>
        <v>1402259</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42446</v>
      </c>
    </row>
    <row r="15" spans="1:5" x14ac:dyDescent="0.2">
      <c r="A15" s="1231"/>
      <c r="B15" s="1232"/>
      <c r="C15" s="1232"/>
    </row>
    <row r="16" spans="1:5" x14ac:dyDescent="0.2">
      <c r="A16" s="1231" t="s">
        <v>1843</v>
      </c>
      <c r="B16" s="1232"/>
      <c r="C16" s="1232"/>
    </row>
    <row r="17" spans="1:4" x14ac:dyDescent="0.2">
      <c r="A17" s="1231" t="s">
        <v>2060</v>
      </c>
      <c r="B17" s="1232" t="s">
        <v>1236</v>
      </c>
      <c r="C17" s="1232"/>
      <c r="D17" s="1234">
        <f>-SUM('Revenues 9-14'!C264:D264,'Revenues 9-14'!F264:G264)</f>
        <v>-102586</v>
      </c>
    </row>
    <row r="19" spans="1:4" ht="13.5" thickBot="1" x14ac:dyDescent="0.25">
      <c r="A19" s="1235" t="s">
        <v>1235</v>
      </c>
      <c r="D19" s="1236">
        <f>SUM(D10:D17)</f>
        <v>1342119</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4" t="s">
        <v>2116</v>
      </c>
      <c r="B24" s="2504"/>
      <c r="D24" s="1238">
        <v>185</v>
      </c>
    </row>
    <row r="25" spans="1:4" x14ac:dyDescent="0.2">
      <c r="A25" s="2501" t="s">
        <v>2117</v>
      </c>
      <c r="B25" s="2501"/>
      <c r="D25" s="1238">
        <v>385</v>
      </c>
    </row>
    <row r="26" spans="1:4" x14ac:dyDescent="0.2">
      <c r="A26" s="2501" t="s">
        <v>2122</v>
      </c>
      <c r="B26" s="2501"/>
      <c r="D26" s="1238">
        <v>1</v>
      </c>
    </row>
    <row r="27" spans="1:4" x14ac:dyDescent="0.2">
      <c r="A27" s="2501"/>
      <c r="B27" s="2501"/>
      <c r="D27" s="1238"/>
    </row>
    <row r="28" spans="1:4" x14ac:dyDescent="0.2">
      <c r="A28" s="2501"/>
      <c r="B28" s="2501"/>
      <c r="D28" s="1238"/>
    </row>
    <row r="29" spans="1:4" x14ac:dyDescent="0.2">
      <c r="A29" s="2501"/>
      <c r="B29" s="2501"/>
      <c r="D29" s="1238"/>
    </row>
    <row r="30" spans="1:4" x14ac:dyDescent="0.2">
      <c r="A30" s="2501"/>
      <c r="B30" s="2501"/>
      <c r="D30" s="1238"/>
    </row>
    <row r="32" spans="1:4" x14ac:dyDescent="0.2">
      <c r="A32" s="1230" t="s">
        <v>1233</v>
      </c>
      <c r="D32" s="1233">
        <f>SUM(D19:D30)</f>
        <v>1342690</v>
      </c>
    </row>
    <row r="33" spans="1:4" x14ac:dyDescent="0.2">
      <c r="D33" s="1239"/>
    </row>
    <row r="34" spans="1:4" x14ac:dyDescent="0.2">
      <c r="A34" s="317" t="s">
        <v>1232</v>
      </c>
    </row>
    <row r="35" spans="1:4" x14ac:dyDescent="0.2">
      <c r="A35" s="317" t="s">
        <v>1231</v>
      </c>
      <c r="B35" s="1228" t="s">
        <v>1230</v>
      </c>
      <c r="D35" s="1240">
        <f>' SEFA (3)'!F24</f>
        <v>1342690</v>
      </c>
    </row>
    <row r="37" spans="1:4" x14ac:dyDescent="0.2">
      <c r="A37" s="1230" t="s">
        <v>1229</v>
      </c>
    </row>
    <row r="39" spans="1:4" ht="13.35" customHeight="1" x14ac:dyDescent="0.2">
      <c r="A39" s="1237" t="s">
        <v>1228</v>
      </c>
    </row>
    <row r="40" spans="1:4" x14ac:dyDescent="0.2">
      <c r="A40" s="2501"/>
      <c r="B40" s="2501"/>
      <c r="D40" s="1238"/>
    </row>
    <row r="41" spans="1:4" x14ac:dyDescent="0.2">
      <c r="A41" s="2501"/>
      <c r="B41" s="2501"/>
      <c r="D41" s="1241"/>
    </row>
    <row r="42" spans="1:4" x14ac:dyDescent="0.2">
      <c r="A42" s="2501"/>
      <c r="B42" s="2501"/>
      <c r="D42" s="1241"/>
    </row>
    <row r="43" spans="1:4" x14ac:dyDescent="0.2">
      <c r="A43" s="2501"/>
      <c r="B43" s="2501"/>
      <c r="D43" s="1241"/>
    </row>
    <row r="44" spans="1:4" x14ac:dyDescent="0.2">
      <c r="A44" s="2501"/>
      <c r="B44" s="2501"/>
      <c r="D44" s="1241"/>
    </row>
    <row r="45" spans="1:4" x14ac:dyDescent="0.2">
      <c r="A45" s="2501"/>
      <c r="B45" s="2501"/>
      <c r="D45" s="1241"/>
    </row>
    <row r="47" spans="1:4" x14ac:dyDescent="0.2">
      <c r="B47" s="1242" t="s">
        <v>1227</v>
      </c>
      <c r="C47" s="1242"/>
      <c r="D47" s="1243">
        <f>SUM(D35:D45)</f>
        <v>1342690</v>
      </c>
    </row>
    <row r="49" spans="2:4" x14ac:dyDescent="0.2">
      <c r="B49" s="1242" t="s">
        <v>1226</v>
      </c>
      <c r="C49" s="1242"/>
      <c r="D49" s="1243">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B1:N152"/>
  <sheetViews>
    <sheetView showGridLines="0" zoomScale="91" zoomScaleNormal="91" workbookViewId="0">
      <selection activeCell="B11" sqref="B11:M27"/>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5" t="str">
        <f>'Single Audit Cover'!A7</f>
        <v>McHenry CHSD 156</v>
      </c>
      <c r="C1" s="2506"/>
      <c r="D1" s="2506"/>
      <c r="E1" s="2506"/>
      <c r="F1" s="2506"/>
      <c r="G1" s="2506"/>
      <c r="H1" s="2506"/>
      <c r="I1" s="2506"/>
      <c r="J1" s="2506"/>
      <c r="K1" s="2506"/>
      <c r="L1" s="2506"/>
      <c r="M1" s="2506"/>
    </row>
    <row r="2" spans="2:14" ht="15" x14ac:dyDescent="0.2">
      <c r="B2" s="2507">
        <f>'Single Audit Cover'!E7</f>
        <v>44063156016</v>
      </c>
      <c r="C2" s="2507"/>
      <c r="D2" s="2507"/>
      <c r="E2" s="2507"/>
      <c r="F2" s="2507"/>
      <c r="G2" s="2507"/>
      <c r="H2" s="2507"/>
      <c r="I2" s="2507"/>
      <c r="J2" s="2507"/>
      <c r="K2" s="2507"/>
      <c r="L2" s="2507"/>
      <c r="M2" s="2507"/>
      <c r="N2" s="1272"/>
    </row>
    <row r="3" spans="2:14" ht="15" x14ac:dyDescent="0.2">
      <c r="B3" s="2508" t="s">
        <v>1219</v>
      </c>
      <c r="C3" s="2508"/>
      <c r="D3" s="2508"/>
      <c r="E3" s="2508"/>
      <c r="F3" s="2508"/>
      <c r="G3" s="2508"/>
      <c r="H3" s="2508"/>
      <c r="I3" s="2508"/>
      <c r="J3" s="2508"/>
      <c r="K3" s="2508"/>
      <c r="L3" s="2508"/>
      <c r="M3" s="2508"/>
      <c r="N3" s="1272"/>
    </row>
    <row r="4" spans="2:14" ht="15" x14ac:dyDescent="0.2">
      <c r="B4" s="2509" t="str">
        <f>'Single Audit Cover'!A4</f>
        <v>Year Ending June 30, 2019</v>
      </c>
      <c r="C4" s="2509"/>
      <c r="D4" s="2509"/>
      <c r="E4" s="2509"/>
      <c r="F4" s="2509"/>
      <c r="G4" s="2509"/>
      <c r="H4" s="2509"/>
      <c r="I4" s="2509"/>
      <c r="J4" s="2509"/>
      <c r="K4" s="2509"/>
      <c r="L4" s="2509"/>
      <c r="M4" s="2509"/>
      <c r="N4" s="1272"/>
    </row>
    <row r="6" spans="2:14" x14ac:dyDescent="0.2">
      <c r="B6" s="1273"/>
      <c r="C6" s="1274"/>
      <c r="D6" s="1275" t="s">
        <v>1265</v>
      </c>
      <c r="E6" s="1276" t="s">
        <v>527</v>
      </c>
      <c r="F6" s="1277"/>
      <c r="G6" s="1278" t="s">
        <v>1733</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1838</v>
      </c>
      <c r="I8" s="1289" t="s">
        <v>1262</v>
      </c>
      <c r="J8" s="1288" t="s">
        <v>1989</v>
      </c>
      <c r="K8" s="1289" t="s">
        <v>1261</v>
      </c>
      <c r="L8" s="1290" t="s">
        <v>1257</v>
      </c>
      <c r="M8" s="1291" t="s">
        <v>30</v>
      </c>
    </row>
    <row r="9" spans="2:14" ht="14.25" x14ac:dyDescent="0.2">
      <c r="B9" s="1295" t="s">
        <v>1259</v>
      </c>
      <c r="C9" s="1283" t="s">
        <v>1734</v>
      </c>
      <c r="D9" s="1284" t="s">
        <v>1735</v>
      </c>
      <c r="E9" s="1292" t="s">
        <v>1838</v>
      </c>
      <c r="F9" s="1293" t="s">
        <v>1989</v>
      </c>
      <c r="G9" s="1294" t="s">
        <v>1838</v>
      </c>
      <c r="H9" s="1287" t="s">
        <v>1582</v>
      </c>
      <c r="I9" s="1289" t="s">
        <v>1989</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2071</v>
      </c>
      <c r="C11" s="1308"/>
      <c r="D11" s="1309"/>
      <c r="E11" s="1310"/>
      <c r="F11" s="1310"/>
      <c r="G11" s="1310"/>
      <c r="H11" s="1310"/>
      <c r="I11" s="1310"/>
      <c r="J11" s="1310"/>
      <c r="K11" s="1310"/>
      <c r="L11" s="1310"/>
      <c r="M11" s="1310"/>
    </row>
    <row r="12" spans="2:14" ht="20.100000000000001" customHeight="1" x14ac:dyDescent="0.2">
      <c r="B12" s="1307" t="s">
        <v>2072</v>
      </c>
      <c r="C12" s="1311"/>
      <c r="D12" s="1312"/>
      <c r="E12" s="1313"/>
      <c r="F12" s="1313"/>
      <c r="G12" s="1313"/>
      <c r="H12" s="1313"/>
      <c r="I12" s="1313"/>
      <c r="J12" s="1313"/>
      <c r="K12" s="1313"/>
      <c r="L12" s="1310"/>
      <c r="M12" s="1313"/>
    </row>
    <row r="13" spans="2:14" ht="20.100000000000001" customHeight="1" x14ac:dyDescent="0.2">
      <c r="B13" s="1307" t="s">
        <v>2108</v>
      </c>
      <c r="C13" s="1311">
        <v>10.555</v>
      </c>
      <c r="D13" s="1312" t="s">
        <v>2073</v>
      </c>
      <c r="E13" s="1313"/>
      <c r="F13" s="1313">
        <v>27490</v>
      </c>
      <c r="G13" s="1313"/>
      <c r="H13" s="1313"/>
      <c r="I13" s="1313">
        <v>27490</v>
      </c>
      <c r="J13" s="1313"/>
      <c r="K13" s="1313"/>
      <c r="L13" s="1310">
        <f t="shared" ref="L13:L17" si="0">+G13+I13+K13</f>
        <v>27490</v>
      </c>
      <c r="M13" s="1313" t="s">
        <v>2078</v>
      </c>
    </row>
    <row r="14" spans="2:14" ht="20.100000000000001" customHeight="1" x14ac:dyDescent="0.2">
      <c r="B14" s="1307" t="s">
        <v>2106</v>
      </c>
      <c r="C14" s="1311">
        <v>10.555</v>
      </c>
      <c r="D14" s="1312" t="s">
        <v>2074</v>
      </c>
      <c r="E14" s="1313">
        <v>189971</v>
      </c>
      <c r="F14" s="1313">
        <f>44503+23320</f>
        <v>67823</v>
      </c>
      <c r="G14" s="1313">
        <v>213291</v>
      </c>
      <c r="H14" s="1313"/>
      <c r="I14" s="1313">
        <v>44503</v>
      </c>
      <c r="J14" s="1313"/>
      <c r="K14" s="1313"/>
      <c r="L14" s="1310">
        <f t="shared" si="0"/>
        <v>257794</v>
      </c>
      <c r="M14" s="1313" t="s">
        <v>2078</v>
      </c>
    </row>
    <row r="15" spans="2:14" ht="20.100000000000001" customHeight="1" x14ac:dyDescent="0.2">
      <c r="B15" s="1307" t="s">
        <v>2106</v>
      </c>
      <c r="C15" s="1311">
        <v>10.555</v>
      </c>
      <c r="D15" s="1312" t="s">
        <v>2075</v>
      </c>
      <c r="E15" s="1313"/>
      <c r="F15" s="1313">
        <v>213761</v>
      </c>
      <c r="G15" s="1313"/>
      <c r="H15" s="1313"/>
      <c r="I15" s="1313">
        <v>213761</v>
      </c>
      <c r="J15" s="1313"/>
      <c r="K15" s="1313"/>
      <c r="L15" s="1310">
        <f t="shared" si="0"/>
        <v>213761</v>
      </c>
      <c r="M15" s="1313" t="s">
        <v>2078</v>
      </c>
    </row>
    <row r="16" spans="2:14" ht="20.100000000000001" customHeight="1" x14ac:dyDescent="0.2">
      <c r="B16" s="1307" t="s">
        <v>2107</v>
      </c>
      <c r="C16" s="1311">
        <v>10.553000000000001</v>
      </c>
      <c r="D16" s="1312" t="s">
        <v>2076</v>
      </c>
      <c r="E16" s="1313">
        <v>25454</v>
      </c>
      <c r="F16" s="1313">
        <f>1526+3082+3259</f>
        <v>7867</v>
      </c>
      <c r="G16" s="1313">
        <v>28714</v>
      </c>
      <c r="H16" s="1313"/>
      <c r="I16" s="1313">
        <f>1526.12+3081</f>
        <v>4607.12</v>
      </c>
      <c r="J16" s="1313"/>
      <c r="K16" s="1313"/>
      <c r="L16" s="1310">
        <f t="shared" si="0"/>
        <v>33321.120000000003</v>
      </c>
      <c r="M16" s="1313" t="s">
        <v>2078</v>
      </c>
    </row>
    <row r="17" spans="2:14" ht="20.100000000000001" customHeight="1" x14ac:dyDescent="0.2">
      <c r="B17" s="1307" t="s">
        <v>2107</v>
      </c>
      <c r="C17" s="1311">
        <v>10.553000000000001</v>
      </c>
      <c r="D17" s="1312" t="s">
        <v>2077</v>
      </c>
      <c r="E17" s="1313"/>
      <c r="F17" s="1313">
        <v>29399</v>
      </c>
      <c r="G17" s="1313"/>
      <c r="H17" s="1313"/>
      <c r="I17" s="1313">
        <v>29398.53</v>
      </c>
      <c r="J17" s="1313"/>
      <c r="K17" s="1313"/>
      <c r="L17" s="1310">
        <f t="shared" si="0"/>
        <v>29398.53</v>
      </c>
      <c r="M17" s="1313" t="s">
        <v>2078</v>
      </c>
    </row>
    <row r="18" spans="2:14" ht="20.100000000000001" customHeight="1" x14ac:dyDescent="0.2">
      <c r="B18" s="1307"/>
      <c r="C18" s="1311"/>
      <c r="D18" s="1312"/>
      <c r="E18" s="1313"/>
      <c r="F18" s="1313"/>
      <c r="G18" s="1313"/>
      <c r="H18" s="1313"/>
      <c r="I18" s="1313"/>
      <c r="J18" s="1313"/>
      <c r="K18" s="1313"/>
      <c r="L18" s="1310"/>
      <c r="M18" s="1313"/>
    </row>
    <row r="19" spans="2:14" ht="20.100000000000001" customHeight="1" x14ac:dyDescent="0.2">
      <c r="B19" s="1307" t="s">
        <v>2119</v>
      </c>
      <c r="C19" s="1311"/>
      <c r="D19" s="1312"/>
      <c r="E19" s="1313"/>
      <c r="F19" s="1313"/>
      <c r="G19" s="1313"/>
      <c r="H19" s="1313"/>
      <c r="I19" s="1313"/>
      <c r="J19" s="1313"/>
      <c r="K19" s="1313"/>
      <c r="L19" s="1310"/>
      <c r="M19" s="1313"/>
    </row>
    <row r="20" spans="2:14" ht="20.100000000000001" customHeight="1" x14ac:dyDescent="0.2">
      <c r="B20" s="1307" t="s">
        <v>2072</v>
      </c>
      <c r="C20" s="1311"/>
      <c r="D20" s="1312"/>
      <c r="E20" s="1313"/>
      <c r="F20" s="1313"/>
      <c r="G20" s="1313"/>
      <c r="H20" s="1313"/>
      <c r="I20" s="1313"/>
      <c r="J20" s="1313"/>
      <c r="K20" s="1313"/>
      <c r="L20" s="1310"/>
      <c r="M20" s="1313"/>
    </row>
    <row r="21" spans="2:14" ht="20.100000000000001" customHeight="1" x14ac:dyDescent="0.2">
      <c r="B21" s="1307" t="s">
        <v>2108</v>
      </c>
      <c r="C21" s="1311">
        <v>10.555</v>
      </c>
      <c r="D21" s="1312" t="s">
        <v>2073</v>
      </c>
      <c r="E21" s="1313"/>
      <c r="F21" s="1313">
        <v>14956</v>
      </c>
      <c r="G21" s="1313"/>
      <c r="H21" s="1313"/>
      <c r="I21" s="1313">
        <v>14956</v>
      </c>
      <c r="J21" s="1313"/>
      <c r="K21" s="1313"/>
      <c r="L21" s="1310">
        <f t="shared" ref="L21" si="1">+G21+I21+K21</f>
        <v>14956</v>
      </c>
      <c r="M21" s="1313" t="s">
        <v>2078</v>
      </c>
    </row>
    <row r="22" spans="2:14" ht="20.100000000000001" customHeight="1" x14ac:dyDescent="0.2">
      <c r="B22" s="1307"/>
      <c r="C22" s="1311"/>
      <c r="D22" s="1312"/>
      <c r="E22" s="1313"/>
      <c r="F22" s="1313"/>
      <c r="G22" s="1313"/>
      <c r="H22" s="1313"/>
      <c r="I22" s="1313"/>
      <c r="J22" s="1313"/>
      <c r="K22" s="1313"/>
      <c r="L22" s="1310"/>
      <c r="M22" s="1313"/>
    </row>
    <row r="23" spans="2:14" ht="20.100000000000001" customHeight="1" x14ac:dyDescent="0.2">
      <c r="B23" s="1307" t="s">
        <v>2120</v>
      </c>
      <c r="C23" s="1311"/>
      <c r="D23" s="1312"/>
      <c r="E23" s="1313">
        <f t="shared" ref="E23:J23" si="2">SUM(E13:E21)</f>
        <v>215425</v>
      </c>
      <c r="F23" s="1313">
        <f t="shared" si="2"/>
        <v>361296</v>
      </c>
      <c r="G23" s="1313">
        <f t="shared" si="2"/>
        <v>242005</v>
      </c>
      <c r="H23" s="1313">
        <f t="shared" si="2"/>
        <v>0</v>
      </c>
      <c r="I23" s="1313">
        <f t="shared" si="2"/>
        <v>334715.65000000002</v>
      </c>
      <c r="J23" s="1313">
        <f t="shared" si="2"/>
        <v>0</v>
      </c>
      <c r="K23" s="1313"/>
      <c r="L23" s="1310">
        <f>SUM(L13:L21)</f>
        <v>576720.65</v>
      </c>
      <c r="M23" s="1313"/>
    </row>
    <row r="24" spans="2:14" ht="20.100000000000001" customHeight="1" x14ac:dyDescent="0.2">
      <c r="B24" s="1307"/>
      <c r="C24" s="1311"/>
      <c r="D24" s="1312"/>
      <c r="E24" s="1313"/>
      <c r="F24" s="1313"/>
      <c r="G24" s="1313"/>
      <c r="H24" s="1313"/>
      <c r="I24" s="1313"/>
      <c r="J24" s="1313"/>
      <c r="K24" s="1313"/>
      <c r="L24" s="1310"/>
      <c r="M24" s="1313"/>
    </row>
    <row r="25" spans="2:14" ht="20.100000000000001" customHeight="1" x14ac:dyDescent="0.2">
      <c r="B25" s="1307" t="s">
        <v>2109</v>
      </c>
      <c r="C25" s="1311"/>
      <c r="D25" s="1312"/>
      <c r="E25" s="1313">
        <f t="shared" ref="E25:J25" si="3">E23</f>
        <v>215425</v>
      </c>
      <c r="F25" s="1313">
        <f t="shared" si="3"/>
        <v>361296</v>
      </c>
      <c r="G25" s="1313">
        <f t="shared" si="3"/>
        <v>242005</v>
      </c>
      <c r="H25" s="1313">
        <f t="shared" si="3"/>
        <v>0</v>
      </c>
      <c r="I25" s="1313">
        <f t="shared" si="3"/>
        <v>334715.65000000002</v>
      </c>
      <c r="J25" s="1313">
        <f t="shared" si="3"/>
        <v>0</v>
      </c>
      <c r="K25" s="1313"/>
      <c r="L25" s="1310">
        <f>L23</f>
        <v>576720.65</v>
      </c>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t="s">
        <v>2118</v>
      </c>
      <c r="C27" s="1311"/>
      <c r="D27" s="1312"/>
      <c r="E27" s="1313"/>
      <c r="F27" s="1313"/>
      <c r="G27" s="1313"/>
      <c r="H27" s="1313"/>
      <c r="I27" s="1313"/>
      <c r="J27" s="1313"/>
      <c r="K27" s="1313"/>
      <c r="L27" s="1310"/>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1736</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1839</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1737</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1738</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1739</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1740</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5"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7C37-D622-4C10-83A6-C2CB4A52EA65}">
  <sheetPr>
    <tabColor rgb="FF00B0F0"/>
    <pageSetUpPr fitToPage="1"/>
  </sheetPr>
  <dimension ref="B1:N152"/>
  <sheetViews>
    <sheetView showGridLines="0" topLeftCell="C7" zoomScale="91" zoomScaleNormal="91" workbookViewId="0">
      <selection activeCell="B28" sqref="B28"/>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5" t="str">
        <f>'Single Audit Cover'!A7</f>
        <v>McHenry CHSD 156</v>
      </c>
      <c r="C1" s="2506"/>
      <c r="D1" s="2506"/>
      <c r="E1" s="2506"/>
      <c r="F1" s="2506"/>
      <c r="G1" s="2506"/>
      <c r="H1" s="2506"/>
      <c r="I1" s="2506"/>
      <c r="J1" s="2506"/>
      <c r="K1" s="2506"/>
      <c r="L1" s="2506"/>
      <c r="M1" s="2506"/>
    </row>
    <row r="2" spans="2:14" ht="15" x14ac:dyDescent="0.2">
      <c r="B2" s="2507">
        <f>'Single Audit Cover'!E7</f>
        <v>44063156016</v>
      </c>
      <c r="C2" s="2507"/>
      <c r="D2" s="2507"/>
      <c r="E2" s="2507"/>
      <c r="F2" s="2507"/>
      <c r="G2" s="2507"/>
      <c r="H2" s="2507"/>
      <c r="I2" s="2507"/>
      <c r="J2" s="2507"/>
      <c r="K2" s="2507"/>
      <c r="L2" s="2507"/>
      <c r="M2" s="2507"/>
      <c r="N2" s="1272"/>
    </row>
    <row r="3" spans="2:14" ht="15" x14ac:dyDescent="0.2">
      <c r="B3" s="2508" t="s">
        <v>1219</v>
      </c>
      <c r="C3" s="2508"/>
      <c r="D3" s="2508"/>
      <c r="E3" s="2508"/>
      <c r="F3" s="2508"/>
      <c r="G3" s="2508"/>
      <c r="H3" s="2508"/>
      <c r="I3" s="2508"/>
      <c r="J3" s="2508"/>
      <c r="K3" s="2508"/>
      <c r="L3" s="2508"/>
      <c r="M3" s="2508"/>
      <c r="N3" s="1272"/>
    </row>
    <row r="4" spans="2:14" ht="15" x14ac:dyDescent="0.2">
      <c r="B4" s="2509" t="str">
        <f>'Single Audit Cover'!A4</f>
        <v>Year Ending June 30, 2019</v>
      </c>
      <c r="C4" s="2509"/>
      <c r="D4" s="2509"/>
      <c r="E4" s="2509"/>
      <c r="F4" s="2509"/>
      <c r="G4" s="2509"/>
      <c r="H4" s="2509"/>
      <c r="I4" s="2509"/>
      <c r="J4" s="2509"/>
      <c r="K4" s="2509"/>
      <c r="L4" s="2509"/>
      <c r="M4" s="2509"/>
      <c r="N4" s="1272"/>
    </row>
    <row r="6" spans="2:14" x14ac:dyDescent="0.2">
      <c r="B6" s="1273"/>
      <c r="C6" s="1274"/>
      <c r="D6" s="1275" t="s">
        <v>1265</v>
      </c>
      <c r="E6" s="1276" t="s">
        <v>527</v>
      </c>
      <c r="F6" s="1277"/>
      <c r="G6" s="1278" t="s">
        <v>1733</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1838</v>
      </c>
      <c r="I8" s="1289" t="s">
        <v>1262</v>
      </c>
      <c r="J8" s="1288" t="s">
        <v>1989</v>
      </c>
      <c r="K8" s="1289" t="s">
        <v>1261</v>
      </c>
      <c r="L8" s="1290" t="s">
        <v>1257</v>
      </c>
      <c r="M8" s="1291" t="s">
        <v>30</v>
      </c>
    </row>
    <row r="9" spans="2:14" ht="14.25" x14ac:dyDescent="0.2">
      <c r="B9" s="1295" t="s">
        <v>1259</v>
      </c>
      <c r="C9" s="1283" t="s">
        <v>1734</v>
      </c>
      <c r="D9" s="1284" t="s">
        <v>1735</v>
      </c>
      <c r="E9" s="1292" t="s">
        <v>1838</v>
      </c>
      <c r="F9" s="1293" t="s">
        <v>1989</v>
      </c>
      <c r="G9" s="1294" t="s">
        <v>1838</v>
      </c>
      <c r="H9" s="1287" t="s">
        <v>1582</v>
      </c>
      <c r="I9" s="1289" t="s">
        <v>1989</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2079</v>
      </c>
      <c r="C11" s="1308"/>
      <c r="D11" s="1309"/>
      <c r="E11" s="1310"/>
      <c r="F11" s="1310"/>
      <c r="G11" s="1310"/>
      <c r="H11" s="1310"/>
      <c r="I11" s="1310"/>
      <c r="J11" s="1310"/>
      <c r="K11" s="1310"/>
      <c r="L11" s="1310"/>
      <c r="M11" s="1310"/>
    </row>
    <row r="12" spans="2:14" ht="20.100000000000001" customHeight="1" x14ac:dyDescent="0.2">
      <c r="B12" s="1307" t="s">
        <v>2096</v>
      </c>
      <c r="C12" s="1311"/>
      <c r="D12" s="1312"/>
      <c r="E12" s="1313"/>
      <c r="F12" s="1313"/>
      <c r="G12" s="1313"/>
      <c r="H12" s="1313"/>
      <c r="I12" s="1313"/>
      <c r="J12" s="1313"/>
      <c r="K12" s="1313"/>
      <c r="L12" s="1310"/>
      <c r="M12" s="1313"/>
    </row>
    <row r="13" spans="2:14" ht="20.100000000000001" customHeight="1" x14ac:dyDescent="0.2">
      <c r="B13" s="1307" t="s">
        <v>2113</v>
      </c>
      <c r="C13" s="1311">
        <v>84.01</v>
      </c>
      <c r="D13" s="1312" t="s">
        <v>2081</v>
      </c>
      <c r="E13" s="1313">
        <v>212951</v>
      </c>
      <c r="F13" s="1313">
        <v>73555</v>
      </c>
      <c r="G13" s="1313">
        <v>278237</v>
      </c>
      <c r="H13" s="1313"/>
      <c r="I13" s="1313">
        <v>8269</v>
      </c>
      <c r="J13" s="1313"/>
      <c r="K13" s="1313"/>
      <c r="L13" s="1310">
        <f t="shared" ref="L13:L14" si="0">+G13+I13+K13</f>
        <v>286506</v>
      </c>
      <c r="M13" s="1313">
        <v>347975</v>
      </c>
    </row>
    <row r="14" spans="2:14" ht="20.100000000000001" customHeight="1" x14ac:dyDescent="0.2">
      <c r="B14" s="1307" t="s">
        <v>2113</v>
      </c>
      <c r="C14" s="1311">
        <v>84.01</v>
      </c>
      <c r="D14" s="1312" t="s">
        <v>2082</v>
      </c>
      <c r="E14" s="1313"/>
      <c r="F14" s="1313">
        <v>198630</v>
      </c>
      <c r="G14" s="1313"/>
      <c r="H14" s="1313"/>
      <c r="I14" s="1313">
        <v>276262</v>
      </c>
      <c r="J14" s="1313"/>
      <c r="K14" s="1313"/>
      <c r="L14" s="1310">
        <f t="shared" si="0"/>
        <v>276262</v>
      </c>
      <c r="M14" s="1313">
        <v>352203</v>
      </c>
    </row>
    <row r="15" spans="2:14" ht="20.100000000000001" customHeight="1" x14ac:dyDescent="0.2">
      <c r="B15" s="1307" t="s">
        <v>2111</v>
      </c>
      <c r="C15" s="1311">
        <v>84.367000000000004</v>
      </c>
      <c r="D15" s="1312" t="s">
        <v>2085</v>
      </c>
      <c r="E15" s="1313">
        <v>38435</v>
      </c>
      <c r="F15" s="1313">
        <v>16082</v>
      </c>
      <c r="G15" s="1313">
        <v>54517</v>
      </c>
      <c r="H15" s="1313"/>
      <c r="I15" s="1313">
        <v>0</v>
      </c>
      <c r="J15" s="1313"/>
      <c r="K15" s="1313"/>
      <c r="L15" s="1310">
        <v>54517</v>
      </c>
      <c r="M15" s="1313">
        <v>90589</v>
      </c>
    </row>
    <row r="16" spans="2:14" ht="20.100000000000001" customHeight="1" x14ac:dyDescent="0.2">
      <c r="B16" s="1307" t="s">
        <v>2111</v>
      </c>
      <c r="C16" s="1311">
        <v>84.367000000000004</v>
      </c>
      <c r="D16" s="1312" t="s">
        <v>2086</v>
      </c>
      <c r="E16" s="1313"/>
      <c r="F16" s="1313">
        <v>66115</v>
      </c>
      <c r="G16" s="1313"/>
      <c r="H16" s="1313"/>
      <c r="I16" s="1313">
        <v>85042</v>
      </c>
      <c r="J16" s="1313"/>
      <c r="K16" s="1313"/>
      <c r="L16" s="1310">
        <v>85042</v>
      </c>
      <c r="M16" s="1313">
        <v>121772</v>
      </c>
    </row>
    <row r="17" spans="2:14" ht="20.100000000000001" customHeight="1" x14ac:dyDescent="0.2">
      <c r="B17" s="1307" t="s">
        <v>2112</v>
      </c>
      <c r="C17" s="1311" t="s">
        <v>2080</v>
      </c>
      <c r="D17" s="1312" t="s">
        <v>2087</v>
      </c>
      <c r="E17" s="1313">
        <v>2861</v>
      </c>
      <c r="F17" s="1313">
        <v>6464</v>
      </c>
      <c r="G17" s="1313">
        <v>9325</v>
      </c>
      <c r="H17" s="1313"/>
      <c r="I17" s="1313">
        <v>0</v>
      </c>
      <c r="J17" s="1313"/>
      <c r="K17" s="1313"/>
      <c r="L17" s="1310">
        <v>9325</v>
      </c>
      <c r="M17" s="1313">
        <v>10000</v>
      </c>
    </row>
    <row r="18" spans="2:14" ht="20.100000000000001" customHeight="1" x14ac:dyDescent="0.2">
      <c r="B18" s="1307"/>
      <c r="C18" s="1311"/>
      <c r="D18" s="1312"/>
      <c r="E18" s="1313"/>
      <c r="F18" s="1313"/>
      <c r="G18" s="1313"/>
      <c r="H18" s="1313"/>
      <c r="I18" s="1313"/>
      <c r="J18" s="1313"/>
      <c r="K18" s="1313"/>
      <c r="L18" s="1310"/>
      <c r="M18" s="1313"/>
    </row>
    <row r="19" spans="2:14" ht="20.100000000000001" customHeight="1" x14ac:dyDescent="0.2">
      <c r="B19" s="1307" t="s">
        <v>2088</v>
      </c>
      <c r="C19" s="1311"/>
      <c r="D19" s="1312"/>
      <c r="E19" s="1313"/>
      <c r="F19" s="1313"/>
      <c r="G19" s="1313"/>
      <c r="H19" s="1313"/>
      <c r="I19" s="1313"/>
      <c r="J19" s="1313"/>
      <c r="K19" s="1313"/>
      <c r="L19" s="1310"/>
      <c r="M19" s="1313"/>
    </row>
    <row r="20" spans="2:14" ht="20.100000000000001" customHeight="1" x14ac:dyDescent="0.2">
      <c r="B20" s="1307" t="s">
        <v>2089</v>
      </c>
      <c r="C20" s="1311"/>
      <c r="D20" s="1312"/>
      <c r="E20" s="1313"/>
      <c r="F20" s="1313"/>
      <c r="G20" s="1313"/>
      <c r="H20" s="1313"/>
      <c r="I20" s="1313"/>
      <c r="J20" s="1313"/>
      <c r="K20" s="1313"/>
      <c r="L20" s="1310"/>
      <c r="M20" s="1313"/>
    </row>
    <row r="21" spans="2:14" ht="20.100000000000001" customHeight="1" x14ac:dyDescent="0.2">
      <c r="B21" s="1307" t="s">
        <v>2114</v>
      </c>
      <c r="C21" s="1311">
        <v>84.173000000000002</v>
      </c>
      <c r="D21" s="1312" t="s">
        <v>2095</v>
      </c>
      <c r="E21" s="1313"/>
      <c r="F21" s="1313">
        <v>421</v>
      </c>
      <c r="G21" s="1313"/>
      <c r="H21" s="1313"/>
      <c r="I21" s="1313">
        <v>421</v>
      </c>
      <c r="J21" s="1313"/>
      <c r="K21" s="1313"/>
      <c r="L21" s="1310">
        <f>G21+I21+K21</f>
        <v>421</v>
      </c>
      <c r="M21" s="1313">
        <v>421</v>
      </c>
    </row>
    <row r="22" spans="2:14" ht="20.100000000000001" customHeight="1" x14ac:dyDescent="0.2">
      <c r="B22" s="1307" t="s">
        <v>2090</v>
      </c>
      <c r="C22" s="1311">
        <v>84.027000000000001</v>
      </c>
      <c r="D22" s="1312" t="s">
        <v>2091</v>
      </c>
      <c r="E22" s="1313">
        <v>311693</v>
      </c>
      <c r="F22" s="1313">
        <v>86608</v>
      </c>
      <c r="G22" s="1313">
        <v>398301</v>
      </c>
      <c r="H22" s="1313"/>
      <c r="I22" s="1313">
        <v>0</v>
      </c>
      <c r="J22" s="1313"/>
      <c r="K22" s="1313"/>
      <c r="L22" s="1310">
        <f>+G22+I22+K22</f>
        <v>398301</v>
      </c>
      <c r="M22" s="1313">
        <v>500232</v>
      </c>
    </row>
    <row r="23" spans="2:14" ht="20.100000000000001" customHeight="1" x14ac:dyDescent="0.2">
      <c r="B23" s="1307" t="s">
        <v>2090</v>
      </c>
      <c r="C23" s="1311">
        <v>84.027000000000001</v>
      </c>
      <c r="D23" s="1312" t="s">
        <v>2092</v>
      </c>
      <c r="E23" s="1313"/>
      <c r="F23" s="1313">
        <v>322262</v>
      </c>
      <c r="G23" s="1313"/>
      <c r="H23" s="1313"/>
      <c r="I23" s="1313">
        <v>473014</v>
      </c>
      <c r="J23" s="1313"/>
      <c r="K23" s="1313"/>
      <c r="L23" s="1310">
        <f>+G23+I23+K23</f>
        <v>473014</v>
      </c>
      <c r="M23" s="1313">
        <v>551769</v>
      </c>
    </row>
    <row r="24" spans="2:14" ht="20.100000000000001" customHeight="1" x14ac:dyDescent="0.2">
      <c r="B24" s="1307" t="s">
        <v>2072</v>
      </c>
      <c r="C24" s="1311"/>
      <c r="D24" s="1312"/>
      <c r="E24" s="1313"/>
      <c r="F24" s="1313"/>
      <c r="G24" s="1313"/>
      <c r="H24" s="1313"/>
      <c r="I24" s="1313"/>
      <c r="J24" s="1313"/>
      <c r="K24" s="1313"/>
      <c r="L24" s="1310"/>
      <c r="M24" s="1313"/>
    </row>
    <row r="25" spans="2:14" ht="20.100000000000001" customHeight="1" x14ac:dyDescent="0.2">
      <c r="B25" s="1307" t="s">
        <v>2110</v>
      </c>
      <c r="C25" s="1311">
        <v>84.027000000000001</v>
      </c>
      <c r="D25" s="1312" t="s">
        <v>2083</v>
      </c>
      <c r="E25" s="1313">
        <v>56950</v>
      </c>
      <c r="F25" s="1313">
        <v>39426</v>
      </c>
      <c r="G25" s="1313">
        <v>64458</v>
      </c>
      <c r="H25" s="1313"/>
      <c r="I25" s="1313">
        <f>-7507.61+39426</f>
        <v>31918.39</v>
      </c>
      <c r="J25" s="1313"/>
      <c r="K25" s="1313"/>
      <c r="L25" s="1310">
        <f>G25+I25+K25</f>
        <v>96376.39</v>
      </c>
      <c r="M25" s="1313" t="s">
        <v>2078</v>
      </c>
    </row>
    <row r="26" spans="2:14" ht="20.100000000000001" customHeight="1" x14ac:dyDescent="0.2">
      <c r="B26" s="1307" t="s">
        <v>2110</v>
      </c>
      <c r="C26" s="1311">
        <v>84.027000000000001</v>
      </c>
      <c r="D26" s="1312" t="s">
        <v>2084</v>
      </c>
      <c r="E26" s="1313"/>
      <c r="F26" s="1313">
        <v>99035</v>
      </c>
      <c r="G26" s="1313"/>
      <c r="H26" s="1313"/>
      <c r="I26" s="1313">
        <v>128132</v>
      </c>
      <c r="J26" s="1313"/>
      <c r="K26" s="1313"/>
      <c r="L26" s="1310">
        <f>G26+I26+K26</f>
        <v>128132</v>
      </c>
      <c r="M26" s="1313" t="s">
        <v>2078</v>
      </c>
    </row>
    <row r="27" spans="2:14" ht="20.100000000000001" customHeight="1" x14ac:dyDescent="0.2">
      <c r="B27" s="1307" t="s">
        <v>2121</v>
      </c>
      <c r="C27" s="1311"/>
      <c r="D27" s="1312"/>
      <c r="E27" s="1313">
        <f t="shared" ref="E27:J27" si="1">SUM(E21:E26)</f>
        <v>368643</v>
      </c>
      <c r="F27" s="1313">
        <f t="shared" si="1"/>
        <v>547752</v>
      </c>
      <c r="G27" s="1313">
        <f t="shared" si="1"/>
        <v>462759</v>
      </c>
      <c r="H27" s="1313">
        <f t="shared" si="1"/>
        <v>0</v>
      </c>
      <c r="I27" s="1313">
        <f t="shared" si="1"/>
        <v>633485.39</v>
      </c>
      <c r="J27" s="1313">
        <f t="shared" si="1"/>
        <v>0</v>
      </c>
      <c r="K27" s="1313"/>
      <c r="L27" s="1310">
        <f>SUM(L21:L26)</f>
        <v>1096244.3900000001</v>
      </c>
      <c r="M27" s="1313"/>
      <c r="N27" s="1314"/>
    </row>
    <row r="28" spans="2:14" ht="12.75" customHeight="1" x14ac:dyDescent="0.2">
      <c r="B28" s="2006" t="s">
        <v>2115</v>
      </c>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1736</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1839</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1737</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1738</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1739</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1740</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5"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9758-85CB-4D65-8264-E1A2C772D769}">
  <sheetPr>
    <tabColor rgb="FF00B0F0"/>
    <pageSetUpPr fitToPage="1"/>
  </sheetPr>
  <dimension ref="B1:N152"/>
  <sheetViews>
    <sheetView showGridLines="0" zoomScale="91" zoomScaleNormal="91" workbookViewId="0">
      <selection activeCell="B11" sqref="B11:M27"/>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5" t="str">
        <f>'Single Audit Cover'!A7</f>
        <v>McHenry CHSD 156</v>
      </c>
      <c r="C1" s="2506"/>
      <c r="D1" s="2506"/>
      <c r="E1" s="2506"/>
      <c r="F1" s="2506"/>
      <c r="G1" s="2506"/>
      <c r="H1" s="2506"/>
      <c r="I1" s="2506"/>
      <c r="J1" s="2506"/>
      <c r="K1" s="2506"/>
      <c r="L1" s="2506"/>
      <c r="M1" s="2506"/>
    </row>
    <row r="2" spans="2:14" ht="15" x14ac:dyDescent="0.2">
      <c r="B2" s="2507">
        <f>'Single Audit Cover'!E7</f>
        <v>44063156016</v>
      </c>
      <c r="C2" s="2507"/>
      <c r="D2" s="2507"/>
      <c r="E2" s="2507"/>
      <c r="F2" s="2507"/>
      <c r="G2" s="2507"/>
      <c r="H2" s="2507"/>
      <c r="I2" s="2507"/>
      <c r="J2" s="2507"/>
      <c r="K2" s="2507"/>
      <c r="L2" s="2507"/>
      <c r="M2" s="2507"/>
      <c r="N2" s="1272"/>
    </row>
    <row r="3" spans="2:14" ht="15" x14ac:dyDescent="0.2">
      <c r="B3" s="2508" t="s">
        <v>1219</v>
      </c>
      <c r="C3" s="2508"/>
      <c r="D3" s="2508"/>
      <c r="E3" s="2508"/>
      <c r="F3" s="2508"/>
      <c r="G3" s="2508"/>
      <c r="H3" s="2508"/>
      <c r="I3" s="2508"/>
      <c r="J3" s="2508"/>
      <c r="K3" s="2508"/>
      <c r="L3" s="2508"/>
      <c r="M3" s="2508"/>
      <c r="N3" s="1272"/>
    </row>
    <row r="4" spans="2:14" ht="15" x14ac:dyDescent="0.2">
      <c r="B4" s="2509" t="str">
        <f>'Single Audit Cover'!A4</f>
        <v>Year Ending June 30, 2019</v>
      </c>
      <c r="C4" s="2509"/>
      <c r="D4" s="2509"/>
      <c r="E4" s="2509"/>
      <c r="F4" s="2509"/>
      <c r="G4" s="2509"/>
      <c r="H4" s="2509"/>
      <c r="I4" s="2509"/>
      <c r="J4" s="2509"/>
      <c r="K4" s="2509"/>
      <c r="L4" s="2509"/>
      <c r="M4" s="2509"/>
      <c r="N4" s="1272"/>
    </row>
    <row r="6" spans="2:14" x14ac:dyDescent="0.2">
      <c r="B6" s="1273"/>
      <c r="C6" s="1274"/>
      <c r="D6" s="1275" t="s">
        <v>1265</v>
      </c>
      <c r="E6" s="1276" t="s">
        <v>527</v>
      </c>
      <c r="F6" s="1277"/>
      <c r="G6" s="1278" t="s">
        <v>1733</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1838</v>
      </c>
      <c r="I8" s="1289" t="s">
        <v>1262</v>
      </c>
      <c r="J8" s="1288" t="s">
        <v>1989</v>
      </c>
      <c r="K8" s="1289" t="s">
        <v>1261</v>
      </c>
      <c r="L8" s="1290" t="s">
        <v>1257</v>
      </c>
      <c r="M8" s="1291" t="s">
        <v>30</v>
      </c>
    </row>
    <row r="9" spans="2:14" ht="14.25" x14ac:dyDescent="0.2">
      <c r="B9" s="1295" t="s">
        <v>1259</v>
      </c>
      <c r="C9" s="1283" t="s">
        <v>1734</v>
      </c>
      <c r="D9" s="1284" t="s">
        <v>1735</v>
      </c>
      <c r="E9" s="1292" t="s">
        <v>1838</v>
      </c>
      <c r="F9" s="1293" t="s">
        <v>1989</v>
      </c>
      <c r="G9" s="1294" t="s">
        <v>1838</v>
      </c>
      <c r="H9" s="1287" t="s">
        <v>1582</v>
      </c>
      <c r="I9" s="1289" t="s">
        <v>1989</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2079</v>
      </c>
      <c r="C11" s="1308"/>
      <c r="D11" s="1309"/>
      <c r="E11" s="1310"/>
      <c r="F11" s="1310"/>
      <c r="G11" s="1310"/>
      <c r="H11" s="1310"/>
      <c r="I11" s="1310"/>
      <c r="J11" s="1310"/>
      <c r="K11" s="1310"/>
      <c r="L11" s="1310"/>
      <c r="M11" s="1310"/>
    </row>
    <row r="12" spans="2:14" ht="20.100000000000001" customHeight="1" x14ac:dyDescent="0.2">
      <c r="B12" s="1307" t="s">
        <v>2093</v>
      </c>
      <c r="C12" s="1311"/>
      <c r="D12" s="1312"/>
      <c r="E12" s="1313"/>
      <c r="F12" s="1313"/>
      <c r="G12" s="1313"/>
      <c r="H12" s="1313"/>
      <c r="I12" s="1313"/>
      <c r="J12" s="1313"/>
      <c r="K12" s="1313"/>
      <c r="L12" s="1310"/>
      <c r="M12" s="1313"/>
    </row>
    <row r="13" spans="2:14" ht="20.100000000000001" customHeight="1" x14ac:dyDescent="0.2">
      <c r="B13" s="1307" t="s">
        <v>2094</v>
      </c>
      <c r="C13" s="1311">
        <v>84.048000000000002</v>
      </c>
      <c r="D13" s="1312" t="s">
        <v>2097</v>
      </c>
      <c r="E13" s="1313"/>
      <c r="F13" s="1313">
        <v>58544</v>
      </c>
      <c r="G13" s="1313"/>
      <c r="H13" s="1313"/>
      <c r="I13" s="1313">
        <v>58544</v>
      </c>
      <c r="J13" s="1313"/>
      <c r="K13" s="1313"/>
      <c r="L13" s="1310">
        <f t="shared" ref="L13:L19" si="0">+G13+I13+K13</f>
        <v>58544</v>
      </c>
      <c r="M13" s="1313" t="s">
        <v>2078</v>
      </c>
    </row>
    <row r="14" spans="2:14" ht="20.100000000000001" customHeight="1" x14ac:dyDescent="0.2">
      <c r="B14" s="1307"/>
      <c r="C14" s="1311"/>
      <c r="D14" s="1312"/>
      <c r="E14" s="1313"/>
      <c r="F14" s="1313"/>
      <c r="G14" s="1313"/>
      <c r="H14" s="1313"/>
      <c r="I14" s="1313"/>
      <c r="J14" s="1313"/>
      <c r="K14" s="1313"/>
      <c r="L14" s="1310"/>
      <c r="M14" s="1313"/>
    </row>
    <row r="15" spans="2:14" ht="20.100000000000001" customHeight="1" x14ac:dyDescent="0.2">
      <c r="B15" s="1307" t="s">
        <v>2098</v>
      </c>
      <c r="C15" s="1311"/>
      <c r="D15" s="1312"/>
      <c r="E15" s="1313">
        <f>SUM(' SEFA (2)'!E13:E26)+' SEFA (3)'!E13</f>
        <v>622890</v>
      </c>
      <c r="F15" s="1313">
        <f>SUM(' SEFA (2)'!F13:F26)+' SEFA (3)'!F13</f>
        <v>967142</v>
      </c>
      <c r="G15" s="1313">
        <f>SUM(' SEFA (2)'!G13:G26)+' SEFA (3)'!G13</f>
        <v>804838</v>
      </c>
      <c r="H15" s="1313">
        <f>SUM(' SEFA (2)'!H13:H26)+' SEFA (3)'!H13</f>
        <v>0</v>
      </c>
      <c r="I15" s="1313">
        <f>SUM(' SEFA (2)'!I13:I26)+' SEFA (3)'!I13</f>
        <v>1061602.3900000001</v>
      </c>
      <c r="J15" s="1313">
        <f>SUM(' SEFA (2)'!J13:J26)+' SEFA (3)'!J13</f>
        <v>0</v>
      </c>
      <c r="K15" s="1313"/>
      <c r="L15" s="1310">
        <f>SUM(' SEFA (2)'!L13:L26)+' SEFA (3)'!L13</f>
        <v>1866440.39</v>
      </c>
      <c r="M15" s="1313"/>
    </row>
    <row r="16" spans="2:14" ht="20.100000000000001" customHeight="1" x14ac:dyDescent="0.2">
      <c r="B16" s="1307"/>
      <c r="C16" s="1311"/>
      <c r="D16" s="1312"/>
      <c r="E16" s="1313"/>
      <c r="F16" s="1313"/>
      <c r="G16" s="1313"/>
      <c r="H16" s="1313"/>
      <c r="I16" s="1313"/>
      <c r="J16" s="1313"/>
      <c r="K16" s="1313"/>
      <c r="L16" s="1310"/>
      <c r="M16" s="1313"/>
    </row>
    <row r="17" spans="2:14" ht="20.100000000000001" customHeight="1" x14ac:dyDescent="0.2">
      <c r="B17" s="1307" t="s">
        <v>2099</v>
      </c>
      <c r="C17" s="1311"/>
      <c r="D17" s="1312"/>
      <c r="E17" s="1313"/>
      <c r="F17" s="1313"/>
      <c r="G17" s="1313"/>
      <c r="H17" s="1313"/>
      <c r="I17" s="1313"/>
      <c r="J17" s="1313"/>
      <c r="K17" s="1313"/>
      <c r="L17" s="1310"/>
      <c r="M17" s="1313"/>
    </row>
    <row r="18" spans="2:14" ht="20.100000000000001" customHeight="1" x14ac:dyDescent="0.2">
      <c r="B18" s="1307" t="s">
        <v>2100</v>
      </c>
      <c r="C18" s="1311"/>
      <c r="D18" s="1312"/>
      <c r="E18" s="1313"/>
      <c r="F18" s="1313"/>
      <c r="G18" s="1313"/>
      <c r="H18" s="1313"/>
      <c r="I18" s="1313"/>
      <c r="J18" s="1313"/>
      <c r="K18" s="1313"/>
      <c r="L18" s="1310"/>
      <c r="M18" s="1313"/>
    </row>
    <row r="19" spans="2:14" ht="20.100000000000001" customHeight="1" x14ac:dyDescent="0.2">
      <c r="B19" s="1307" t="s">
        <v>2101</v>
      </c>
      <c r="C19" s="1311">
        <v>93.778000000000006</v>
      </c>
      <c r="D19" s="1312" t="s">
        <v>2104</v>
      </c>
      <c r="E19" s="1313">
        <v>9303</v>
      </c>
      <c r="F19" s="1313">
        <v>4623</v>
      </c>
      <c r="G19" s="1313">
        <v>9303</v>
      </c>
      <c r="H19" s="1313"/>
      <c r="I19" s="1313">
        <v>4623</v>
      </c>
      <c r="J19" s="1313"/>
      <c r="K19" s="1313"/>
      <c r="L19" s="1310">
        <f t="shared" si="0"/>
        <v>13926</v>
      </c>
      <c r="M19" s="1313" t="s">
        <v>2078</v>
      </c>
    </row>
    <row r="20" spans="2:14" ht="20.100000000000001" customHeight="1" x14ac:dyDescent="0.2">
      <c r="B20" s="1307" t="s">
        <v>2101</v>
      </c>
      <c r="C20" s="1311">
        <v>93.778000000000006</v>
      </c>
      <c r="D20" s="1312" t="s">
        <v>2105</v>
      </c>
      <c r="E20" s="1313"/>
      <c r="F20" s="1313">
        <v>9629</v>
      </c>
      <c r="G20" s="1313"/>
      <c r="H20" s="1313"/>
      <c r="I20" s="1313">
        <v>9629</v>
      </c>
      <c r="J20" s="1313"/>
      <c r="K20" s="1313"/>
      <c r="L20" s="1310">
        <f>+G20+I20+K20</f>
        <v>9629</v>
      </c>
      <c r="M20" s="1313" t="s">
        <v>2078</v>
      </c>
    </row>
    <row r="21" spans="2:14" ht="20.100000000000001" customHeight="1" x14ac:dyDescent="0.2">
      <c r="B21" s="1307"/>
      <c r="C21" s="1311"/>
      <c r="D21" s="1312"/>
      <c r="E21" s="1313"/>
      <c r="F21" s="1313"/>
      <c r="G21" s="1313"/>
      <c r="H21" s="1313"/>
      <c r="I21" s="1313"/>
      <c r="J21" s="1313"/>
      <c r="K21" s="1313"/>
      <c r="L21" s="1310"/>
      <c r="M21" s="1313"/>
    </row>
    <row r="22" spans="2:14" ht="20.100000000000001" customHeight="1" x14ac:dyDescent="0.2">
      <c r="B22" s="1307" t="s">
        <v>2102</v>
      </c>
      <c r="C22" s="1311"/>
      <c r="D22" s="1312"/>
      <c r="E22" s="1313">
        <f t="shared" ref="E22:J22" si="1">SUM(E17:E20)</f>
        <v>9303</v>
      </c>
      <c r="F22" s="1313">
        <f t="shared" si="1"/>
        <v>14252</v>
      </c>
      <c r="G22" s="1313">
        <f t="shared" si="1"/>
        <v>9303</v>
      </c>
      <c r="H22" s="1313">
        <f t="shared" si="1"/>
        <v>0</v>
      </c>
      <c r="I22" s="1313">
        <f t="shared" si="1"/>
        <v>14252</v>
      </c>
      <c r="J22" s="1313">
        <f t="shared" si="1"/>
        <v>0</v>
      </c>
      <c r="K22" s="1313"/>
      <c r="L22" s="1310">
        <f>SUM(L17:L20)</f>
        <v>23555</v>
      </c>
      <c r="M22" s="1313"/>
    </row>
    <row r="23" spans="2:14" ht="20.100000000000001" customHeight="1" x14ac:dyDescent="0.2">
      <c r="B23" s="1307"/>
      <c r="C23" s="1311"/>
      <c r="D23" s="1312"/>
      <c r="E23" s="1313"/>
      <c r="F23" s="1313"/>
      <c r="G23" s="1313"/>
      <c r="H23" s="1313"/>
      <c r="I23" s="1313"/>
      <c r="J23" s="1313"/>
      <c r="K23" s="1313"/>
      <c r="L23" s="1310"/>
      <c r="M23" s="1313"/>
    </row>
    <row r="24" spans="2:14" ht="20.100000000000001" customHeight="1" x14ac:dyDescent="0.2">
      <c r="B24" s="1307" t="s">
        <v>2103</v>
      </c>
      <c r="C24" s="1311"/>
      <c r="D24" s="1312"/>
      <c r="E24" s="1313">
        <f>' SEFA'!E25+' SEFA (3)'!E15+' SEFA (3)'!E22</f>
        <v>847618</v>
      </c>
      <c r="F24" s="1313">
        <f>' SEFA'!F25+' SEFA (3)'!F15+' SEFA (3)'!F22</f>
        <v>1342690</v>
      </c>
      <c r="G24" s="1313">
        <f>' SEFA'!G25+' SEFA (3)'!G15+' SEFA (3)'!G22</f>
        <v>1056146</v>
      </c>
      <c r="H24" s="1313">
        <f>' SEFA'!H25+' SEFA (3)'!H15+' SEFA (3)'!H22</f>
        <v>0</v>
      </c>
      <c r="I24" s="1313">
        <f>' SEFA'!I25+' SEFA (3)'!I15+' SEFA (3)'!I22</f>
        <v>1410570.04</v>
      </c>
      <c r="J24" s="1313">
        <f>' SEFA'!J25+' SEFA (3)'!J15+' SEFA (3)'!J22</f>
        <v>0</v>
      </c>
      <c r="K24" s="1313"/>
      <c r="L24" s="1310">
        <f>' SEFA'!L25+' SEFA (3)'!L15+' SEFA (3)'!L22</f>
        <v>2466716.04</v>
      </c>
      <c r="M24" s="1313"/>
    </row>
    <row r="25" spans="2:14" ht="20.100000000000001" customHeight="1" x14ac:dyDescent="0.2">
      <c r="B25" s="1307"/>
      <c r="C25" s="1311"/>
      <c r="D25" s="1312"/>
      <c r="E25" s="1313"/>
      <c r="F25" s="1313"/>
      <c r="G25" s="1313"/>
      <c r="H25" s="1313"/>
      <c r="I25" s="1313"/>
      <c r="J25" s="1313"/>
      <c r="K25" s="1313"/>
      <c r="L25" s="1310"/>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1736</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1839</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1737</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1738</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1739</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1740</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5"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G52"/>
  <sheetViews>
    <sheetView showGridLines="0" zoomScale="120" zoomScaleNormal="120" workbookViewId="0">
      <selection activeCell="I41" sqref="I41"/>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9" t="str">
        <f>'Single Audit Cover'!A7</f>
        <v>McHenry CHSD 156</v>
      </c>
      <c r="B1" s="2519"/>
      <c r="C1" s="2519"/>
      <c r="D1" s="2519"/>
      <c r="E1" s="2519"/>
      <c r="F1" s="2519"/>
    </row>
    <row r="2" spans="1:7" ht="13.5" customHeight="1" x14ac:dyDescent="0.2">
      <c r="A2" s="2507">
        <f>'Single Audit Cover'!E7</f>
        <v>44063156016</v>
      </c>
      <c r="B2" s="2507"/>
      <c r="C2" s="2507"/>
      <c r="D2" s="2507"/>
      <c r="E2" s="2507"/>
      <c r="F2" s="2507"/>
      <c r="G2" s="1245"/>
    </row>
    <row r="3" spans="1:7" ht="15.75" customHeight="1" x14ac:dyDescent="0.2">
      <c r="A3" s="2520" t="s">
        <v>1271</v>
      </c>
      <c r="B3" s="2520"/>
      <c r="C3" s="2520"/>
      <c r="D3" s="2520"/>
      <c r="E3" s="2520"/>
      <c r="F3" s="2520"/>
    </row>
    <row r="4" spans="1:7" ht="13.5" customHeight="1" x14ac:dyDescent="0.2">
      <c r="A4" s="2521" t="str">
        <f>'Single Audit Cover'!A4</f>
        <v>Year Ending June 30, 2019</v>
      </c>
      <c r="B4" s="2521"/>
      <c r="C4" s="2521"/>
      <c r="D4" s="2521"/>
      <c r="E4" s="2521"/>
      <c r="F4" s="2521"/>
    </row>
    <row r="5" spans="1:7" ht="8.25" customHeight="1" x14ac:dyDescent="0.2">
      <c r="C5" s="317"/>
      <c r="D5" s="317"/>
    </row>
    <row r="6" spans="1:7" ht="13.5" customHeight="1" x14ac:dyDescent="0.2">
      <c r="A6" s="1246" t="s">
        <v>1728</v>
      </c>
      <c r="C6" s="317"/>
      <c r="D6" s="317"/>
    </row>
    <row r="7" spans="1:7" ht="60.95" customHeight="1" x14ac:dyDescent="0.2">
      <c r="A7" s="2518" t="s">
        <v>2163</v>
      </c>
      <c r="B7" s="2518"/>
      <c r="C7" s="2518"/>
      <c r="D7" s="2518"/>
      <c r="E7" s="2518"/>
      <c r="F7" s="2518"/>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2156</v>
      </c>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8" t="s">
        <v>1730</v>
      </c>
      <c r="B13" s="2518"/>
      <c r="C13" s="2518"/>
      <c r="D13" s="2518"/>
      <c r="E13" s="2518"/>
      <c r="F13" s="2518"/>
    </row>
    <row r="14" spans="1:7" ht="9.75" customHeight="1" x14ac:dyDescent="0.2">
      <c r="C14" s="1230"/>
      <c r="D14" s="1230"/>
    </row>
    <row r="15" spans="1:7" ht="13.5" customHeight="1" x14ac:dyDescent="0.2">
      <c r="C15" s="1819" t="s">
        <v>1270</v>
      </c>
      <c r="D15" s="2516" t="s">
        <v>1269</v>
      </c>
      <c r="E15" s="2516"/>
      <c r="F15" s="2516"/>
    </row>
    <row r="16" spans="1:7" ht="13.5" customHeight="1" x14ac:dyDescent="0.2">
      <c r="A16" s="1252"/>
      <c r="B16" s="1246" t="s">
        <v>1268</v>
      </c>
      <c r="C16" s="1819" t="s">
        <v>1267</v>
      </c>
      <c r="D16" s="2517" t="s">
        <v>1588</v>
      </c>
      <c r="E16" s="2517"/>
      <c r="F16" s="2517"/>
    </row>
    <row r="17" spans="1:6" ht="20.45" customHeight="1" x14ac:dyDescent="0.2">
      <c r="A17" s="1253"/>
      <c r="B17" s="1254" t="s">
        <v>2078</v>
      </c>
      <c r="C17" s="1255"/>
      <c r="D17" s="2511"/>
      <c r="E17" s="2511"/>
      <c r="F17" s="2511"/>
    </row>
    <row r="18" spans="1:6" ht="20.65" customHeight="1" x14ac:dyDescent="0.2">
      <c r="A18" s="1253"/>
      <c r="B18" s="1254"/>
      <c r="C18" s="1255"/>
      <c r="D18" s="2511"/>
      <c r="E18" s="2511"/>
      <c r="F18" s="2511"/>
    </row>
    <row r="19" spans="1:6" ht="20.65" customHeight="1" x14ac:dyDescent="0.2">
      <c r="A19" s="1253"/>
      <c r="B19" s="1254"/>
      <c r="C19" s="1255"/>
      <c r="D19" s="2511"/>
      <c r="E19" s="2511"/>
      <c r="F19" s="2511"/>
    </row>
    <row r="20" spans="1:6" ht="20.65" customHeight="1" x14ac:dyDescent="0.2">
      <c r="A20" s="1253"/>
      <c r="B20" s="1254"/>
      <c r="C20" s="1255"/>
      <c r="D20" s="2511"/>
      <c r="E20" s="2511"/>
      <c r="F20" s="2511"/>
    </row>
    <row r="21" spans="1:6" ht="20.65" customHeight="1" x14ac:dyDescent="0.2">
      <c r="A21" s="1253"/>
      <c r="B21" s="1254"/>
      <c r="C21" s="1255"/>
      <c r="D21" s="2511"/>
      <c r="E21" s="2511"/>
      <c r="F21" s="2511"/>
    </row>
    <row r="22" spans="1:6" ht="20.65" customHeight="1" x14ac:dyDescent="0.2">
      <c r="A22" s="1253"/>
      <c r="B22" s="1254"/>
      <c r="C22" s="1255"/>
      <c r="D22" s="2511"/>
      <c r="E22" s="2511"/>
      <c r="F22" s="2511"/>
    </row>
    <row r="23" spans="1:6" ht="20.65" customHeight="1" x14ac:dyDescent="0.2">
      <c r="A23" s="1253"/>
      <c r="B23" s="1254"/>
      <c r="C23" s="1255"/>
      <c r="D23" s="2511"/>
      <c r="E23" s="2511"/>
      <c r="F23" s="2511"/>
    </row>
    <row r="24" spans="1:6" ht="20.65" customHeight="1" x14ac:dyDescent="0.2">
      <c r="A24" s="1253"/>
      <c r="B24" s="1254"/>
      <c r="C24" s="1255"/>
      <c r="D24" s="2511"/>
      <c r="E24" s="2511"/>
      <c r="F24" s="2511"/>
    </row>
    <row r="25" spans="1:6" ht="20.65" customHeight="1" x14ac:dyDescent="0.2">
      <c r="A25" s="1253"/>
      <c r="B25" s="1254"/>
      <c r="C25" s="1255"/>
      <c r="D25" s="2511"/>
      <c r="E25" s="2511"/>
      <c r="F25" s="2511"/>
    </row>
    <row r="26" spans="1:6" ht="20.65" customHeight="1" x14ac:dyDescent="0.2">
      <c r="A26" s="1253"/>
      <c r="B26" s="1254"/>
      <c r="C26" s="1255"/>
      <c r="D26" s="2511"/>
      <c r="E26" s="2511"/>
      <c r="F26" s="2511"/>
    </row>
    <row r="27" spans="1:6" ht="20.65" customHeight="1" x14ac:dyDescent="0.2">
      <c r="A27" s="1253"/>
      <c r="B27" s="1254"/>
      <c r="C27" s="1255"/>
      <c r="D27" s="2511"/>
      <c r="E27" s="2511"/>
      <c r="F27" s="2511"/>
    </row>
    <row r="28" spans="1:6" ht="20.65" customHeight="1" x14ac:dyDescent="0.2">
      <c r="A28" s="1253"/>
      <c r="B28" s="1254"/>
      <c r="C28" s="1255"/>
      <c r="D28" s="2511"/>
      <c r="E28" s="2511"/>
      <c r="F28" s="2511"/>
    </row>
    <row r="29" spans="1:6" ht="20.65" customHeight="1" x14ac:dyDescent="0.2">
      <c r="A29" s="1253"/>
      <c r="B29" s="1254"/>
      <c r="C29" s="1255"/>
      <c r="D29" s="2511"/>
      <c r="E29" s="2511"/>
      <c r="F29" s="2511"/>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2" t="s">
        <v>1731</v>
      </c>
      <c r="B32" s="2512"/>
      <c r="C32" s="2512"/>
      <c r="D32" s="2512"/>
      <c r="E32" s="2512"/>
      <c r="F32" s="2512"/>
    </row>
    <row r="33" spans="1:6" ht="13.5" customHeight="1" x14ac:dyDescent="0.2">
      <c r="A33" s="328" t="s">
        <v>1434</v>
      </c>
      <c r="B33" s="328"/>
      <c r="C33" s="1258">
        <v>42446</v>
      </c>
      <c r="D33" s="1876"/>
      <c r="E33" s="1256"/>
    </row>
    <row r="34" spans="1:6" ht="13.5" customHeight="1" x14ac:dyDescent="0.2">
      <c r="A34" s="328" t="s">
        <v>1837</v>
      </c>
      <c r="B34" s="328"/>
      <c r="C34" s="1259">
        <v>0</v>
      </c>
      <c r="D34" s="1876" t="s">
        <v>1589</v>
      </c>
      <c r="E34" s="2513">
        <f>+C33+C34</f>
        <v>42446</v>
      </c>
      <c r="F34" s="2514"/>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t="s">
        <v>2164</v>
      </c>
      <c r="D38" s="1876"/>
      <c r="E38" s="1256"/>
    </row>
    <row r="39" spans="1:6" ht="14.25" customHeight="1" x14ac:dyDescent="0.2">
      <c r="A39" s="328"/>
      <c r="B39" s="328" t="s">
        <v>1436</v>
      </c>
      <c r="C39" s="1262" t="s">
        <v>383</v>
      </c>
      <c r="D39" s="1876"/>
      <c r="E39" s="1256"/>
    </row>
    <row r="40" spans="1:6" ht="14.25" customHeight="1" x14ac:dyDescent="0.2">
      <c r="A40" s="328"/>
      <c r="B40" s="328" t="s">
        <v>1437</v>
      </c>
      <c r="C40" s="1262" t="s">
        <v>383</v>
      </c>
      <c r="D40" s="1876"/>
      <c r="E40" s="1256"/>
    </row>
    <row r="41" spans="1:6" ht="14.25" customHeight="1" x14ac:dyDescent="0.2">
      <c r="A41" s="328"/>
      <c r="B41" s="328" t="s">
        <v>1438</v>
      </c>
      <c r="C41" s="1262" t="s">
        <v>383</v>
      </c>
      <c r="D41" s="1876"/>
      <c r="E41" s="1256"/>
    </row>
    <row r="42" spans="1:6" ht="14.25" customHeight="1" x14ac:dyDescent="0.2">
      <c r="A42" s="328" t="s">
        <v>1439</v>
      </c>
      <c r="B42" s="328"/>
      <c r="C42" s="1874">
        <v>0</v>
      </c>
      <c r="D42" s="1876"/>
      <c r="E42" s="1256"/>
    </row>
    <row r="43" spans="1:6" ht="14.25" customHeight="1" x14ac:dyDescent="0.2">
      <c r="A43" s="328" t="s">
        <v>1440</v>
      </c>
      <c r="B43" s="328"/>
      <c r="C43" s="1263" t="s">
        <v>383</v>
      </c>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1732</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5" t="s">
        <v>1590</v>
      </c>
      <c r="C49" s="2515"/>
      <c r="D49" s="2515"/>
      <c r="E49" s="1369"/>
    </row>
    <row r="50" spans="1:5" s="1270" customFormat="1" ht="3.75" customHeight="1" x14ac:dyDescent="0.2">
      <c r="A50" s="1269"/>
      <c r="B50" s="1818"/>
      <c r="C50" s="1818"/>
      <c r="D50" s="1818"/>
      <c r="E50" s="1369"/>
    </row>
    <row r="51" spans="1:5" s="1270" customFormat="1" ht="20.25" customHeight="1" x14ac:dyDescent="0.2">
      <c r="A51" s="1271">
        <v>6</v>
      </c>
      <c r="B51" s="2510" t="s">
        <v>1551</v>
      </c>
      <c r="C51" s="2510"/>
      <c r="D51" s="2510"/>
    </row>
    <row r="52" spans="1:5" ht="14.25" customHeight="1" x14ac:dyDescent="0.2">
      <c r="A52" s="1271"/>
      <c r="B52" s="2510"/>
      <c r="C52" s="2510"/>
      <c r="D52" s="251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J63"/>
  <sheetViews>
    <sheetView showGridLines="0" topLeftCell="A13" zoomScale="110" zoomScaleNormal="110" workbookViewId="0">
      <selection activeCell="M29" sqref="M29"/>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3" t="str">
        <f>'Single Audit Cover'!A7</f>
        <v>McHenry CHSD 156</v>
      </c>
      <c r="C1" s="2534"/>
      <c r="D1" s="2534"/>
      <c r="E1" s="2534"/>
      <c r="F1" s="2534"/>
      <c r="G1" s="2534"/>
      <c r="H1" s="2534"/>
      <c r="I1" s="2534"/>
      <c r="J1" s="1379"/>
    </row>
    <row r="2" spans="2:10" s="317" customFormat="1" ht="12.75" customHeight="1" x14ac:dyDescent="0.2">
      <c r="B2" s="2535">
        <f>'Single Audit Cover'!E7</f>
        <v>44063156016</v>
      </c>
      <c r="C2" s="2536"/>
      <c r="D2" s="2536"/>
      <c r="E2" s="2536"/>
      <c r="F2" s="2536"/>
      <c r="G2" s="2536"/>
      <c r="H2" s="2536"/>
      <c r="I2" s="2536"/>
      <c r="J2" s="1379"/>
    </row>
    <row r="3" spans="2:10" s="317" customFormat="1" ht="12.75" customHeight="1" x14ac:dyDescent="0.2">
      <c r="B3" s="2537" t="s">
        <v>1285</v>
      </c>
      <c r="C3" s="2538"/>
      <c r="D3" s="2538"/>
      <c r="E3" s="2538"/>
      <c r="F3" s="2538"/>
      <c r="G3" s="2538"/>
      <c r="H3" s="2538"/>
      <c r="I3" s="2538"/>
      <c r="J3" s="1380"/>
    </row>
    <row r="4" spans="2:10" s="317" customFormat="1" ht="12.75" customHeight="1" x14ac:dyDescent="0.2">
      <c r="B4" s="2537" t="str">
        <f>'Single Audit Cover'!A4</f>
        <v>Year Ending June 30, 2019</v>
      </c>
      <c r="C4" s="2538"/>
      <c r="D4" s="2538"/>
      <c r="E4" s="2538"/>
      <c r="F4" s="2538"/>
      <c r="G4" s="2538"/>
      <c r="H4" s="2538"/>
      <c r="I4" s="2538"/>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7" t="s">
        <v>1284</v>
      </c>
      <c r="C7" s="2538"/>
      <c r="D7" s="2538"/>
      <c r="E7" s="2538"/>
      <c r="F7" s="2538"/>
      <c r="G7" s="2538"/>
      <c r="H7" s="2538"/>
      <c r="I7" s="2538"/>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9" t="s">
        <v>2165</v>
      </c>
      <c r="D11" s="2539"/>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t="s">
        <v>2156</v>
      </c>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t="s">
        <v>2156</v>
      </c>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t="s">
        <v>2156</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t="s">
        <v>2156</v>
      </c>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t="s">
        <v>2156</v>
      </c>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40" t="s">
        <v>2213</v>
      </c>
      <c r="E29" s="2540"/>
      <c r="F29" s="2540"/>
      <c r="G29" s="2540"/>
      <c r="H29" s="2540"/>
      <c r="I29" s="2540"/>
    </row>
    <row r="30" spans="2:9" s="317" customFormat="1" x14ac:dyDescent="0.2">
      <c r="B30" s="1338"/>
      <c r="C30" s="322"/>
      <c r="D30" s="1390" t="s">
        <v>1747</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t="s">
        <v>2156</v>
      </c>
      <c r="F33" s="1270" t="s">
        <v>885</v>
      </c>
      <c r="G33" s="1395"/>
      <c r="H33" s="1270" t="s">
        <v>99</v>
      </c>
    </row>
    <row r="35" spans="2:9" x14ac:dyDescent="0.2">
      <c r="B35" s="1398" t="s">
        <v>1748</v>
      </c>
      <c r="C35" s="1399"/>
      <c r="D35" s="1237"/>
    </row>
    <row r="36" spans="2:9" ht="6" customHeight="1" x14ac:dyDescent="0.2">
      <c r="B36" s="1398"/>
      <c r="C36" s="1399"/>
      <c r="D36" s="1237"/>
    </row>
    <row r="37" spans="2:9" ht="17.25" customHeight="1" x14ac:dyDescent="0.2">
      <c r="B37" s="1400" t="s">
        <v>1749</v>
      </c>
      <c r="C37" s="2541" t="s">
        <v>1750</v>
      </c>
      <c r="D37" s="2542"/>
      <c r="E37" s="2542"/>
      <c r="F37" s="2543"/>
      <c r="G37" s="2541" t="s">
        <v>1592</v>
      </c>
      <c r="H37" s="2542"/>
      <c r="I37" s="2543"/>
    </row>
    <row r="38" spans="2:9" ht="16.5" customHeight="1" x14ac:dyDescent="0.2">
      <c r="B38" s="1401" t="s">
        <v>2166</v>
      </c>
      <c r="C38" s="2529" t="s">
        <v>2167</v>
      </c>
      <c r="D38" s="2530"/>
      <c r="E38" s="2530"/>
      <c r="F38" s="2531"/>
      <c r="G38" s="2544">
        <v>334716</v>
      </c>
      <c r="H38" s="2545"/>
      <c r="I38" s="2546"/>
    </row>
    <row r="39" spans="2:9" ht="16.5" customHeight="1" x14ac:dyDescent="0.2">
      <c r="B39" s="1401">
        <v>84.027000000000001</v>
      </c>
      <c r="C39" s="2529" t="s">
        <v>2168</v>
      </c>
      <c r="D39" s="2530"/>
      <c r="E39" s="2530"/>
      <c r="F39" s="2531"/>
      <c r="G39" s="2532">
        <v>633485</v>
      </c>
      <c r="H39" s="2532"/>
      <c r="I39" s="2532"/>
    </row>
    <row r="40" spans="2:9" ht="16.5" customHeight="1" x14ac:dyDescent="0.2">
      <c r="B40" s="1401"/>
      <c r="C40" s="2529"/>
      <c r="D40" s="2530"/>
      <c r="E40" s="2530"/>
      <c r="F40" s="2531"/>
      <c r="G40" s="2532"/>
      <c r="H40" s="2532"/>
      <c r="I40" s="2532"/>
    </row>
    <row r="41" spans="2:9" ht="16.5" customHeight="1" x14ac:dyDescent="0.2">
      <c r="B41" s="1401"/>
      <c r="C41" s="2529"/>
      <c r="D41" s="2530"/>
      <c r="E41" s="2530"/>
      <c r="F41" s="2531"/>
      <c r="G41" s="2532"/>
      <c r="H41" s="2532"/>
      <c r="I41" s="2532"/>
    </row>
    <row r="42" spans="2:9" ht="16.5" customHeight="1" x14ac:dyDescent="0.2">
      <c r="B42" s="1401"/>
      <c r="C42" s="2529"/>
      <c r="D42" s="2530"/>
      <c r="E42" s="2530"/>
      <c r="F42" s="2531"/>
      <c r="G42" s="2532"/>
      <c r="H42" s="2532"/>
      <c r="I42" s="2532"/>
    </row>
    <row r="43" spans="2:9" ht="16.5" customHeight="1" x14ac:dyDescent="0.2">
      <c r="B43" s="1401"/>
      <c r="C43" s="2522" t="s">
        <v>1593</v>
      </c>
      <c r="D43" s="2523"/>
      <c r="E43" s="2523"/>
      <c r="F43" s="2524"/>
      <c r="G43" s="2525">
        <f>SUM(G38:I42)</f>
        <v>968201</v>
      </c>
      <c r="H43" s="2525"/>
      <c r="I43" s="2525"/>
    </row>
    <row r="44" spans="2:9" ht="12.75" customHeight="1" x14ac:dyDescent="0.2"/>
    <row r="45" spans="2:9" ht="12.75" customHeight="1" x14ac:dyDescent="0.2">
      <c r="B45" s="1392" t="s">
        <v>1840</v>
      </c>
      <c r="D45" s="2526">
        <v>1410570</v>
      </c>
      <c r="E45" s="2527"/>
    </row>
    <row r="46" spans="2:9" ht="5.25" customHeight="1" x14ac:dyDescent="0.2">
      <c r="B46" s="1402"/>
      <c r="D46" s="1403"/>
      <c r="E46" s="1404"/>
    </row>
    <row r="47" spans="2:9" ht="12.75" customHeight="1" x14ac:dyDescent="0.2">
      <c r="B47" s="1270" t="s">
        <v>1594</v>
      </c>
      <c r="C47" s="1270"/>
      <c r="D47" s="1405">
        <f>+G43/D45</f>
        <v>0.686389899118796</v>
      </c>
      <c r="E47" s="1406"/>
      <c r="F47" s="1407"/>
      <c r="I47" s="1408"/>
    </row>
    <row r="48" spans="2:9" ht="9.9499999999999993" customHeight="1" x14ac:dyDescent="0.2"/>
    <row r="49" spans="1:9" x14ac:dyDescent="0.2">
      <c r="B49" s="1338" t="s">
        <v>1273</v>
      </c>
      <c r="C49" s="1252"/>
      <c r="D49" s="1252"/>
      <c r="E49" s="2528">
        <v>750000</v>
      </c>
      <c r="F49" s="2528"/>
      <c r="G49" s="2528"/>
      <c r="H49" s="322"/>
    </row>
    <row r="51" spans="1:9" ht="13.5" customHeight="1" x14ac:dyDescent="0.2">
      <c r="B51" s="1338" t="s">
        <v>1272</v>
      </c>
      <c r="C51" s="1252"/>
      <c r="E51" s="1395"/>
      <c r="F51" s="1270" t="s">
        <v>885</v>
      </c>
      <c r="G51" s="1395" t="s">
        <v>2156</v>
      </c>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1751</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1752</v>
      </c>
      <c r="C58" s="1421"/>
      <c r="D58" s="1421"/>
    </row>
    <row r="59" spans="1:9" s="1418" customFormat="1" ht="3.95" customHeight="1" x14ac:dyDescent="0.2">
      <c r="A59" s="1415"/>
      <c r="B59" s="1420"/>
      <c r="C59" s="1421"/>
      <c r="D59" s="1421"/>
    </row>
    <row r="60" spans="1:9" s="1418" customFormat="1" ht="13.5" customHeight="1" x14ac:dyDescent="0.2">
      <c r="A60" s="1415"/>
      <c r="B60" s="1420" t="s">
        <v>1753</v>
      </c>
      <c r="C60" s="1421"/>
      <c r="D60" s="1421"/>
    </row>
    <row r="61" spans="1:9" s="1418" customFormat="1" ht="3.95" customHeight="1" x14ac:dyDescent="0.2">
      <c r="A61" s="1415"/>
      <c r="B61" s="1420"/>
      <c r="C61" s="1421"/>
      <c r="D61" s="1421"/>
    </row>
    <row r="62" spans="1:9" s="1418" customFormat="1" ht="12.75" customHeight="1" x14ac:dyDescent="0.2">
      <c r="A62" s="1415"/>
      <c r="B62" s="1420" t="s">
        <v>1754</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M41"/>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3" t="str">
        <f>'Single Audit Cover'!A7</f>
        <v>McHenry CHSD 156</v>
      </c>
      <c r="C1" s="2533"/>
      <c r="D1" s="2533"/>
      <c r="E1" s="2533"/>
      <c r="F1" s="2533"/>
      <c r="G1" s="2533"/>
      <c r="H1" s="2533"/>
      <c r="I1" s="2533"/>
      <c r="J1" s="2533"/>
      <c r="K1" s="2533"/>
      <c r="L1" s="1344"/>
      <c r="M1" s="1344"/>
    </row>
    <row r="2" spans="1:13" ht="12" customHeight="1" x14ac:dyDescent="0.2">
      <c r="B2" s="2535">
        <f>'Single Audit Cover'!E7</f>
        <v>44063156016</v>
      </c>
      <c r="C2" s="2535"/>
      <c r="D2" s="2535"/>
      <c r="E2" s="2535"/>
      <c r="F2" s="2535"/>
      <c r="G2" s="2535"/>
      <c r="H2" s="2535"/>
      <c r="I2" s="2535"/>
      <c r="J2" s="2535"/>
      <c r="K2" s="2535"/>
      <c r="L2" s="1345"/>
      <c r="M2" s="1346"/>
    </row>
    <row r="3" spans="1:13" ht="10.35" customHeight="1" x14ac:dyDescent="0.2">
      <c r="B3" s="2549" t="s">
        <v>1285</v>
      </c>
      <c r="C3" s="2549"/>
      <c r="D3" s="2549"/>
      <c r="E3" s="2549"/>
      <c r="F3" s="2549"/>
      <c r="G3" s="2549"/>
      <c r="H3" s="2549"/>
      <c r="I3" s="2549"/>
      <c r="J3" s="2549"/>
      <c r="K3" s="2549"/>
      <c r="L3" s="1347"/>
      <c r="M3" s="1347"/>
    </row>
    <row r="4" spans="1:13" ht="14.25" customHeight="1" x14ac:dyDescent="0.2">
      <c r="B4" s="2550" t="str">
        <f>'Single Audit Cover'!A4</f>
        <v>Year Ending June 30, 2019</v>
      </c>
      <c r="C4" s="2550"/>
      <c r="D4" s="2550"/>
      <c r="E4" s="2550"/>
      <c r="F4" s="2550"/>
      <c r="G4" s="2550"/>
      <c r="H4" s="2550"/>
      <c r="I4" s="2550"/>
      <c r="J4" s="2550"/>
      <c r="K4" s="2550"/>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50" t="s">
        <v>1296</v>
      </c>
      <c r="C7" s="2550"/>
      <c r="D7" s="2551"/>
      <c r="E7" s="2551"/>
      <c r="F7" s="2551"/>
      <c r="G7" s="2551"/>
      <c r="H7" s="2551"/>
      <c r="I7" s="2551"/>
      <c r="J7" s="2551"/>
      <c r="K7" s="2551"/>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1741</v>
      </c>
      <c r="C10" s="1355" t="s">
        <v>1990</v>
      </c>
      <c r="D10" s="1356" t="s">
        <v>2078</v>
      </c>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8"/>
      <c r="C14" s="2548"/>
      <c r="D14" s="2548"/>
      <c r="E14" s="2548"/>
      <c r="F14" s="2548"/>
      <c r="G14" s="2548"/>
      <c r="H14" s="2548"/>
      <c r="I14" s="2548"/>
      <c r="J14" s="2548"/>
      <c r="K14" s="2548"/>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8"/>
      <c r="C17" s="2548"/>
      <c r="D17" s="2548"/>
      <c r="E17" s="2548"/>
      <c r="F17" s="2548"/>
      <c r="G17" s="2548"/>
      <c r="H17" s="2548"/>
      <c r="I17" s="2548"/>
      <c r="J17" s="2548"/>
      <c r="K17" s="2548"/>
      <c r="L17" s="1351"/>
    </row>
    <row r="18" spans="2:12" ht="4.5" customHeight="1" x14ac:dyDescent="0.2">
      <c r="B18" s="1368"/>
      <c r="C18" s="1368"/>
      <c r="L18" s="1351"/>
    </row>
    <row r="19" spans="2:12" s="1252" customFormat="1" ht="13.5" customHeight="1" x14ac:dyDescent="0.2">
      <c r="B19" s="1363" t="s">
        <v>1742</v>
      </c>
      <c r="C19" s="1363"/>
      <c r="D19" s="1364"/>
      <c r="E19" s="1364"/>
      <c r="F19" s="1364"/>
      <c r="G19" s="1365"/>
      <c r="H19" s="1364"/>
      <c r="I19" s="1365"/>
      <c r="J19" s="1364"/>
      <c r="K19" s="1364"/>
      <c r="L19" s="1366"/>
    </row>
    <row r="20" spans="2:12" ht="45.75" customHeight="1" x14ac:dyDescent="0.2">
      <c r="B20" s="2552"/>
      <c r="C20" s="2552"/>
      <c r="D20" s="2548"/>
      <c r="E20" s="2548"/>
      <c r="F20" s="2548"/>
      <c r="G20" s="2548"/>
      <c r="H20" s="2548"/>
      <c r="I20" s="2548"/>
      <c r="J20" s="2548"/>
      <c r="K20" s="2548"/>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8"/>
      <c r="C23" s="2548"/>
      <c r="D23" s="2548"/>
      <c r="E23" s="2548"/>
      <c r="F23" s="2548"/>
      <c r="G23" s="2548"/>
      <c r="H23" s="2548"/>
      <c r="I23" s="2548"/>
      <c r="J23" s="2548"/>
      <c r="K23" s="2548"/>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8"/>
      <c r="C26" s="2548"/>
      <c r="D26" s="2548"/>
      <c r="E26" s="2548"/>
      <c r="F26" s="2548"/>
      <c r="G26" s="2548"/>
      <c r="H26" s="2548"/>
      <c r="I26" s="2548"/>
      <c r="J26" s="2548"/>
      <c r="K26" s="2548"/>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7"/>
      <c r="C29" s="2547"/>
      <c r="D29" s="2548"/>
      <c r="E29" s="2548"/>
      <c r="F29" s="2548"/>
      <c r="G29" s="2548"/>
      <c r="H29" s="2548"/>
      <c r="I29" s="2548"/>
      <c r="J29" s="2548"/>
      <c r="K29" s="2548"/>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1743</v>
      </c>
      <c r="C31" s="1373"/>
      <c r="D31" s="1348"/>
      <c r="E31" s="1349"/>
      <c r="F31" s="1349"/>
      <c r="G31" s="1350"/>
      <c r="H31" s="1349"/>
      <c r="I31" s="1350"/>
      <c r="J31" s="1349"/>
      <c r="K31" s="1349"/>
      <c r="L31" s="1351"/>
    </row>
    <row r="32" spans="2:12" s="322" customFormat="1" ht="44.25" customHeight="1" x14ac:dyDescent="0.2">
      <c r="B32" s="2547"/>
      <c r="C32" s="2547"/>
      <c r="D32" s="2548"/>
      <c r="E32" s="2548"/>
      <c r="F32" s="2548"/>
      <c r="G32" s="2548"/>
      <c r="H32" s="2548"/>
      <c r="I32" s="2548"/>
      <c r="J32" s="2548"/>
      <c r="K32" s="2548"/>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1744</v>
      </c>
      <c r="C35" s="1376"/>
      <c r="D35" s="322"/>
      <c r="E35" s="322"/>
      <c r="F35" s="322"/>
      <c r="L35" s="1351"/>
    </row>
    <row r="36" spans="1:13" ht="9.6" customHeight="1" x14ac:dyDescent="0.2">
      <c r="B36" s="1270" t="s">
        <v>1841</v>
      </c>
      <c r="C36" s="1270"/>
      <c r="L36" s="1351"/>
    </row>
    <row r="37" spans="1:13" ht="9.6" customHeight="1" x14ac:dyDescent="0.2">
      <c r="B37" s="1270" t="s">
        <v>1842</v>
      </c>
      <c r="C37" s="1270"/>
    </row>
    <row r="38" spans="1:13" ht="11.85" customHeight="1" x14ac:dyDescent="0.2">
      <c r="B38" s="1377" t="s">
        <v>1745</v>
      </c>
      <c r="C38" s="1377"/>
    </row>
    <row r="39" spans="1:13" ht="9.6" customHeight="1" x14ac:dyDescent="0.2">
      <c r="B39" s="1270" t="s">
        <v>1286</v>
      </c>
      <c r="C39" s="1270"/>
      <c r="M39" s="1378"/>
    </row>
    <row r="40" spans="1:13" ht="12.6" customHeight="1" x14ac:dyDescent="0.2">
      <c r="B40" s="1377" t="s">
        <v>1746</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L48"/>
  <sheetViews>
    <sheetView showGridLines="0" topLeftCell="A25" zoomScale="110" zoomScaleNormal="110" workbookViewId="0">
      <selection sqref="A1:XFD104857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6" t="str">
        <f>'Single Audit Cover'!A7</f>
        <v>McHenry CHSD 156</v>
      </c>
      <c r="C1" s="2556"/>
      <c r="D1" s="2556"/>
      <c r="E1" s="2556"/>
      <c r="F1" s="2556"/>
      <c r="G1" s="2556"/>
      <c r="H1" s="2556"/>
      <c r="I1" s="2556"/>
      <c r="J1" s="2556"/>
      <c r="K1" s="2556"/>
      <c r="L1" s="1422"/>
    </row>
    <row r="2" spans="1:12" ht="12.75" customHeight="1" x14ac:dyDescent="0.2">
      <c r="B2" s="2557">
        <f>'Single Audit Cover'!E7</f>
        <v>44063156016</v>
      </c>
      <c r="C2" s="2557"/>
      <c r="D2" s="2557"/>
      <c r="E2" s="2557"/>
      <c r="F2" s="2557"/>
      <c r="G2" s="2557"/>
      <c r="H2" s="2557"/>
      <c r="I2" s="2557"/>
      <c r="J2" s="2557"/>
      <c r="K2" s="2557"/>
      <c r="L2" s="1423"/>
    </row>
    <row r="3" spans="1:12" ht="12.75" customHeight="1" x14ac:dyDescent="0.2">
      <c r="B3" s="2549" t="s">
        <v>1285</v>
      </c>
      <c r="C3" s="2549"/>
      <c r="D3" s="2549"/>
      <c r="E3" s="2549"/>
      <c r="F3" s="2549"/>
      <c r="G3" s="2549"/>
      <c r="H3" s="2549"/>
      <c r="I3" s="2549"/>
      <c r="J3" s="2549"/>
      <c r="K3" s="2549"/>
      <c r="L3" s="1347"/>
    </row>
    <row r="4" spans="1:12" ht="12.75" customHeight="1" x14ac:dyDescent="0.2">
      <c r="B4" s="2549" t="str">
        <f>'Single Audit Cover'!A4</f>
        <v>Year Ending June 30, 2019</v>
      </c>
      <c r="C4" s="2549"/>
      <c r="D4" s="2549"/>
      <c r="E4" s="2549"/>
      <c r="F4" s="2549"/>
      <c r="G4" s="2549"/>
      <c r="H4" s="2549"/>
      <c r="I4" s="2549"/>
      <c r="J4" s="2549"/>
      <c r="K4" s="2549"/>
      <c r="L4" s="1347"/>
    </row>
    <row r="5" spans="1:12" ht="5.25" customHeight="1" x14ac:dyDescent="0.2">
      <c r="B5" s="1230" t="s">
        <v>1169</v>
      </c>
      <c r="C5" s="1230"/>
      <c r="L5" s="322"/>
    </row>
    <row r="6" spans="1:12" ht="30.75" customHeight="1" x14ac:dyDescent="0.2">
      <c r="A6" s="322"/>
      <c r="B6" s="2558" t="s">
        <v>1308</v>
      </c>
      <c r="C6" s="2558"/>
      <c r="D6" s="2558"/>
      <c r="E6" s="2558"/>
      <c r="F6" s="2558"/>
      <c r="G6" s="2558"/>
      <c r="H6" s="2558"/>
      <c r="I6" s="2558"/>
      <c r="J6" s="2558"/>
      <c r="K6" s="2558"/>
      <c r="L6" s="322"/>
    </row>
    <row r="7" spans="1:12" ht="4.5" customHeight="1" x14ac:dyDescent="0.2">
      <c r="B7" s="1349"/>
      <c r="C7" s="1349"/>
      <c r="D7" s="1349"/>
      <c r="E7" s="1349"/>
      <c r="F7" s="1349"/>
      <c r="G7" s="1350"/>
      <c r="H7" s="1349"/>
      <c r="I7" s="1350"/>
      <c r="J7" s="1349"/>
      <c r="K7" s="1349"/>
      <c r="L7" s="322"/>
    </row>
    <row r="8" spans="1:12" ht="13.5" customHeight="1" x14ac:dyDescent="0.2">
      <c r="B8" s="1357" t="s">
        <v>1755</v>
      </c>
      <c r="C8" s="1424" t="s">
        <v>1990</v>
      </c>
      <c r="D8" s="1425">
        <v>1</v>
      </c>
      <c r="E8" s="322"/>
      <c r="F8" s="1354" t="s">
        <v>1295</v>
      </c>
      <c r="G8" s="1426"/>
      <c r="H8" s="1427" t="s">
        <v>1307</v>
      </c>
      <c r="I8" s="1426" t="s">
        <v>2156</v>
      </c>
      <c r="J8" s="1428" t="s">
        <v>1306</v>
      </c>
      <c r="L8" s="322"/>
    </row>
    <row r="9" spans="1:12" ht="13.5" customHeight="1" x14ac:dyDescent="0.2">
      <c r="D9" s="322"/>
      <c r="E9" s="322"/>
      <c r="F9" s="322"/>
      <c r="G9" s="1353"/>
      <c r="H9" s="322"/>
      <c r="I9" s="1429" t="s">
        <v>1292</v>
      </c>
      <c r="J9" s="322"/>
      <c r="K9" s="1430">
        <v>2018</v>
      </c>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40" t="s">
        <v>2169</v>
      </c>
      <c r="G12" s="2540"/>
      <c r="H12" s="2540"/>
      <c r="I12" s="2540"/>
      <c r="J12" s="2540"/>
      <c r="K12" s="2540"/>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3" t="s">
        <v>2092</v>
      </c>
      <c r="E14" s="2553"/>
      <c r="F14" s="2553"/>
      <c r="H14" s="1432" t="s">
        <v>1303</v>
      </c>
      <c r="I14" s="2554">
        <v>84.027000000000001</v>
      </c>
      <c r="J14" s="2554"/>
      <c r="K14" s="2554"/>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4" t="s">
        <v>2170</v>
      </c>
      <c r="E16" s="2554"/>
      <c r="F16" s="2554"/>
      <c r="G16" s="2554"/>
      <c r="H16" s="2554"/>
      <c r="I16" s="2554"/>
      <c r="J16" s="2554"/>
      <c r="K16" s="2554"/>
      <c r="L16" s="322"/>
    </row>
    <row r="17" spans="2:12" ht="13.5" customHeight="1" x14ac:dyDescent="0.2">
      <c r="B17" s="1357" t="s">
        <v>1301</v>
      </c>
      <c r="C17" s="1357"/>
      <c r="D17" s="2555" t="s">
        <v>2171</v>
      </c>
      <c r="E17" s="2555"/>
      <c r="F17" s="2555"/>
      <c r="G17" s="2555"/>
      <c r="H17" s="2555"/>
      <c r="I17" s="2555"/>
      <c r="J17" s="2555"/>
      <c r="K17" s="2555"/>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8" t="s">
        <v>2172</v>
      </c>
      <c r="C20" s="2548"/>
      <c r="D20" s="2548"/>
      <c r="E20" s="2548"/>
      <c r="F20" s="2548"/>
      <c r="G20" s="2548"/>
      <c r="H20" s="2548"/>
      <c r="I20" s="2548"/>
      <c r="J20" s="2548"/>
      <c r="K20" s="2548"/>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1756</v>
      </c>
      <c r="C22" s="1434"/>
      <c r="D22" s="322"/>
      <c r="E22" s="322"/>
      <c r="F22" s="322"/>
      <c r="G22" s="1353"/>
      <c r="H22" s="322"/>
      <c r="I22" s="1353"/>
      <c r="J22" s="322"/>
      <c r="K22" s="322"/>
      <c r="L22" s="322"/>
    </row>
    <row r="23" spans="2:12" ht="37.5" customHeight="1" x14ac:dyDescent="0.2">
      <c r="B23" s="2548" t="s">
        <v>2174</v>
      </c>
      <c r="C23" s="2548"/>
      <c r="D23" s="2548"/>
      <c r="E23" s="2548"/>
      <c r="F23" s="2548"/>
      <c r="G23" s="2548"/>
      <c r="H23" s="2548"/>
      <c r="I23" s="2548"/>
      <c r="J23" s="2548"/>
      <c r="K23" s="2548"/>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1757</v>
      </c>
      <c r="C25" s="1434"/>
      <c r="D25" s="322"/>
      <c r="E25" s="322"/>
      <c r="F25" s="322"/>
      <c r="G25" s="1353"/>
      <c r="H25" s="322"/>
      <c r="I25" s="1353"/>
      <c r="J25" s="322"/>
      <c r="K25" s="322"/>
      <c r="L25" s="322"/>
    </row>
    <row r="26" spans="2:12" ht="37.5" customHeight="1" x14ac:dyDescent="0.2">
      <c r="B26" s="2548" t="s">
        <v>2173</v>
      </c>
      <c r="C26" s="2548"/>
      <c r="D26" s="2548"/>
      <c r="E26" s="2548"/>
      <c r="F26" s="2548"/>
      <c r="G26" s="2548"/>
      <c r="H26" s="2548"/>
      <c r="I26" s="2548"/>
      <c r="J26" s="2548"/>
      <c r="K26" s="2548"/>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1758</v>
      </c>
      <c r="C28" s="1434"/>
      <c r="D28" s="322"/>
      <c r="E28" s="322"/>
      <c r="F28" s="322"/>
      <c r="G28" s="1353"/>
      <c r="H28" s="322"/>
      <c r="I28" s="1353"/>
      <c r="J28" s="322"/>
      <c r="K28" s="322"/>
      <c r="L28" s="322"/>
    </row>
    <row r="29" spans="2:12" ht="37.5" customHeight="1" x14ac:dyDescent="0.2">
      <c r="B29" s="2548" t="s">
        <v>2176</v>
      </c>
      <c r="C29" s="2548"/>
      <c r="D29" s="2548"/>
      <c r="E29" s="2548"/>
      <c r="F29" s="2548"/>
      <c r="G29" s="2548"/>
      <c r="H29" s="2548"/>
      <c r="I29" s="2548"/>
      <c r="J29" s="2548"/>
      <c r="K29" s="2548"/>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8" t="s">
        <v>2175</v>
      </c>
      <c r="C32" s="2548"/>
      <c r="D32" s="2548"/>
      <c r="E32" s="2548"/>
      <c r="F32" s="2548"/>
      <c r="G32" s="2548"/>
      <c r="H32" s="2548"/>
      <c r="I32" s="2548"/>
      <c r="J32" s="2548"/>
      <c r="K32" s="2548"/>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8" t="s">
        <v>2177</v>
      </c>
      <c r="C35" s="2548"/>
      <c r="D35" s="2548"/>
      <c r="E35" s="2548"/>
      <c r="F35" s="2548"/>
      <c r="G35" s="2548"/>
      <c r="H35" s="2548"/>
      <c r="I35" s="2548"/>
      <c r="J35" s="2548"/>
      <c r="K35" s="2548"/>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8" t="s">
        <v>2185</v>
      </c>
      <c r="C38" s="2548"/>
      <c r="D38" s="2548"/>
      <c r="E38" s="2548"/>
      <c r="F38" s="2548"/>
      <c r="G38" s="2548"/>
      <c r="H38" s="2548"/>
      <c r="I38" s="2548"/>
      <c r="J38" s="2548"/>
      <c r="K38" s="2548"/>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1759</v>
      </c>
      <c r="C40" s="1373"/>
      <c r="D40" s="1348"/>
      <c r="E40" s="1349"/>
      <c r="F40" s="1349"/>
      <c r="G40" s="1350"/>
      <c r="H40" s="1349"/>
      <c r="I40" s="1350"/>
      <c r="J40" s="1349"/>
      <c r="K40" s="1349"/>
    </row>
    <row r="41" spans="2:12" s="322" customFormat="1" ht="33.75" customHeight="1" x14ac:dyDescent="0.2">
      <c r="B41" s="2548" t="s">
        <v>2186</v>
      </c>
      <c r="C41" s="2548"/>
      <c r="D41" s="2548"/>
      <c r="E41" s="2548"/>
      <c r="F41" s="2548"/>
      <c r="G41" s="2548"/>
      <c r="H41" s="2548"/>
      <c r="I41" s="2548"/>
      <c r="J41" s="2548"/>
      <c r="K41" s="2548"/>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1760</v>
      </c>
      <c r="C44" s="1376"/>
      <c r="D44" s="322"/>
      <c r="E44" s="322"/>
      <c r="F44" s="322"/>
    </row>
    <row r="45" spans="2:12" ht="10.5" customHeight="1" x14ac:dyDescent="0.2">
      <c r="B45" s="1377" t="s">
        <v>1761</v>
      </c>
      <c r="C45" s="1377"/>
      <c r="G45" s="317"/>
      <c r="I45" s="317"/>
    </row>
    <row r="46" spans="2:12" ht="11.1" customHeight="1" x14ac:dyDescent="0.2">
      <c r="B46" s="1377" t="s">
        <v>1762</v>
      </c>
      <c r="C46" s="1377"/>
      <c r="G46" s="317"/>
      <c r="I46" s="317"/>
    </row>
    <row r="47" spans="2:12" ht="11.1" customHeight="1" x14ac:dyDescent="0.2">
      <c r="B47" s="1377" t="s">
        <v>1763</v>
      </c>
      <c r="C47" s="1377"/>
      <c r="G47" s="317"/>
      <c r="I47" s="317"/>
    </row>
    <row r="48" spans="2:12" ht="11.1" customHeight="1" x14ac:dyDescent="0.2">
      <c r="B48" s="1377" t="s">
        <v>1764</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DC0D-5152-4DFB-81A7-7460433F1265}">
  <sheetPr>
    <tabColor rgb="FF00B0F0"/>
  </sheetPr>
  <dimension ref="A1:L48"/>
  <sheetViews>
    <sheetView showGridLines="0" zoomScale="110" zoomScaleNormal="110" workbookViewId="0">
      <selection sqref="A1:XFD104857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6" t="str">
        <f>'Single Audit Cover'!A7</f>
        <v>McHenry CHSD 156</v>
      </c>
      <c r="C1" s="2556"/>
      <c r="D1" s="2556"/>
      <c r="E1" s="2556"/>
      <c r="F1" s="2556"/>
      <c r="G1" s="2556"/>
      <c r="H1" s="2556"/>
      <c r="I1" s="2556"/>
      <c r="J1" s="2556"/>
      <c r="K1" s="2556"/>
      <c r="L1" s="1422"/>
    </row>
    <row r="2" spans="1:12" ht="12.75" customHeight="1" x14ac:dyDescent="0.2">
      <c r="B2" s="2557">
        <f>'Single Audit Cover'!E7</f>
        <v>44063156016</v>
      </c>
      <c r="C2" s="2557"/>
      <c r="D2" s="2557"/>
      <c r="E2" s="2557"/>
      <c r="F2" s="2557"/>
      <c r="G2" s="2557"/>
      <c r="H2" s="2557"/>
      <c r="I2" s="2557"/>
      <c r="J2" s="2557"/>
      <c r="K2" s="2557"/>
      <c r="L2" s="1423"/>
    </row>
    <row r="3" spans="1:12" ht="12.75" customHeight="1" x14ac:dyDescent="0.2">
      <c r="B3" s="2549" t="s">
        <v>1285</v>
      </c>
      <c r="C3" s="2549"/>
      <c r="D3" s="2549"/>
      <c r="E3" s="2549"/>
      <c r="F3" s="2549"/>
      <c r="G3" s="2549"/>
      <c r="H3" s="2549"/>
      <c r="I3" s="2549"/>
      <c r="J3" s="2549"/>
      <c r="K3" s="2549"/>
      <c r="L3" s="2010"/>
    </row>
    <row r="4" spans="1:12" ht="12.75" customHeight="1" x14ac:dyDescent="0.2">
      <c r="B4" s="2549" t="str">
        <f>'Single Audit Cover'!A4</f>
        <v>Year Ending June 30, 2019</v>
      </c>
      <c r="C4" s="2549"/>
      <c r="D4" s="2549"/>
      <c r="E4" s="2549"/>
      <c r="F4" s="2549"/>
      <c r="G4" s="2549"/>
      <c r="H4" s="2549"/>
      <c r="I4" s="2549"/>
      <c r="J4" s="2549"/>
      <c r="K4" s="2549"/>
      <c r="L4" s="2010"/>
    </row>
    <row r="5" spans="1:12" ht="5.25" customHeight="1" x14ac:dyDescent="0.2">
      <c r="B5" s="1230" t="s">
        <v>1169</v>
      </c>
      <c r="C5" s="1230"/>
      <c r="L5" s="322"/>
    </row>
    <row r="6" spans="1:12" ht="30.75" customHeight="1" x14ac:dyDescent="0.2">
      <c r="A6" s="322"/>
      <c r="B6" s="2558" t="s">
        <v>1308</v>
      </c>
      <c r="C6" s="2558"/>
      <c r="D6" s="2558"/>
      <c r="E6" s="2558"/>
      <c r="F6" s="2558"/>
      <c r="G6" s="2558"/>
      <c r="H6" s="2558"/>
      <c r="I6" s="2558"/>
      <c r="J6" s="2558"/>
      <c r="K6" s="2558"/>
      <c r="L6" s="322"/>
    </row>
    <row r="7" spans="1:12" ht="4.5" customHeight="1" x14ac:dyDescent="0.2">
      <c r="B7" s="1349"/>
      <c r="C7" s="1349"/>
      <c r="D7" s="1349"/>
      <c r="E7" s="1349"/>
      <c r="F7" s="1349"/>
      <c r="G7" s="1350"/>
      <c r="H7" s="1349"/>
      <c r="I7" s="1350"/>
      <c r="J7" s="1349"/>
      <c r="K7" s="1349"/>
      <c r="L7" s="322"/>
    </row>
    <row r="8" spans="1:12" ht="13.5" customHeight="1" x14ac:dyDescent="0.2">
      <c r="B8" s="1357" t="s">
        <v>1755</v>
      </c>
      <c r="C8" s="1424" t="s">
        <v>1990</v>
      </c>
      <c r="D8" s="1425">
        <v>2</v>
      </c>
      <c r="E8" s="322"/>
      <c r="F8" s="1354" t="s">
        <v>1295</v>
      </c>
      <c r="G8" s="1426" t="s">
        <v>2156</v>
      </c>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40" t="s">
        <v>1058</v>
      </c>
      <c r="G12" s="2540"/>
      <c r="H12" s="2540"/>
      <c r="I12" s="2540"/>
      <c r="J12" s="2540"/>
      <c r="K12" s="2540"/>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3" t="s">
        <v>2075</v>
      </c>
      <c r="E14" s="2553"/>
      <c r="F14" s="2553"/>
      <c r="H14" s="1432" t="s">
        <v>1303</v>
      </c>
      <c r="I14" s="2554">
        <v>10.555</v>
      </c>
      <c r="J14" s="2554"/>
      <c r="K14" s="2554"/>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4" t="s">
        <v>2189</v>
      </c>
      <c r="E16" s="2554"/>
      <c r="F16" s="2554"/>
      <c r="G16" s="2554"/>
      <c r="H16" s="2554"/>
      <c r="I16" s="2554"/>
      <c r="J16" s="2554"/>
      <c r="K16" s="2554"/>
      <c r="L16" s="322"/>
    </row>
    <row r="17" spans="2:12" ht="13.5" customHeight="1" x14ac:dyDescent="0.2">
      <c r="B17" s="1357" t="s">
        <v>1301</v>
      </c>
      <c r="C17" s="1357"/>
      <c r="D17" s="2555" t="s">
        <v>2190</v>
      </c>
      <c r="E17" s="2555"/>
      <c r="F17" s="2555"/>
      <c r="G17" s="2555"/>
      <c r="H17" s="2555"/>
      <c r="I17" s="2555"/>
      <c r="J17" s="2555"/>
      <c r="K17" s="2555"/>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8" t="s">
        <v>2193</v>
      </c>
      <c r="C20" s="2548"/>
      <c r="D20" s="2548"/>
      <c r="E20" s="2548"/>
      <c r="F20" s="2548"/>
      <c r="G20" s="2548"/>
      <c r="H20" s="2548"/>
      <c r="I20" s="2548"/>
      <c r="J20" s="2548"/>
      <c r="K20" s="2548"/>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1756</v>
      </c>
      <c r="C22" s="1434"/>
      <c r="D22" s="322"/>
      <c r="E22" s="322"/>
      <c r="F22" s="322"/>
      <c r="G22" s="1353"/>
      <c r="H22" s="322"/>
      <c r="I22" s="1353"/>
      <c r="J22" s="322"/>
      <c r="K22" s="322"/>
      <c r="L22" s="322"/>
    </row>
    <row r="23" spans="2:12" ht="37.5" customHeight="1" x14ac:dyDescent="0.2">
      <c r="B23" s="2548" t="s">
        <v>2191</v>
      </c>
      <c r="C23" s="2548"/>
      <c r="D23" s="2548"/>
      <c r="E23" s="2548"/>
      <c r="F23" s="2548"/>
      <c r="G23" s="2548"/>
      <c r="H23" s="2548"/>
      <c r="I23" s="2548"/>
      <c r="J23" s="2548"/>
      <c r="K23" s="2548"/>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1757</v>
      </c>
      <c r="C25" s="1434"/>
      <c r="D25" s="322"/>
      <c r="E25" s="322"/>
      <c r="F25" s="322"/>
      <c r="G25" s="1353"/>
      <c r="H25" s="322"/>
      <c r="I25" s="1353"/>
      <c r="J25" s="322"/>
      <c r="K25" s="322"/>
      <c r="L25" s="322"/>
    </row>
    <row r="26" spans="2:12" ht="37.5" customHeight="1" x14ac:dyDescent="0.2">
      <c r="B26" s="2548" t="s">
        <v>2198</v>
      </c>
      <c r="C26" s="2548"/>
      <c r="D26" s="2548"/>
      <c r="E26" s="2548"/>
      <c r="F26" s="2548"/>
      <c r="G26" s="2548"/>
      <c r="H26" s="2548"/>
      <c r="I26" s="2548"/>
      <c r="J26" s="2548"/>
      <c r="K26" s="2548"/>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1758</v>
      </c>
      <c r="C28" s="1434"/>
      <c r="D28" s="322"/>
      <c r="E28" s="322"/>
      <c r="F28" s="322"/>
      <c r="G28" s="1353"/>
      <c r="H28" s="322"/>
      <c r="I28" s="1353"/>
      <c r="J28" s="322"/>
      <c r="K28" s="322"/>
      <c r="L28" s="322"/>
    </row>
    <row r="29" spans="2:12" ht="37.5" customHeight="1" x14ac:dyDescent="0.2">
      <c r="B29" s="2548" t="s">
        <v>2197</v>
      </c>
      <c r="C29" s="2548"/>
      <c r="D29" s="2548"/>
      <c r="E29" s="2548"/>
      <c r="F29" s="2548"/>
      <c r="G29" s="2548"/>
      <c r="H29" s="2548"/>
      <c r="I29" s="2548"/>
      <c r="J29" s="2548"/>
      <c r="K29" s="2548"/>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8" t="s">
        <v>2192</v>
      </c>
      <c r="C32" s="2548"/>
      <c r="D32" s="2548"/>
      <c r="E32" s="2548"/>
      <c r="F32" s="2548"/>
      <c r="G32" s="2548"/>
      <c r="H32" s="2548"/>
      <c r="I32" s="2548"/>
      <c r="J32" s="2548"/>
      <c r="K32" s="2548"/>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8" t="s">
        <v>2194</v>
      </c>
      <c r="C35" s="2548"/>
      <c r="D35" s="2548"/>
      <c r="E35" s="2548"/>
      <c r="F35" s="2548"/>
      <c r="G35" s="2548"/>
      <c r="H35" s="2548"/>
      <c r="I35" s="2548"/>
      <c r="J35" s="2548"/>
      <c r="K35" s="2548"/>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8" t="s">
        <v>2195</v>
      </c>
      <c r="C38" s="2548"/>
      <c r="D38" s="2548"/>
      <c r="E38" s="2548"/>
      <c r="F38" s="2548"/>
      <c r="G38" s="2548"/>
      <c r="H38" s="2548"/>
      <c r="I38" s="2548"/>
      <c r="J38" s="2548"/>
      <c r="K38" s="2548"/>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1759</v>
      </c>
      <c r="C40" s="1373"/>
      <c r="D40" s="1348"/>
      <c r="E40" s="1349"/>
      <c r="F40" s="1349"/>
      <c r="G40" s="1350"/>
      <c r="H40" s="1349"/>
      <c r="I40" s="1350"/>
      <c r="J40" s="1349"/>
      <c r="K40" s="1349"/>
    </row>
    <row r="41" spans="2:12" s="322" customFormat="1" ht="33.75" customHeight="1" x14ac:dyDescent="0.2">
      <c r="B41" s="2548" t="s">
        <v>2196</v>
      </c>
      <c r="C41" s="2548"/>
      <c r="D41" s="2548"/>
      <c r="E41" s="2548"/>
      <c r="F41" s="2548"/>
      <c r="G41" s="2548"/>
      <c r="H41" s="2548"/>
      <c r="I41" s="2548"/>
      <c r="J41" s="2548"/>
      <c r="K41" s="2548"/>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1760</v>
      </c>
      <c r="C44" s="1376"/>
      <c r="D44" s="322"/>
      <c r="E44" s="322"/>
      <c r="F44" s="322"/>
    </row>
    <row r="45" spans="2:12" ht="10.5" customHeight="1" x14ac:dyDescent="0.2">
      <c r="B45" s="1377" t="s">
        <v>1761</v>
      </c>
      <c r="C45" s="1377"/>
      <c r="G45" s="317"/>
      <c r="I45" s="317"/>
    </row>
    <row r="46" spans="2:12" ht="11.1" customHeight="1" x14ac:dyDescent="0.2">
      <c r="B46" s="1377" t="s">
        <v>1762</v>
      </c>
      <c r="C46" s="1377"/>
      <c r="G46" s="317"/>
      <c r="I46" s="317"/>
    </row>
    <row r="47" spans="2:12" ht="11.1" customHeight="1" x14ac:dyDescent="0.2">
      <c r="B47" s="1377" t="s">
        <v>1763</v>
      </c>
      <c r="C47" s="1377"/>
      <c r="G47" s="317"/>
      <c r="I47" s="317"/>
    </row>
    <row r="48" spans="2:12" ht="11.1" customHeight="1" x14ac:dyDescent="0.2">
      <c r="B48" s="1377" t="s">
        <v>1764</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B8DA-0A98-4F28-91B6-E548B8758358}">
  <sheetPr>
    <tabColor rgb="FF00B0F0"/>
  </sheetPr>
  <dimension ref="A1:L48"/>
  <sheetViews>
    <sheetView showGridLines="0" zoomScale="110" zoomScaleNormal="110" workbookViewId="0">
      <selection sqref="A1:XFD104857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6" t="str">
        <f>'Single Audit Cover'!A7</f>
        <v>McHenry CHSD 156</v>
      </c>
      <c r="C1" s="2556"/>
      <c r="D1" s="2556"/>
      <c r="E1" s="2556"/>
      <c r="F1" s="2556"/>
      <c r="G1" s="2556"/>
      <c r="H1" s="2556"/>
      <c r="I1" s="2556"/>
      <c r="J1" s="2556"/>
      <c r="K1" s="2556"/>
      <c r="L1" s="1422"/>
    </row>
    <row r="2" spans="1:12" ht="12.75" customHeight="1" x14ac:dyDescent="0.2">
      <c r="B2" s="2557">
        <f>'Single Audit Cover'!E7</f>
        <v>44063156016</v>
      </c>
      <c r="C2" s="2557"/>
      <c r="D2" s="2557"/>
      <c r="E2" s="2557"/>
      <c r="F2" s="2557"/>
      <c r="G2" s="2557"/>
      <c r="H2" s="2557"/>
      <c r="I2" s="2557"/>
      <c r="J2" s="2557"/>
      <c r="K2" s="2557"/>
      <c r="L2" s="1423"/>
    </row>
    <row r="3" spans="1:12" ht="12.75" customHeight="1" x14ac:dyDescent="0.2">
      <c r="B3" s="2549" t="s">
        <v>1285</v>
      </c>
      <c r="C3" s="2549"/>
      <c r="D3" s="2549"/>
      <c r="E3" s="2549"/>
      <c r="F3" s="2549"/>
      <c r="G3" s="2549"/>
      <c r="H3" s="2549"/>
      <c r="I3" s="2549"/>
      <c r="J3" s="2549"/>
      <c r="K3" s="2549"/>
      <c r="L3" s="2010"/>
    </row>
    <row r="4" spans="1:12" ht="12.75" customHeight="1" x14ac:dyDescent="0.2">
      <c r="B4" s="2549" t="str">
        <f>'Single Audit Cover'!A4</f>
        <v>Year Ending June 30, 2019</v>
      </c>
      <c r="C4" s="2549"/>
      <c r="D4" s="2549"/>
      <c r="E4" s="2549"/>
      <c r="F4" s="2549"/>
      <c r="G4" s="2549"/>
      <c r="H4" s="2549"/>
      <c r="I4" s="2549"/>
      <c r="J4" s="2549"/>
      <c r="K4" s="2549"/>
      <c r="L4" s="2010"/>
    </row>
    <row r="5" spans="1:12" ht="5.25" customHeight="1" x14ac:dyDescent="0.2">
      <c r="B5" s="1230" t="s">
        <v>1169</v>
      </c>
      <c r="C5" s="1230"/>
      <c r="L5" s="322"/>
    </row>
    <row r="6" spans="1:12" ht="30.75" customHeight="1" x14ac:dyDescent="0.2">
      <c r="A6" s="322"/>
      <c r="B6" s="2558" t="s">
        <v>1308</v>
      </c>
      <c r="C6" s="2558"/>
      <c r="D6" s="2558"/>
      <c r="E6" s="2558"/>
      <c r="F6" s="2558"/>
      <c r="G6" s="2558"/>
      <c r="H6" s="2558"/>
      <c r="I6" s="2558"/>
      <c r="J6" s="2558"/>
      <c r="K6" s="2558"/>
      <c r="L6" s="322"/>
    </row>
    <row r="7" spans="1:12" ht="4.5" customHeight="1" x14ac:dyDescent="0.2">
      <c r="B7" s="1349"/>
      <c r="C7" s="1349"/>
      <c r="D7" s="1349"/>
      <c r="E7" s="1349"/>
      <c r="F7" s="1349"/>
      <c r="G7" s="1350"/>
      <c r="H7" s="1349"/>
      <c r="I7" s="1350"/>
      <c r="J7" s="1349"/>
      <c r="K7" s="1349"/>
      <c r="L7" s="322"/>
    </row>
    <row r="8" spans="1:12" ht="13.5" customHeight="1" x14ac:dyDescent="0.2">
      <c r="B8" s="1357" t="s">
        <v>1755</v>
      </c>
      <c r="C8" s="1424" t="s">
        <v>1990</v>
      </c>
      <c r="D8" s="1425">
        <v>3</v>
      </c>
      <c r="E8" s="322"/>
      <c r="F8" s="1354" t="s">
        <v>1295</v>
      </c>
      <c r="G8" s="1426" t="s">
        <v>2156</v>
      </c>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40" t="s">
        <v>1058</v>
      </c>
      <c r="G12" s="2540"/>
      <c r="H12" s="2540"/>
      <c r="I12" s="2540"/>
      <c r="J12" s="2540"/>
      <c r="K12" s="2540"/>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3" t="s">
        <v>2075</v>
      </c>
      <c r="E14" s="2553"/>
      <c r="F14" s="2553"/>
      <c r="H14" s="1432" t="s">
        <v>1303</v>
      </c>
      <c r="I14" s="2554">
        <v>10.555</v>
      </c>
      <c r="J14" s="2554"/>
      <c r="K14" s="2554"/>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4" t="s">
        <v>2189</v>
      </c>
      <c r="E16" s="2554"/>
      <c r="F16" s="2554"/>
      <c r="G16" s="2554"/>
      <c r="H16" s="2554"/>
      <c r="I16" s="2554"/>
      <c r="J16" s="2554"/>
      <c r="K16" s="2554"/>
      <c r="L16" s="322"/>
    </row>
    <row r="17" spans="2:12" ht="13.5" customHeight="1" x14ac:dyDescent="0.2">
      <c r="B17" s="1357" t="s">
        <v>1301</v>
      </c>
      <c r="C17" s="1357"/>
      <c r="D17" s="2555" t="s">
        <v>2190</v>
      </c>
      <c r="E17" s="2555"/>
      <c r="F17" s="2555"/>
      <c r="G17" s="2555"/>
      <c r="H17" s="2555"/>
      <c r="I17" s="2555"/>
      <c r="J17" s="2555"/>
      <c r="K17" s="2555"/>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8" t="s">
        <v>2199</v>
      </c>
      <c r="C20" s="2548"/>
      <c r="D20" s="2548"/>
      <c r="E20" s="2548"/>
      <c r="F20" s="2548"/>
      <c r="G20" s="2548"/>
      <c r="H20" s="2548"/>
      <c r="I20" s="2548"/>
      <c r="J20" s="2548"/>
      <c r="K20" s="2548"/>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1756</v>
      </c>
      <c r="C22" s="1434"/>
      <c r="D22" s="322"/>
      <c r="E22" s="322"/>
      <c r="F22" s="322"/>
      <c r="G22" s="1353"/>
      <c r="H22" s="322"/>
      <c r="I22" s="1353"/>
      <c r="J22" s="322"/>
      <c r="K22" s="322"/>
      <c r="L22" s="322"/>
    </row>
    <row r="23" spans="2:12" ht="37.5" customHeight="1" x14ac:dyDescent="0.2">
      <c r="B23" s="2548" t="s">
        <v>2200</v>
      </c>
      <c r="C23" s="2548"/>
      <c r="D23" s="2548"/>
      <c r="E23" s="2548"/>
      <c r="F23" s="2548"/>
      <c r="G23" s="2548"/>
      <c r="H23" s="2548"/>
      <c r="I23" s="2548"/>
      <c r="J23" s="2548"/>
      <c r="K23" s="2548"/>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1757</v>
      </c>
      <c r="C25" s="1434"/>
      <c r="D25" s="322"/>
      <c r="E25" s="322"/>
      <c r="F25" s="322"/>
      <c r="G25" s="1353"/>
      <c r="H25" s="322"/>
      <c r="I25" s="1353"/>
      <c r="J25" s="322"/>
      <c r="K25" s="322"/>
      <c r="L25" s="322"/>
    </row>
    <row r="26" spans="2:12" ht="37.5" customHeight="1" x14ac:dyDescent="0.2">
      <c r="B26" s="2548" t="s">
        <v>2198</v>
      </c>
      <c r="C26" s="2548"/>
      <c r="D26" s="2548"/>
      <c r="E26" s="2548"/>
      <c r="F26" s="2548"/>
      <c r="G26" s="2548"/>
      <c r="H26" s="2548"/>
      <c r="I26" s="2548"/>
      <c r="J26" s="2548"/>
      <c r="K26" s="2548"/>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1758</v>
      </c>
      <c r="C28" s="1434"/>
      <c r="D28" s="322"/>
      <c r="E28" s="322"/>
      <c r="F28" s="322"/>
      <c r="G28" s="1353"/>
      <c r="H28" s="322"/>
      <c r="I28" s="1353"/>
      <c r="J28" s="322"/>
      <c r="K28" s="322"/>
      <c r="L28" s="322"/>
    </row>
    <row r="29" spans="2:12" ht="37.5" customHeight="1" x14ac:dyDescent="0.2">
      <c r="B29" s="2548" t="s">
        <v>2204</v>
      </c>
      <c r="C29" s="2548"/>
      <c r="D29" s="2548"/>
      <c r="E29" s="2548"/>
      <c r="F29" s="2548"/>
      <c r="G29" s="2548"/>
      <c r="H29" s="2548"/>
      <c r="I29" s="2548"/>
      <c r="J29" s="2548"/>
      <c r="K29" s="2548"/>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8" t="s">
        <v>2205</v>
      </c>
      <c r="C32" s="2548"/>
      <c r="D32" s="2548"/>
      <c r="E32" s="2548"/>
      <c r="F32" s="2548"/>
      <c r="G32" s="2548"/>
      <c r="H32" s="2548"/>
      <c r="I32" s="2548"/>
      <c r="J32" s="2548"/>
      <c r="K32" s="2548"/>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8" t="s">
        <v>2201</v>
      </c>
      <c r="C35" s="2548"/>
      <c r="D35" s="2548"/>
      <c r="E35" s="2548"/>
      <c r="F35" s="2548"/>
      <c r="G35" s="2548"/>
      <c r="H35" s="2548"/>
      <c r="I35" s="2548"/>
      <c r="J35" s="2548"/>
      <c r="K35" s="2548"/>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8" t="s">
        <v>2202</v>
      </c>
      <c r="C38" s="2548"/>
      <c r="D38" s="2548"/>
      <c r="E38" s="2548"/>
      <c r="F38" s="2548"/>
      <c r="G38" s="2548"/>
      <c r="H38" s="2548"/>
      <c r="I38" s="2548"/>
      <c r="J38" s="2548"/>
      <c r="K38" s="2548"/>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1759</v>
      </c>
      <c r="C40" s="1373"/>
      <c r="D40" s="1348"/>
      <c r="E40" s="1349"/>
      <c r="F40" s="1349"/>
      <c r="G40" s="1350"/>
      <c r="H40" s="1349"/>
      <c r="I40" s="1350"/>
      <c r="J40" s="1349"/>
      <c r="K40" s="1349"/>
    </row>
    <row r="41" spans="2:12" s="322" customFormat="1" ht="33.75" customHeight="1" x14ac:dyDescent="0.2">
      <c r="B41" s="2548" t="s">
        <v>2203</v>
      </c>
      <c r="C41" s="2548"/>
      <c r="D41" s="2548"/>
      <c r="E41" s="2548"/>
      <c r="F41" s="2548"/>
      <c r="G41" s="2548"/>
      <c r="H41" s="2548"/>
      <c r="I41" s="2548"/>
      <c r="J41" s="2548"/>
      <c r="K41" s="2548"/>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1760</v>
      </c>
      <c r="C44" s="1376"/>
      <c r="D44" s="322"/>
      <c r="E44" s="322"/>
      <c r="F44" s="322"/>
    </row>
    <row r="45" spans="2:12" ht="10.5" customHeight="1" x14ac:dyDescent="0.2">
      <c r="B45" s="1377" t="s">
        <v>1761</v>
      </c>
      <c r="C45" s="1377"/>
      <c r="G45" s="317"/>
      <c r="I45" s="317"/>
    </row>
    <row r="46" spans="2:12" ht="11.1" customHeight="1" x14ac:dyDescent="0.2">
      <c r="B46" s="1377" t="s">
        <v>1762</v>
      </c>
      <c r="C46" s="1377"/>
      <c r="G46" s="317"/>
      <c r="I46" s="317"/>
    </row>
    <row r="47" spans="2:12" ht="11.1" customHeight="1" x14ac:dyDescent="0.2">
      <c r="B47" s="1377" t="s">
        <v>1763</v>
      </c>
      <c r="C47" s="1377"/>
      <c r="G47" s="317"/>
      <c r="I47" s="317"/>
    </row>
    <row r="48" spans="2:12" ht="11.1" customHeight="1" x14ac:dyDescent="0.2">
      <c r="B48" s="1377" t="s">
        <v>1764</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B1:E73"/>
  <sheetViews>
    <sheetView showGridLines="0" zoomScale="110" zoomScaleNormal="110" workbookViewId="0">
      <selection sqref="A1:XFD104857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33" t="str">
        <f>'Single Audit Cover'!A7</f>
        <v>McHenry CHSD 156</v>
      </c>
      <c r="C1" s="2533"/>
      <c r="D1" s="2533"/>
      <c r="E1" s="1442"/>
    </row>
    <row r="2" spans="2:5" s="1252" customFormat="1" ht="12.75" customHeight="1" x14ac:dyDescent="0.2">
      <c r="B2" s="2535">
        <f>'Single Audit Cover'!E7</f>
        <v>44063156016</v>
      </c>
      <c r="C2" s="2535"/>
      <c r="D2" s="2535"/>
      <c r="E2" s="1443"/>
    </row>
    <row r="3" spans="2:5" ht="12.75" customHeight="1" x14ac:dyDescent="0.2">
      <c r="B3" s="2549" t="s">
        <v>1765</v>
      </c>
      <c r="C3" s="2549"/>
      <c r="D3" s="2549"/>
      <c r="E3" s="1244"/>
    </row>
    <row r="4" spans="2:5" s="1252" customFormat="1" ht="12.75" customHeight="1" x14ac:dyDescent="0.2">
      <c r="B4" s="2559" t="str">
        <f>'Single Audit Cover'!A4</f>
        <v>Year Ending June 30, 2019</v>
      </c>
      <c r="C4" s="2559"/>
      <c r="D4" s="2559"/>
      <c r="E4" s="1444"/>
    </row>
    <row r="5" spans="2:5" s="1252" customFormat="1" ht="40.15" customHeight="1" x14ac:dyDescent="0.2">
      <c r="B5" s="1445" t="s">
        <v>1766</v>
      </c>
      <c r="C5" s="328"/>
      <c r="D5" s="328"/>
      <c r="E5" s="328"/>
    </row>
    <row r="6" spans="2:5" s="1252" customFormat="1" ht="13.5" customHeight="1" x14ac:dyDescent="0.2">
      <c r="B6" s="1446" t="s">
        <v>1315</v>
      </c>
      <c r="C6" s="1446" t="s">
        <v>1314</v>
      </c>
      <c r="D6" s="1446" t="s">
        <v>1767</v>
      </c>
    </row>
    <row r="7" spans="2:5" ht="13.5" customHeight="1" x14ac:dyDescent="0.2">
      <c r="B7" s="1447" t="s">
        <v>2178</v>
      </c>
      <c r="C7" s="324" t="s">
        <v>2179</v>
      </c>
      <c r="D7" s="324" t="s">
        <v>2182</v>
      </c>
      <c r="E7" s="324"/>
    </row>
    <row r="8" spans="2:5" ht="13.5" customHeight="1" x14ac:dyDescent="0.2">
      <c r="B8" s="1447"/>
      <c r="C8" s="324" t="s">
        <v>2181</v>
      </c>
      <c r="D8" s="324" t="s">
        <v>2184</v>
      </c>
      <c r="E8" s="324"/>
    </row>
    <row r="9" spans="2:5" ht="13.5" customHeight="1" x14ac:dyDescent="0.2">
      <c r="B9" s="1448"/>
      <c r="C9" s="323" t="s">
        <v>2180</v>
      </c>
      <c r="D9" s="323" t="s">
        <v>2183</v>
      </c>
      <c r="E9" s="323"/>
    </row>
    <row r="10" spans="2:5" ht="13.5" customHeight="1" x14ac:dyDescent="0.2">
      <c r="B10" s="1447"/>
      <c r="C10" s="323"/>
      <c r="D10" s="323" t="s">
        <v>2187</v>
      </c>
      <c r="E10" s="323"/>
    </row>
    <row r="11" spans="2:5" ht="13.5" customHeight="1" x14ac:dyDescent="0.2">
      <c r="B11" s="1447"/>
      <c r="C11" s="323"/>
      <c r="D11" s="323" t="s">
        <v>2188</v>
      </c>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1768</v>
      </c>
    </row>
    <row r="46" spans="2:5" ht="12.2" customHeight="1" x14ac:dyDescent="0.2">
      <c r="B46" s="1456" t="s">
        <v>1769</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6ce3111e-7420-4802-b50a-75d4e9a0b980"/>
    <ds:schemaRef ds:uri="http://schemas.microsoft.com/sharepoint/v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4d435f69-8686-490b-bd6d-b153bf22ab50"/>
    <ds:schemaRef ds:uri="d21dc803-237d-4c68-8692-8d731fd29118"/>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SF&amp;QC Sec-3 (2)</vt:lpstr>
      <vt:lpstr>SF&amp;QC Sec-3 (3)</vt:lpstr>
      <vt:lpstr>SSPAF</vt:lpstr>
      <vt:lpstr>' SEFA'!Print_Area</vt:lpstr>
      <vt:lpstr>' SEFA (2)'!Print_Area</vt:lpstr>
      <vt:lpstr>' SEFA (3)'!Print_Area</vt:lpstr>
      <vt:lpstr>'SEFA NOTES'!Print_Area</vt:lpstr>
      <vt:lpstr>'SEFA Reconcile'!Print_Area</vt:lpstr>
      <vt:lpstr>'SF&amp;QC Sec-1'!Print_Area</vt:lpstr>
      <vt:lpstr>'SF&amp;QC Sec-3'!Print_Area</vt:lpstr>
      <vt:lpstr>'SF&amp;QC Sec-3 (2)'!Print_Area</vt:lpstr>
      <vt:lpstr>'SF&amp;QC Sec-3 (3)'!Print_Area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2019-09-25T19:42:32Z</cp:lastPrinted>
  <dcterms:created xsi:type="dcterms:W3CDTF">2003-10-29T19:06:34Z</dcterms:created>
  <dcterms:modified xsi:type="dcterms:W3CDTF">2019-11-05T18:27:13Z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