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CA89E7CC-80B3-4C1E-B7AE-DD43B1B5C519}"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B7811" i="106" l="1"/>
  <c r="D7811" i="106" s="1"/>
  <c r="K133" i="29"/>
  <c r="B7776" i="106" s="1"/>
  <c r="B7774" i="106"/>
  <c r="B7810" i="106"/>
  <c r="D7810" i="106" s="1"/>
  <c r="F29" i="34"/>
  <c r="B15" i="7"/>
  <c r="K355" i="29"/>
  <c r="B7794" i="106" s="1"/>
  <c r="B7793" i="106"/>
  <c r="H160" i="29"/>
  <c r="B7777" i="106"/>
  <c r="K157" i="29"/>
  <c r="B7778" i="106" s="1"/>
  <c r="F167" i="34"/>
  <c r="B7813" i="106"/>
  <c r="D7813" i="106" s="1"/>
  <c r="B7816" i="106"/>
  <c r="D7816" i="106" s="1"/>
  <c r="K332" i="29"/>
  <c r="B7786" i="106" s="1"/>
  <c r="B7785" i="106"/>
  <c r="H334" i="29"/>
  <c r="B7789" i="106" s="1"/>
  <c r="B5196" i="106"/>
  <c r="K356" i="29"/>
  <c r="B7814" i="106"/>
  <c r="D7814" i="106" s="1"/>
  <c r="B7775" i="106"/>
  <c r="B7809" i="106"/>
  <c r="D7809" i="106" s="1"/>
  <c r="F166" i="34"/>
  <c r="B7812" i="106"/>
  <c r="D7812" i="106" s="1"/>
  <c r="B7781" i="106"/>
  <c r="K159" i="29"/>
  <c r="B7782" i="106" s="1"/>
  <c r="K333" i="29"/>
  <c r="B7788" i="106" s="1"/>
  <c r="B7787" i="106"/>
  <c r="B7815" i="106"/>
  <c r="D7815" i="106" s="1"/>
  <c r="B7783" i="106"/>
  <c r="K282" i="29"/>
  <c r="B7784" i="106" s="1"/>
  <c r="K354" i="29"/>
  <c r="K357" i="29" s="1"/>
  <c r="H357" i="29"/>
  <c r="B7791" i="106"/>
  <c r="B7779" i="106"/>
  <c r="K158" i="29"/>
  <c r="B7780" i="106" s="1"/>
  <c r="B7792" i="106" l="1"/>
  <c r="K334" i="29"/>
  <c r="F74" i="34" s="1"/>
  <c r="K15" i="4"/>
  <c r="B7790" i="106"/>
  <c r="L357" i="29"/>
  <c r="J15" i="4" l="1"/>
  <c r="B7796" i="106" s="1"/>
  <c r="L285" i="29"/>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D7768" i="106" s="1"/>
  <c r="B7766" i="106"/>
  <c r="D7766" i="106" s="1"/>
  <c r="B7765" i="106"/>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82" i="36"/>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B2976" i="106" s="1"/>
  <c r="D2976" i="106" s="1"/>
  <c r="K82" i="29"/>
  <c r="B2977" i="106" s="1"/>
  <c r="D2977" i="106" s="1"/>
  <c r="K83" i="29"/>
  <c r="K93" i="29"/>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F26" i="108"/>
  <c r="E27" i="108"/>
  <c r="F27" i="108"/>
  <c r="G27" i="108"/>
  <c r="F31" i="108"/>
  <c r="F36" i="108"/>
  <c r="F37" i="108"/>
  <c r="G28" i="108"/>
  <c r="D31" i="108"/>
  <c r="D36" i="108"/>
  <c r="D37" i="108"/>
  <c r="E31" i="108"/>
  <c r="G31" i="108"/>
  <c r="E33" i="108"/>
  <c r="G33" i="108"/>
  <c r="E34" i="108"/>
  <c r="G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D11" i="37"/>
  <c r="D22" i="37"/>
  <c r="J22" i="37"/>
  <c r="D24" i="37"/>
  <c r="B4270" i="106" s="1"/>
  <c r="D4270" i="106" s="1"/>
  <c r="L5" i="11"/>
  <c r="B2056" i="106" s="1"/>
  <c r="D2056" i="106" s="1"/>
  <c r="B7074" i="106" l="1"/>
  <c r="D7074" i="106" s="1"/>
  <c r="F46" i="34"/>
  <c r="F44" i="34"/>
  <c r="F42" i="34"/>
  <c r="L22" i="37"/>
  <c r="B7047" i="106"/>
  <c r="D7047" i="106" s="1"/>
  <c r="F37" i="34"/>
  <c r="G29" i="108"/>
  <c r="E29" i="108"/>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F41" i="108" s="1"/>
  <c r="G43" i="108" s="1"/>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K28" i="118"/>
  <c r="O27" i="118" s="1"/>
  <c r="O29" i="118"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66" i="5"/>
  <c r="J24" i="12"/>
  <c r="B7730" i="106"/>
  <c r="D7730" i="106" s="1"/>
  <c r="B7270" i="106"/>
  <c r="I151" i="29" l="1"/>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F8" i="146"/>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D64" i="36"/>
  <c r="J82" i="4"/>
  <c r="B6266" i="106"/>
  <c r="D6266" i="106" s="1"/>
  <c r="F10" i="146" l="1"/>
  <c r="F177" i="34"/>
  <c r="F179" i="34" s="1"/>
  <c r="D81" i="4"/>
  <c r="D58" i="36"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41" i="3" l="1"/>
  <c r="B124" i="106" s="1"/>
  <c r="D124" i="106" s="1"/>
  <c r="B123" i="106"/>
  <c r="D123" i="106" s="1"/>
  <c r="C11" i="146"/>
  <c r="B1644" i="106"/>
  <c r="D1644" i="106" s="1"/>
  <c r="D82" i="4"/>
  <c r="B6268" i="106" s="1"/>
  <c r="D6268" i="106" s="1"/>
  <c r="N21" i="3"/>
  <c r="B140" i="106"/>
  <c r="D140" i="106" s="1"/>
  <c r="E41" i="3"/>
  <c r="J16" i="37"/>
  <c r="B4269" i="106" s="1"/>
  <c r="D4269" i="106" s="1"/>
  <c r="D76" i="36"/>
  <c r="B2913" i="106"/>
  <c r="D2913" i="106" s="1"/>
  <c r="D50" i="36"/>
  <c r="B92" i="106"/>
  <c r="D92" i="106" s="1"/>
  <c r="C41" i="3"/>
  <c r="B3568" i="106"/>
  <c r="D3568" i="106" s="1"/>
  <c r="D52" i="36"/>
  <c r="D45" i="36"/>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D83" i="4" l="1"/>
  <c r="B6277" i="106" s="1"/>
  <c r="D6277"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<sst xmlns="http://schemas.openxmlformats.org/spreadsheetml/2006/main" count="5089" uniqueCount="2106">
  <si>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</si>
  <si>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</si>
  <si>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</si>
  <si>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</si>
  <si>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</si>
  <si>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</si>
  <si>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</si>
  <si>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</si>
  <si>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</si>
  <si>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</si>
  <si>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</si>
  <si>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</si>
  <si>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</si>
  <si>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</si>
  <si>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</si>
  <si>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</si>
  <si>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</si>
  <si>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</si>
  <si>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</si>
  <si>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</si>
  <si>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</si>
  <si>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</si>
  <si>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</si>
  <si>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</si>
  <si>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</si>
  <si>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</si>
  <si>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</si>
  <si>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</si>
  <si>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</si>
  <si>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</si>
  <si>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</si>
  <si>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</si>
  <si>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</si>
  <si>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</si>
  <si>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</si>
  <si>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</si>
  <si>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</si>
  <si>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</si>
  <si>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</si>
  <si>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</si>
  <si>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</si>
  <si>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</si>
  <si>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</si>
  <si>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</si>
  <si>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</si>
  <si>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</si>
  <si>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</si>
  <si>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</si>
  <si>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</si>
  <si>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</si>
  <si>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</si>
  <si>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</si>
  <si>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</si>
  <si>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</si>
  <si>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</si>
  <si>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</si>
  <si>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</si>
  <si>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</si>
  <si>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</si>
  <si>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</si>
  <si>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</si>
  <si>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</si>
  <si>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</si>
  <si>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</si>
  <si>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</si>
  <si>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</si>
  <si>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</si>
  <si>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</si>
  <si>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</si>
  <si>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</si>
  <si>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</si>
  <si>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</si>
  <si>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</si>
  <si>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</si>
  <si>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</si>
  <si>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</si>
  <si>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</si>
  <si>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</si>
  <si>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</si>
  <si>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</si>
  <si>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</si>
  <si>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</si>
  <si>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</si>
  <si>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</si>
  <si>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</si>
  <si>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</si>
  <si>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</si>
  <si>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</si>
  <si>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</si>
  <si>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</si>
  <si>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</si>
  <si>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</si>
  <si>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</si>
  <si>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</si>
  <si>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</si>
  <si>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</si>
  <si>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</si>
  <si>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</si>
  <si>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</si>
  <si>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</si>
  <si>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</si>
  <si>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</si>
  <si>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</si>
  <si>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</si>
  <si>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</si>
  <si>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</si>
  <si>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</si>
  <si>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</si>
  <si>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</si>
  <si>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</si>
  <si>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</si>
  <si>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</si>
  <si>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</si>
  <si>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</si>
  <si>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</si>
  <si>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</si>
  <si>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</si>
  <si>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</si>
  <si>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</si>
  <si>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</si>
  <si>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</si>
  <si>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</si>
  <si>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</si>
  <si>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</si>
  <si>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</si>
  <si>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</si>
  <si>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</si>
  <si>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</si>
  <si>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</si>
  <si>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</si>
  <si>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</si>
  <si>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</si>
  <si>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</si>
  <si>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</si>
  <si>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</si>
  <si>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</si>
  <si>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</si>
  <si>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</si>
  <si>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</si>
  <si>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</si>
  <si>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</si>
  <si>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</si>
  <si>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</si>
  <si>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</si>
  <si>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</si>
  <si>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</si>
  <si>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</si>
  <si>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</si>
  <si>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</si>
  <si>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</si>
  <si>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</si>
  <si>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</si>
  <si>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</si>
  <si>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</si>
  <si>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</si>
  <si>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</si>
  <si>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</si>
  <si>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</si>
  <si>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</si>
  <si>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</si>
  <si>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</si>
  <si>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</si>
  <si>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</si>
  <si>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</si>
  <si>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</si>
  <si>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</si>
  <si>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</si>
  <si>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</si>
  <si>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</si>
  <si>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</si>
  <si>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</si>
  <si>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</si>
  <si>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</si>
  <si>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</si>
  <si>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</si>
  <si>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</si>
  <si>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</si>
  <si>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</si>
  <si>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</si>
  <si>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</si>
  <si>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</si>
  <si>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</si>
  <si>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</si>
  <si>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</si>
  <si>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</si>
  <si>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</si>
  <si>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</si>
  <si>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</si>
  <si>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</si>
  <si>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</si>
  <si>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</si>
  <si>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</si>
  <si>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</si>
  <si>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</si>
  <si>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</si>
  <si>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</si>
  <si>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</si>
  <si>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</si>
  <si>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</si>
  <si>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</si>
  <si>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</si>
  <si>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</si>
  <si>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</si>
  <si>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</si>
  <si>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</si>
  <si>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</si>
  <si>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</si>
  <si>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</si>
  <si>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</si>
  <si>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</si>
  <si>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</si>
  <si>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</si>
  <si>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</si>
  <si>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</si>
  <si>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</si>
  <si>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</si>
  <si>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</si>
  <si>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</si>
  <si>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</si>
  <si>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</si>
  <si>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</si>
  <si>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</si>
  <si>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</si>
  <si>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</si>
  <si>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</si>
  <si>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</si>
  <si>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</si>
  <si>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</si>
  <si>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</si>
  <si>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</si>
  <si>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</si>
  <si>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</si>
  <si>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</si>
  <si>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</si>
  <si>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</si>
  <si>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</si>
  <si>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</si>
  <si>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</si>
  <si>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</si>
  <si>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</si>
  <si>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</si>
  <si>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</si>
  <si>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</si>
  <si>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</si>
  <si>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</si>
  <si>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</si>
  <si>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</si>
  <si>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</si>
  <si>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</si>
  <si>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</si>
  <si>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</si>
  <si>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</si>
  <si>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</si>
  <si>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</si>
  <si>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</si>
  <si>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</si>
  <si>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</si>
  <si>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</si>
  <si>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</si>
  <si>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</si>
  <si>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</si>
  <si>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</si>
  <si>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</si>
  <si>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</si>
  <si>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</si>
  <si>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</si>
  <si>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</si>
  <si>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</si>
  <si>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</si>
  <si>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</si>
  <si>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</si>
  <si>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</si>
  <si>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</si>
  <si>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</si>
  <si>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</si>
  <si>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</si>
  <si>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</si>
  <si>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</si>
  <si>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</si>
  <si>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</si>
  <si>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</si>
  <si>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</si>
  <si>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</si>
  <si>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</si>
  <si>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</si>
  <si>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</si>
  <si>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</si>
  <si>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</si>
  <si>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</si>
  <si>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</si>
  <si>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</si>
  <si>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</si>
  <si>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</si>
  <si>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</si>
  <si>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</si>
  <si>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</si>
  <si>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</si>
  <si>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</si>
  <si>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</si>
  <si>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</si>
  <si>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</si>
  <si>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</si>
  <si>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</si>
  <si>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</si>
  <si>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</si>
  <si>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</si>
  <si>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</si>
  <si>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</si>
  <si>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</si>
  <si>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</si>
  <si>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</si>
  <si>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</si>
  <si>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</si>
  <si>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</si>
  <si>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</si>
  <si>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</si>
  <si>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</si>
  <si>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</si>
  <si>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</si>
  <si>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</si>
  <si>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</si>
  <si>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</si>
  <si>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</si>
  <si>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</si>
  <si>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</si>
  <si>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</si>
  <si>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</si>
  <si>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</si>
  <si>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</si>
  <si>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</si>
  <si>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</si>
  <si>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</si>
  <si>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</si>
  <si>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</si>
  <si>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</si>
  <si>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</si>
  <si>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</si>
  <si>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</si>
  <si>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</si>
  <si>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</si>
  <si>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</si>
  <si>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</si>
  <si>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</si>
  <si>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</si>
  <si>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</si>
  <si>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</si>
  <si>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</si>
  <si>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</si>
  <si>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</si>
  <si>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</si>
  <si>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</si>
  <si>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</si>
  <si>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</si>
  <si>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</si>
  <si>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</si>
  <si>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</si>
  <si>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</si>
  <si>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</si>
  <si>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</si>
  <si>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</si>
  <si>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</si>
  <si>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</si>
  <si>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</si>
  <si>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</si>
  <si>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</si>
  <si>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</si>
  <si>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</si>
  <si>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</si>
  <si>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</si>
  <si>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</si>
  <si>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</si>
  <si>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</si>
  <si>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</si>
  <si>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</si>
  <si>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</si>
  <si>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</si>
  <si>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</si>
  <si>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</si>
  <si>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</si>
  <si>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</si>
  <si>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</si>
  <si>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</si>
  <si>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</si>
  <si>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</si>
  <si>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</si>
  <si>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</si>
  <si>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</si>
  <si>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</si>
  <si>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</si>
  <si>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</si>
  <si>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</si>
  <si>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</si>
  <si>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</si>
  <si>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</si>
  <si>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</si>
  <si>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</si>
  <si>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</si>
  <si>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</si>
  <si>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</si>
  <si>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</si>
  <si>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</si>
  <si>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</si>
  <si>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</si>
  <si>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</si>
  <si>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</si>
  <si>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</si>
  <si>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</si>
  <si>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</si>
  <si>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</si>
  <si>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</si>
  <si>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</si>
  <si>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</si>
  <si>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</si>
  <si>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</si>
  <si>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</si>
  <si>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</si>
  <si>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</si>
  <si>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</si>
  <si>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</si>
  <si>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</si>
  <si>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</si>
  <si>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</si>
  <si>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</si>
  <si>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</si>
  <si>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</si>
  <si>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</si>
  <si>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</si>
  <si>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</si>
  <si>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</si>
  <si>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</si>
  <si>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</si>
  <si>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</si>
  <si>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</si>
  <si>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</si>
  <si>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</si>
  <si>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</si>
  <si>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</si>
  <si>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</si>
  <si>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</si>
  <si>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</si>
  <si>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</si>
  <si>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</si>
  <si>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</si>
  <si>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</si>
  <si>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</si>
  <si>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</si>
  <si>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</si>
  <si>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</si>
  <si>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</si>
  <si>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</si>
  <si>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</si>
  <si>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</si>
  <si>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</si>
  <si>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</si>
  <si>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</si>
  <si>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</si>
  <si>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</si>
  <si>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</si>
  <si>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</si>
  <si>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</si>
  <si>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</si>
  <si>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</si>
  <si>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</si>
  <si>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</si>
  <si>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</si>
  <si>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</si>
  <si>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</si>
  <si>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</si>
  <si>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</si>
  <si>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</si>
  <si>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</si>
  <si>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</si>
  <si>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</si>
  <si>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</si>
  <si>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</si>
  <si>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</si>
  <si>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</si>
  <si>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</si>
  <si>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</si>
  <si>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</si>
  <si>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</si>
  <si>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</si>
  <si>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</si>
  <si>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</si>
  <si>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</si>
  <si>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</si>
  <si>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</si>
  <si>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</si>
  <si>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</si>
  <si>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</si>
  <si>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</si>
  <si>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</si>
  <si>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</si>
  <si>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</si>
  <si>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</si>
  <si>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</si>
  <si>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</si>
  <si>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</si>
  <si>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</si>
  <si>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</si>
  <si>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</si>
  <si>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</si>
  <si>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</si>
  <si>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</si>
  <si>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</si>
  <si>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</si>
  <si>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</si>
  <si>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</si>
  <si>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</si>
  <si>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</si>
  <si>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</si>
  <si>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</si>
  <si>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</si>
  <si>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</si>
  <si>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</si>
  <si>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</si>
  <si>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</si>
  <si>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</si>
  <si>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</si>
  <si>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</si>
  <si>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</si>
  <si>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</si>
  <si>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</si>
  <si>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</si>
  <si>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</si>
  <si>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</si>
  <si>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</si>
  <si>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</si>
  <si>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</si>
  <si>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</si>
  <si>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</si>
  <si>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</si>
  <si>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</si>
  <si>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</si>
  <si>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</si>
  <si>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</si>
  <si>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</si>
  <si>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</si>
  <si>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</si>
  <si>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</si>
  <si>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</si>
  <si>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</si>
  <si>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</si>
  <si>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</si>
  <si>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</si>
  <si>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</si>
  <si>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</si>
  <si>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</si>
  <si>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</si>
  <si>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</si>
  <si>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</si>
  <si>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</si>
  <si>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</si>
  <si>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</si>
  <si>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</si>
  <si>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</si>
  <si>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</si>
  <si>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</si>
  <si>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</si>
  <si>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</si>
  <si>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</si>
  <si>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</si>
  <si>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</si>
  <si>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</si>
  <si>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</si>
  <si>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</si>
  <si>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</si>
  <si>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</si>
  <si>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</si>
  <si>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</si>
  <si>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</si>
  <si>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</si>
  <si>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</si>
  <si>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</si>
  <si>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</si>
  <si>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</si>
  <si>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</si>
  <si>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</si>
  <si>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</si>
  <si>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</si>
  <si>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</si>
  <si>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</si>
  <si>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</si>
  <si>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</si>
  <si>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</si>
  <si>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</si>
  <si>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</si>
  <si>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</si>
  <si>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</si>
  <si>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</si>
  <si>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</si>
  <si>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</si>
  <si>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</si>
  <si>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</si>
  <si>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</si>
  <si>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</si>
  <si>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</si>
  <si>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</si>
  <si>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</si>
  <si>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</si>
  <si>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</si>
  <si>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</si>
  <si>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</si>
  <si>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</si>
  <si>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</si>
  <si>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</si>
  <si>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</si>
  <si>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</si>
  <si>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</si>
  <si>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</si>
  <si>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</si>
  <si>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</si>
  <si>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</si>
  <si>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</si>
  <si>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</si>
  <si>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</si>
  <si>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</si>
  <si>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</si>
  <si>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</si>
  <si>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</si>
  <si>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</si>
  <si>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</si>
  <si>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</si>
  <si>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</si>
  <si>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</si>
  <si>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</si>
  <si>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</si>
  <si>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</si>
  <si>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</si>
  <si>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</si>
  <si>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</si>
  <si>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</si>
  <si>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</si>
  <si>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</si>
  <si>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</si>
  <si>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</si>
  <si>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</si>
  <si>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</si>
  <si>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</si>
  <si>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</si>
  <si>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</si>
  <si>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</si>
  <si>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</si>
  <si>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</si>
  <si>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</si>
  <si>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</si>
  <si>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</si>
  <si>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</si>
  <si>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</si>
  <si>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</si>
  <si>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</si>
  <si>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</si>
  <si>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</si>
  <si>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</si>
  <si>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</si>
  <si>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</si>
  <si>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</si>
  <si>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</si>
  <si>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</si>
  <si>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</si>
  <si>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</si>
  <si>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</si>
  <si>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</si>
  <si>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</si>
  <si>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</si>
  <si>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</si>
  <si>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</si>
  <si>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</si>
  <si>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</si>
  <si>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</si>
  <si>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</si>
  <si>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</si>
  <si>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</si>
  <si>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</si>
  <si>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</si>
  <si>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</si>
  <si>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</si>
  <si>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</si>
  <si>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</si>
  <si>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</si>
  <si>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</si>
  <si>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</si>
  <si>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</si>
  <si>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</si>
  <si>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</si>
  <si>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</si>
  <si>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</si>
  <si>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</si>
  <si>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</si>
  <si>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</si>
  <si>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</si>
  <si>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</si>
  <si>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</si>
  <si>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</si>
  <si>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</si>
  <si>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</si>
  <si>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</si>
  <si>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</si>
  <si>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</si>
  <si>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</si>
  <si>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</si>
  <si>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</si>
  <si>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</si>
  <si>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</si>
  <si>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</si>
  <si>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</si>
  <si>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</si>
  <si>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</si>
  <si>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</si>
  <si>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</si>
  <si>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</si>
  <si>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</si>
  <si>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</si>
  <si>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</si>
  <si>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</si>
  <si>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</si>
  <si>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</si>
  <si>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</si>
  <si>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</si>
  <si>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</si>
  <si>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</si>
  <si>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</si>
  <si>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</si>
  <si>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</si>
  <si>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</si>
  <si>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</si>
  <si>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</si>
  <si>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</si>
  <si>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</si>
  <si>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</si>
  <si>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</si>
  <si>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</si>
  <si>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</si>
  <si>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</si>
  <si>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</si>
  <si>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</si>
  <si>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</si>
  <si>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</si>
  <si>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</si>
  <si>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</si>
  <si>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</si>
  <si>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</si>
  <si>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</si>
  <si>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</si>
  <si>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</si>
  <si>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</si>
  <si>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</si>
  <si>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</si>
  <si>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</si>
  <si>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</si>
  <si>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</si>
  <si>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</si>
  <si>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</si>
  <si>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</si>
  <si>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</si>
  <si>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</si>
  <si>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</si>
  <si>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</si>
  <si>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</si>
  <si>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</si>
  <si>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</si>
  <si>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</si>
  <si>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</si>
  <si>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</si>
  <si>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</si>
  <si>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</si>
  <si>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</si>
  <si>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</si>
  <si>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</si>
  <si>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</si>
  <si>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</si>
  <si>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</si>
  <si>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</si>
  <si>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</si>
  <si>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</si>
  <si>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</si>
  <si>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</si>
  <si>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</si>
  <si>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</si>
  <si>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</si>
  <si>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</si>
  <si>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</si>
  <si>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</si>
  <si>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</si>
  <si>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</si>
  <si>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</si>
  <si>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</si>
  <si>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</si>
  <si>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</si>
  <si>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</si>
  <si>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</si>
  <si>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</si>
  <si>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</si>
  <si>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</si>
  <si>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</si>
  <si>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</si>
  <si>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</si>
  <si>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</si>
  <si>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</si>
  <si>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</si>
  <si>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</si>
  <si>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</si>
  <si>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</si>
  <si>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</si>
  <si>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</si>
  <si>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</si>
  <si>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</si>
  <si>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</si>
  <si>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</si>
  <si>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</si>
  <si>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</si>
  <si>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</si>
  <si>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</si>
  <si>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</si>
  <si>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</si>
  <si>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</si>
  <si>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</si>
  <si>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</si>
  <si>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</si>
  <si>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</si>
  <si>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</si>
  <si>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</si>
  <si>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</si>
  <si>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</si>
  <si>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</si>
  <si>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</si>
  <si>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</si>
  <si>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</si>
  <si>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</si>
  <si>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</si>
  <si>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</si>
  <si>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</si>
  <si>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</si>
  <si>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</si>
  <si>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</si>
  <si>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</si>
  <si>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</si>
  <si>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</si>
  <si>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</si>
  <si>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</si>
  <si>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</si>
  <si>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</si>
  <si>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</si>
  <si>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</si>
  <si>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</si>
  <si>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</si>
  <si>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</si>
  <si>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</si>
  <si>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</si>
  <si>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</si>
  <si>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</si>
  <si>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</si>
  <si>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</si>
  <si>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</si>
  <si>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</si>
  <si>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</si>
  <si>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</si>
  <si>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</si>
  <si>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</si>
  <si>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</si>
  <si>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</si>
  <si>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</si>
  <si>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</si>
  <si>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</si>
  <si>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</si>
  <si>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</si>
  <si>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</si>
  <si>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</si>
  <si>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</si>
  <si>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</si>
  <si>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</si>
  <si>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</si>
  <si>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</si>
  <si>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</si>
  <si>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</si>
  <si>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</si>
  <si>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</si>
  <si>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</si>
  <si>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</si>
  <si>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</si>
  <si>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</si>
  <si>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</si>
  <si>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</si>
  <si>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</si>
  <si>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</si>
  <si>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</si>
  <si>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</si>
  <si>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</si>
  <si>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</si>
  <si>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</si>
  <si>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</si>
  <si>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</si>
  <si>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</si>
  <si>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</si>
  <si>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</si>
  <si>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</si>
  <si>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</si>
  <si>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</si>
  <si>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</si>
  <si>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</si>
  <si>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</si>
  <si>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</si>
  <si>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</si>
  <si>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</si>
  <si>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</si>
  <si>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</si>
  <si>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</si>
  <si>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</si>
  <si>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</si>
  <si>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</si>
  <si>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</si>
  <si>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</si>
  <si>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</si>
  <si>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</si>
  <si>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</si>
  <si>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</si>
  <si>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</si>
  <si>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</si>
  <si>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</si>
  <si>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</si>
  <si>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</si>
  <si>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</si>
  <si>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</si>
  <si>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</si>
  <si>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</si>
  <si>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</si>
  <si>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</si>
  <si>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</si>
  <si>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</si>
  <si>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</si>
  <si>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</si>
  <si>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</si>
  <si>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</si>
  <si>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</si>
  <si>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</si>
  <si>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</si>
  <si>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</si>
  <si>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</si>
  <si>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</si>
  <si>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</si>
  <si>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</si>
  <si>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</si>
  <si>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</si>
  <si>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</si>
  <si>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</si>
  <si>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</si>
  <si>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</si>
  <si>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</si>
  <si>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</si>
  <si>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</si>
  <si>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</si>
  <si>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</si>
  <si>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</si>
  <si>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</si>
  <si>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</si>
  <si>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</si>
  <si>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</si>
  <si>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</si>
  <si>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</si>
  <si>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</si>
  <si>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</si>
  <si>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</si>
  <si>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</si>
  <si>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</si>
  <si>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</si>
  <si>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</si>
  <si>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</si>
  <si>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</si>
  <si>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</si>
  <si>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</si>
  <si>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</si>
  <si>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</si>
  <si>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</si>
  <si>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</si>
  <si>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</si>
  <si>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</si>
  <si>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</si>
  <si>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</si>
  <si>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</si>
  <si>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</si>
  <si>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</si>
  <si>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</si>
  <si>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</si>
  <si>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</si>
  <si>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</si>
  <si>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</si>
  <si>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</si>
  <si>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</si>
  <si>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</si>
  <si>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</si>
  <si>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</si>
  <si>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</si>
  <si>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</si>
  <si>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</si>
  <si>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</si>
  <si>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</si>
  <si>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</si>
  <si>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</si>
  <si>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</si>
  <si>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</si>
  <si>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</si>
  <si>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</si>
  <si>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</si>
  <si>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</si>
  <si>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</si>
  <si>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</si>
  <si>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</si>
  <si>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</si>
  <si>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</si>
  <si>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</si>
  <si>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</si>
  <si>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</si>
  <si>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</si>
  <si>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</si>
  <si>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</si>
  <si>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</si>
  <si>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</si>
  <si>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</si>
  <si>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</si>
  <si>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</si>
  <si>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</si>
  <si>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</si>
  <si>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</si>
  <si>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</si>
  <si>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</si>
  <si>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</si>
  <si>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</si>
  <si>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</si>
  <si>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</si>
  <si>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</si>
  <si>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</si>
  <si>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</si>
  <si>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</si>
  <si>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</si>
  <si>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</si>
  <si>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</si>
  <si>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</si>
  <si>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</si>
  <si>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</si>
  <si>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</si>
  <si>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</si>
  <si>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</si>
  <si>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</si>
  <si>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</si>
  <si>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</si>
  <si>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</si>
  <si>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</si>
  <si>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</si>
  <si>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</si>
  <si>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</si>
  <si>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</si>
  <si>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</si>
  <si>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</si>
  <si>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</si>
  <si>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</si>
  <si>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</si>
  <si>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</si>
  <si>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</si>
  <si>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</si>
  <si>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</si>
  <si>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</si>
  <si>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</si>
  <si>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</si>
  <si>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</si>
  <si>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</si>
  <si>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</si>
  <si>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</si>
  <si>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</si>
  <si>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</si>
  <si>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</si>
  <si>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</si>
  <si>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</si>
  <si>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</si>
  <si>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</si>
  <si>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</si>
  <si>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</si>
  <si>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</si>
  <si>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</si>
  <si>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</si>
  <si>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</si>
  <si>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</si>
  <si>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</si>
  <si>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</si>
  <si>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</si>
  <si>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</si>
  <si>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</si>
  <si>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</si>
  <si>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</si>
  <si>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</si>
  <si>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</si>
  <si>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</si>
  <si>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</si>
  <si>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</si>
  <si>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</si>
  <si>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</si>
  <si>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</si>
  <si>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</si>
  <si>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</si>
  <si>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</si>
  <si>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</si>
  <si>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</si>
  <si>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</si>
  <si>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</si>
  <si>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</si>
  <si>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</si>
  <si>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</si>
  <si>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</si>
  <si>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</si>
  <si>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</si>
  <si>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</si>
  <si>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</si>
  <si>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</si>
  <si>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</si>
  <si>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</si>
  <si>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</si>
  <si>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</si>
  <si>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</si>
  <si>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</si>
  <si>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</si>
  <si>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</si>
  <si>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</si>
  <si>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</si>
  <si>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</si>
  <si>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</si>
  <si>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</si>
  <si>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</si>
  <si>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</si>
  <si>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</si>
  <si>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</si>
  <si>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</si>
  <si>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</si>
  <si>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</si>
  <si>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</si>
  <si>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</si>
  <si>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</si>
  <si>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</si>
  <si>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</si>
  <si>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</si>
  <si>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</si>
  <si>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</si>
  <si>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</si>
  <si>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</si>
  <si>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</si>
  <si>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</si>
  <si>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</si>
  <si>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</si>
  <si>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</si>
  <si>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</si>
  <si>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</si>
  <si>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</si>
  <si>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</si>
  <si>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</si>
  <si>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</si>
  <si>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</si>
  <si>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</si>
  <si>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</si>
  <si>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</si>
  <si>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</si>
  <si>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</si>
  <si>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</si>
  <si>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</si>
  <si>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</si>
  <si>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</si>
  <si>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</si>
  <si>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</si>
  <si>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</si>
  <si>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</si>
  <si>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</si>
  <si>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</si>
  <si>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</si>
  <si>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</si>
  <si>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</si>
  <si>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</si>
  <si>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</si>
  <si>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</si>
  <si>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</si>
  <si>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</si>
  <si>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</si>
  <si>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</si>
  <si>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</si>
  <si>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</si>
  <si>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</si>
  <si>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</si>
  <si>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</si>
  <si>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</si>
  <si>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</si>
  <si>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</si>
  <si>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</si>
  <si>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</si>
  <si>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</si>
  <si>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</si>
  <si>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</si>
  <si>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</si>
  <si>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</si>
  <si>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</si>
  <si>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</si>
  <si>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</si>
  <si>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</si>
  <si>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</si>
  <si>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</si>
  <si>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</si>
  <si>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</si>
  <si>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</si>
  <si>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</si>
  <si>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</si>
  <si>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</si>
  <si>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</si>
  <si>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</si>
  <si>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</si>
  <si>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</si>
  <si>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</si>
  <si>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</si>
  <si>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</si>
  <si>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</si>
  <si>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</si>
  <si>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</si>
  <si>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</si>
  <si>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</si>
  <si>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</si>
  <si>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</si>
  <si>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</si>
  <si>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</si>
  <si>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</si>
  <si>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</si>
  <si>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</si>
  <si>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</si>
  <si>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</si>
  <si>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</si>
  <si>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</si>
  <si>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</si>
  <si>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</si>
  <si>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</si>
  <si>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</si>
  <si>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</si>
  <si>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</si>
  <si>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</si>
  <si>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</si>
  <si>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</si>
  <si>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</si>
  <si>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</si>
  <si>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</si>
  <si>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</si>
  <si>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</si>
  <si>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</si>
  <si>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</si>
  <si>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</si>
  <si>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</si>
  <si>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</si>
  <si>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</si>
  <si>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</si>
  <si>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</si>
  <si>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</si>
  <si>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</si>
  <si>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</si>
  <si>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</si>
  <si>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</si>
  <si>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</si>
  <si>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</si>
  <si>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</si>
  <si>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</si>
  <si>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</si>
  <si>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</si>
  <si>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</si>
  <si>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</si>
  <si>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</si>
  <si>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</si>
  <si>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</si>
  <si>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</si>
  <si>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</si>
  <si>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</si>
  <si>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</si>
  <si>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</si>
  <si>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</si>
  <si>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</si>
  <si>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</si>
  <si>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</si>
  <si>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</si>
  <si>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</si>
  <si>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</si>
  <si>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</si>
  <si>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</si>
  <si>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</si>
  <si>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</si>
  <si>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</si>
  <si>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</si>
  <si>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</si>
  <si>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</si>
  <si>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</si>
  <si>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</si>
  <si>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</si>
  <si>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</si>
  <si>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</si>
  <si>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</si>
  <si>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</si>
  <si>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</si>
  <si>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</si>
  <si>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</si>
  <si>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</si>
  <si>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</si>
  <si>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</si>
  <si>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</si>
  <si>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</si>
  <si>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</si>
  <si>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</si>
  <si>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</si>
  <si>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</si>
  <si>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</si>
  <si>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</si>
  <si>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</si>
  <si>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</si>
  <si>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</si>
  <si>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</si>
  <si>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</si>
  <si>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</si>
  <si>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</si>
  <si>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</si>
  <si>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</si>
  <si>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</si>
  <si>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</si>
  <si>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</si>
  <si>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</si>
  <si>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</si>
  <si>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</si>
  <si>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</si>
  <si>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</si>
  <si>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</si>
  <si>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</si>
  <si>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</si>
  <si>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</si>
  <si>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</si>
  <si>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</si>
  <si>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</si>
  <si>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</si>
  <si>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</si>
  <si>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</si>
  <si>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</si>
  <si>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</si>
  <si>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</si>
  <si>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</si>
  <si>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</si>
  <si>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</si>
  <si>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</si>
  <si>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</si>
  <si>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</si>
  <si>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</si>
  <si>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</si>
  <si>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</si>
  <si>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</si>
  <si>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</si>
  <si>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</si>
  <si>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</si>
  <si>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</si>
  <si>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</si>
  <si>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</si>
  <si>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</si>
  <si>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</si>
  <si>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</si>
  <si>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</si>
  <si>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</si>
  <si>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</si>
  <si>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</si>
  <si>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</si>
  <si>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</si>
  <si>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</si>
  <si>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</si>
  <si>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</si>
  <si>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</si>
  <si>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</si>
  <si>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</si>
  <si>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</si>
  <si>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</si>
  <si>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</si>
  <si>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</si>
  <si>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</si>
  <si>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</si>
  <si>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</si>
  <si>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</si>
  <si>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</si>
  <si>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</si>
  <si>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</si>
  <si>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</si>
  <si>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</si>
  <si>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</si>
  <si>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</si>
  <si>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</si>
  <si>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</si>
  <si>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</si>
  <si>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</si>
  <si>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</si>
  <si>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</si>
  <si>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</si>
  <si>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</si>
  <si>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</si>
  <si>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</si>
  <si>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</si>
  <si>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</si>
  <si>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</si>
  <si>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</si>
  <si>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</si>
  <si>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</si>
  <si>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</si>
  <si>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</si>
  <si>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</si>
  <si>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</si>
  <si>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</si>
  <si>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</si>
  <si>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</si>
  <si>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</si>
  <si>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</si>
  <si>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</si>
  <si>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</si>
  <si>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</si>
  <si>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</si>
  <si>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</si>
  <si>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</si>
  <si>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</si>
  <si>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</si>
  <si>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</si>
  <si>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</si>
  <si>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</si>
  <si>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</si>
  <si>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</si>
  <si>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</si>
  <si>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</si>
  <si>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</si>
  <si>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</si>
  <si>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</si>
  <si>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</si>
  <si>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</si>
  <si>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</si>
  <si>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</si>
  <si>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</si>
  <si>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</si>
  <si>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</si>
  <si>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</si>
  <si>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</si>
  <si>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</si>
  <si>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</si>
  <si>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</si>
  <si>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</si>
  <si>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</si>
  <si>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</si>
  <si>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</si>
  <si>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</si>
  <si>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</si>
  <si>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</si>
  <si>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</si>
  <si>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</si>
  <si>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</si>
  <si>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</si>
  <si>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</si>
  <si>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</si>
  <si>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</si>
  <si>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</si>
  <si>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</si>
  <si>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</si>
  <si>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</si>
  <si>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</si>
  <si>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</si>
  <si>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</si>
  <si>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</si>
  <si>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</si>
  <si>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</si>
  <si>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</si>
  <si>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</si>
  <si>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</si>
  <si>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</si>
  <si>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</si>
  <si>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</si>
  <si>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</si>
  <si>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</si>
  <si>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</si>
  <si>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</si>
  <si>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</si>
  <si>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</si>
  <si>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</si>
  <si>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</si>
  <si>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</si>
  <si>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</si>
  <si>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</si>
  <si>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</si>
  <si>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</si>
  <si>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</si>
  <si>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</si>
  <si>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</si>
  <si>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</si>
  <si>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</si>
  <si>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</si>
  <si>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</si>
  <si>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</si>
  <si>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</si>
  <si>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</si>
  <si>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</si>
  <si>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</si>
  <si>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</si>
  <si>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</si>
  <si>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</si>
  <si>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</si>
  <si>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</si>
  <si>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</si>
  <si>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</si>
  <si>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</si>
  <si>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</si>
  <si>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</si>
  <si>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</si>
  <si>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</si>
  <si>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</si>
  <si>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</si>
  <si>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</si>
  <si>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</si>
  <si>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</si>
  <si>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</si>
  <si>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</si>
  <si>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</si>
  <si>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</si>
  <si>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</si>
  <si>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</si>
  <si>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</si>
  <si>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</si>
  <si>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</si>
  <si>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</si>
  <si>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</si>
  <si>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</si>
  <si>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</si>
  <si>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</si>
  <si>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</si>
  <si>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</si>
  <si>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</si>
  <si>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</si>
  <si>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</si>
  <si>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</si>
  <si>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</si>
  <si>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</si>
  <si>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</si>
  <si>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</si>
  <si>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</si>
  <si>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</si>
  <si>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</si>
  <si>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</si>
  <si>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</si>
  <si>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</si>
  <si>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</si>
  <si>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</si>
  <si>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</si>
  <si>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</si>
  <si>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</si>
  <si>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</si>
  <si>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</si>
  <si>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</si>
  <si>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</si>
  <si>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</si>
  <si>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</si>
  <si>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</si>
  <si>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</si>
  <si>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</si>
  <si>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</si>
  <si>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</si>
  <si>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</si>
  <si>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</si>
  <si>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</si>
  <si>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</si>
  <si>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</si>
  <si>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</si>
  <si>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</si>
  <si>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</si>
  <si>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</si>
  <si>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</si>
  <si>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</si>
  <si>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</si>
  <si>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</si>
  <si>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</si>
  <si>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</si>
  <si>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</si>
  <si>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</si>
  <si>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</si>
  <si>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</si>
  <si>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</si>
  <si>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</si>
  <si>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</si>
  <si>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</si>
  <si>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</si>
  <si>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</si>
  <si>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</si>
  <si>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</si>
  <si>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</si>
  <si>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</si>
  <si>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</si>
  <si>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</si>
  <si>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</si>
  <si>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</si>
  <si>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</si>
  <si>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</si>
  <si>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</si>
  <si>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</si>
  <si>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</si>
  <si>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</si>
  <si>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</si>
  <si>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</si>
  <si>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</si>
  <si>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</si>
  <si>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</si>
  <si>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</si>
  <si>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</si>
  <si>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</si>
  <si>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</si>
  <si>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</si>
  <si>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</si>
  <si>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</si>
  <si>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</si>
  <si>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</si>
  <si>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</si>
  <si>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</si>
  <si>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</si>
  <si>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</si>
  <si>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</si>
  <si>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</si>
  <si>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</si>
  <si>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</si>
  <si>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</si>
  <si>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</si>
  <si>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</si>
  <si>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</si>
  <si>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</si>
  <si>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</si>
  <si>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</si>
  <si>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</si>
  <si>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</si>
  <si>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</si>
  <si>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</si>
  <si>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</si>
  <si>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</si>
  <si>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</si>
  <si>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</si>
  <si>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</si>
  <si>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</si>
  <si>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</si>
  <si>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</si>
  <si>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</si>
  <si>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</si>
  <si>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</si>
  <si>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</si>
  <si>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</si>
  <si>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</si>
  <si>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</si>
  <si>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</si>
  <si>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</si>
  <si>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</si>
  <si>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</si>
  <si>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</si>
  <si>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</si>
  <si>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</si>
  <si>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</si>
  <si>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</si>
  <si>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</si>
  <si>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</si>
  <si>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</si>
  <si>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</si>
  <si>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</si>
  <si>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</si>
  <si>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</si>
  <si>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</si>
  <si>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</si>
  <si>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</si>
  <si>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</si>
  <si>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</si>
  <si>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</si>
  <si>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</si>
  <si>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</si>
  <si>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</si>
  <si>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</si>
  <si>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</si>
  <si>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</si>
  <si>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</si>
  <si>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</si>
  <si>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</si>
  <si>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</si>
  <si>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</si>
  <si>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</si>
  <si>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</si>
  <si>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</si>
  <si>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</si>
  <si>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</si>
  <si>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</si>
  <si>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</si>
  <si>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</si>
  <si>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</si>
  <si>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</si>
  <si>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</si>
  <si>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</si>
  <si>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</si>
  <si>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</si>
  <si>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</si>
  <si>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</si>
  <si>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</si>
  <si>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</si>
  <si>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</si>
  <si>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</si>
  <si>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</si>
  <si>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</si>
  <si>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</si>
  <si>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</si>
  <si>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</si>
  <si>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</si>
  <si>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</si>
  <si>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</si>
  <si>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</si>
  <si>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</si>
  <si>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</si>
  <si>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</si>
  <si>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</si>
  <si>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</si>
  <si>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</si>
  <si>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</si>
  <si>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</si>
  <si>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</si>
  <si>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</si>
  <si>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</si>
  <si>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</si>
  <si>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</si>
  <si>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</si>
  <si>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</si>
  <si>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</si>
  <si>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</si>
  <si>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</si>
  <si>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</si>
  <si>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</si>
  <si>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</si>
  <si>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</si>
  <si>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</si>
  <si>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</si>
  <si>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</si>
  <si>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</si>
  <si>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</si>
  <si>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</si>
  <si>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</si>
  <si>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</si>
  <si>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</si>
  <si>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</si>
  <si>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</si>
  <si>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</si>
  <si>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</si>
  <si>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</si>
  <si>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</si>
  <si>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</si>
  <si>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</si>
  <si>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</si>
  <si>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</si>
  <si>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</si>
  <si>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</si>
  <si>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</si>
  <si>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</si>
  <si>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</si>
  <si>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</si>
  <si>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</si>
  <si>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</si>
  <si>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</si>
  <si>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</si>
  <si>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</si>
  <si>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</si>
  <si>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</si>
  <si>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</si>
  <si>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</si>
  <si>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</si>
  <si>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</si>
  <si>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</si>
  <si>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</si>
  <si>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</si>
  <si>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</si>
  <si>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</si>
  <si>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</si>
  <si>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</si>
  <si>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</si>
  <si>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</si>
  <si>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</si>
  <si>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</si>
  <si>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</si>
  <si>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</si>
  <si>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</si>
  <si>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</si>
  <si>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</si>
  <si>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</si>
  <si>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</si>
  <si>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</si>
  <si>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</si>
  <si>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</si>
  <si>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</si>
  <si>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</si>
  <si>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</si>
  <si>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</si>
  <si>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</si>
  <si>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</si>
  <si>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</si>
  <si>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</si>
  <si>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</si>
  <si>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</si>
  <si>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</si>
  <si>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</si>
  <si>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</si>
  <si>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</si>
  <si>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</si>
  <si>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</si>
  <si>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</si>
  <si>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</si>
  <si>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</si>
  <si>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</si>
  <si>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</si>
  <si>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</si>
  <si>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</si>
  <si>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</si>
  <si>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</si>
  <si>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</si>
  <si>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</si>
  <si>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</si>
  <si>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</si>
  <si>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</si>
  <si>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</si>
  <si>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</si>
  <si>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</si>
  <si>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</si>
  <si>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</si>
  <si>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</si>
  <si>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</si>
  <si>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</si>
  <si>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</si>
  <si>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</si>
  <si>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</si>
  <si>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</si>
  <si>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</si>
  <si>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</si>
  <si>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</si>
  <si>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</si>
  <si>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</si>
  <si>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</si>
  <si>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</si>
  <si>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</si>
  <si>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</si>
  <si>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</si>
  <si>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</si>
  <si>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</si>
  <si>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</si>
  <si>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</si>
  <si>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</si>
  <si>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</si>
  <si>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</si>
  <si>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</si>
  <si>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</si>
  <si>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</si>
  <si>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</si>
  <si>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</si>
  <si>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</si>
  <si>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</si>
  <si>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</si>
  <si>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</si>
  <si>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</si>
  <si>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</si>
  <si>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</si>
  <si>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</si>
  <si>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</si>
  <si>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</si>
  <si>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</si>
  <si>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</si>
  <si>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</si>
  <si>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</si>
  <si>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</si>
  <si>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</si>
  <si>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</si>
  <si>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</si>
  <si>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</si>
  <si>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</si>
  <si>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</si>
  <si>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</si>
  <si>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</si>
  <si>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</si>
  <si>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</si>
  <si>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</si>
  <si>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</si>
  <si>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</si>
  <si>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</si>
  <si>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</si>
  <si>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</si>
  <si>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</si>
  <si>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</si>
  <si>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</si>
  <si>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</si>
  <si>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</si>
  <si>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</si>
  <si>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</si>
  <si>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</si>
  <si>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</si>
  <si>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</si>
  <si>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</si>
  <si>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</si>
  <si>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</si>
  <si>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</si>
  <si>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</si>
  <si>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</si>
  <si>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</si>
  <si>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</si>
  <si>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</si>
  <si>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</si>
  <si>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</si>
  <si>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</si>
  <si>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</si>
  <si>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</si>
  <si>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</si>
  <si>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</si>
  <si>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</si>
  <si>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</si>
  <si>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</si>
  <si>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</si>
  <si>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</si>
  <si>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</si>
  <si>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</si>
  <si>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</si>
  <si>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</si>
  <si>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</si>
  <si>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</si>
  <si>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</si>
  <si>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</si>
  <si>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</si>
  <si>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</si>
  <si>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</si>
  <si>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</si>
  <si>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</si>
  <si>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</si>
  <si>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</si>
  <si>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</si>
  <si>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</si>
  <si>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</si>
  <si>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</si>
  <si>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</si>
  <si>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</si>
  <si>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</si>
  <si>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</si>
  <si>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</si>
  <si>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</si>
  <si>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</si>
  <si>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</si>
  <si>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</si>
  <si>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</si>
  <si>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</si>
  <si>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</si>
  <si>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</si>
  <si>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</si>
  <si>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</si>
  <si>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</si>
  <si>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</si>
  <si>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</si>
  <si>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</si>
  <si>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</si>
  <si>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</si>
  <si>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</si>
  <si>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</si>
  <si>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</si>
  <si>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</si>
  <si>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</si>
  <si>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</si>
  <si>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</si>
  <si>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</si>
  <si>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</si>
  <si>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</si>
  <si>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</si>
  <si>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</si>
  <si>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</si>
  <si>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</si>
  <si>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</si>
  <si>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</si>
  <si>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</si>
  <si>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</si>
  <si>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</si>
  <si>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</si>
  <si>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</si>
  <si>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</si>
  <si>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</si>
  <si>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</si>
  <si>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</si>
  <si>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</si>
  <si>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</si>
  <si>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</si>
  <si>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</si>
  <si>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</si>
  <si>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</si>
  <si>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</si>
  <si>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</si>
  <si>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</si>
  <si>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</si>
  <si>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</si>
  <si>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</si>
  <si>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</si>
  <si>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</si>
  <si>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</si>
  <si>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</si>
  <si>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</si>
  <si>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</si>
  <si>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</si>
  <si>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</si>
  <si>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</si>
  <si>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</si>
  <si>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</si>
  <si>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</si>
  <si>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</si>
  <si>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</si>
  <si>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</si>
  <si>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</si>
  <si>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</si>
  <si>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</si>
  <si>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</si>
  <si>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</si>
  <si>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</si>
  <si>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</si>
  <si>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</si>
  <si>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</si>
  <si>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</si>
  <si>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</si>
  <si>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</si>
  <si>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</si>
  <si>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</si>
  <si>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</si>
  <si>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</si>
  <si>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</si>
  <si>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</si>
  <si>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</si>
  <si>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</si>
  <si>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</si>
  <si>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</si>
  <si>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</si>
  <si>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</si>
  <si>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</si>
  <si>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</si>
  <si>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</si>
  <si>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</si>
  <si>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</si>
  <si>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</si>
  <si>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</si>
  <si>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</si>
  <si>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</si>
  <si>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</si>
  <si>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</si>
  <si>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</si>
  <si>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</si>
  <si>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</si>
  <si>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</si>
  <si>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</si>
  <si>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</si>
  <si>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</si>
  <si>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</si>
  <si>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</si>
  <si>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</si>
  <si>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</si>
  <si>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</si>
  <si>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</si>
  <si>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</si>
  <si>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</si>
  <si>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</si>
  <si>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</si>
  <si>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</si>
  <si>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</si>
  <si>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</si>
  <si>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</si>
  <si>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</si>
  <si>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</si>
  <si>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</si>
  <si>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</si>
  <si>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</si>
  <si>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</si>
  <si>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</si>
  <si>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</si>
  <si>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</si>
  <si>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</si>
  <si>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</si>
  <si>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</si>
  <si>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</si>
  <si>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3223 IL ROUTE 76</t>
  </si>
  <si>
    <t>CRYSTAL LAKE</t>
  </si>
  <si>
    <t>KWERNER@DIST46.ORG</t>
  </si>
  <si>
    <t>X</t>
  </si>
  <si>
    <t>GO REFUNDING SCHOOL BONDS 2013</t>
  </si>
  <si>
    <t>DISTRICT PRINTING COST</t>
  </si>
  <si>
    <t>STAN'S- LPS MIDWEST</t>
  </si>
  <si>
    <t>DISTRICT BUILDING &amp; GROUNDS REPAIR</t>
  </si>
  <si>
    <t>TESSENDORF MECHANICAL</t>
  </si>
  <si>
    <t>FOOD SERVICES</t>
  </si>
  <si>
    <t>ARBOR MANAGEMENT, INC.</t>
  </si>
  <si>
    <t>BUS LEASE</t>
  </si>
  <si>
    <t>SANTANDER LEASING LLC</t>
  </si>
  <si>
    <t>Educational Benefit Cooperative</t>
  </si>
  <si>
    <t>Arbor Management, Inc.</t>
  </si>
  <si>
    <t>Collective Liability Insurance Cooperative</t>
  </si>
  <si>
    <t>PMA Investment Pools</t>
  </si>
  <si>
    <t>Kriha Law</t>
  </si>
  <si>
    <t>Page 10, Line 81 - Other District/School Activity Revenue - Graduation Fees, Fieldtrips</t>
  </si>
  <si>
    <t>Page 16, Line 73 - Other Support Services - Supplies for Needy Students</t>
  </si>
  <si>
    <t>Page 9, Line 74 - Other Food Service- ECE Snacks</t>
  </si>
  <si>
    <t>Page 10, Line 107 - Other Local Revenues - Donations, Commissions</t>
  </si>
  <si>
    <t>Page 16 Line 136 - Other Payments to In-State Govt. Units - McHenry County Collector Property Taxes</t>
  </si>
  <si>
    <t>Page 17, Line 171 - Debt Services - Other - Bond Fees, Disclosure Compliance Fees</t>
  </si>
  <si>
    <t>x</t>
  </si>
  <si>
    <t>CHERYDEN JUERGENSEN</t>
  </si>
  <si>
    <t>Eder, Casella &amp; Co.</t>
  </si>
  <si>
    <t>20-2540-300</t>
  </si>
  <si>
    <t>10-2560-300</t>
  </si>
  <si>
    <t>40-2550-300</t>
  </si>
  <si>
    <t>Special Education District of McHenry County</t>
  </si>
  <si>
    <t>Page 5, Line 12 - Other Current Assets  - Prepaid Employee Insurance</t>
  </si>
  <si>
    <t>Page 11, Line 168 - Other Restricted Revenue from State Sources - Library Grant</t>
  </si>
  <si>
    <t>Prairie Grove CSD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</si>
</sst>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975">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84" fillId="0" borderId="0"/>
    <xf numFmtId="43"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Alignment="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2" fillId="0" borderId="0"/>
    <xf numFmtId="43" fontId="13" fillId="0" borderId="0" applyAlignment="0"/>
    <xf numFmtId="43" fontId="13" fillId="0" borderId="0" applyAlignment="0"/>
    <xf numFmtId="43"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3" fillId="0" borderId="0" applyAlignment="0"/>
    <xf numFmtId="43" fontId="13"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13" fillId="0" borderId="0"/>
    <xf numFmtId="0" fontId="2" fillId="0" borderId="0"/>
    <xf numFmtId="43" fontId="13" fillId="0" borderId="0" applyAlignment="0"/>
    <xf numFmtId="43" fontId="13" fillId="0" borderId="0" applyAlignment="0"/>
    <xf numFmtId="43"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3"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560">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0" fontId="2" fillId="0" borderId="157" xfId="17" applyFont="1" applyBorder="1" applyAlignment="1" applyProtection="1">
      <alignment vertical="top"/>
      <protection locked="0"/>
    </xf>
    <xf numFmtId="38" fontId="58" fillId="0" borderId="2" xfId="3482" applyNumberFormat="1" applyFont="1" applyFill="1" applyBorder="1" applyAlignment="1" applyProtection="1">
      <alignment horizontal="right" vertical="center"/>
      <protection locked="0"/>
    </xf>
    <xf numFmtId="38" fontId="58" fillId="0" borderId="127" xfId="3482" applyNumberFormat="1" applyFont="1" applyFill="1" applyBorder="1" applyAlignment="1" applyProtection="1">
      <alignment horizontal="right" vertical="center"/>
      <protection locked="0"/>
    </xf>
    <xf numFmtId="38" fontId="58" fillId="0" borderId="2" xfId="3482" applyNumberFormat="1" applyFont="1" applyFill="1" applyBorder="1" applyAlignment="1" applyProtection="1">
      <alignment horizontal="right" vertical="center"/>
      <protection locked="0"/>
    </xf>
    <xf numFmtId="38" fontId="58" fillId="0" borderId="127" xfId="3482" applyNumberFormat="1" applyFont="1" applyFill="1" applyBorder="1" applyAlignment="1" applyProtection="1">
      <alignment horizontal="right" vertical="center"/>
      <protection locked="0"/>
    </xf>
    <xf numFmtId="49" fontId="136" fillId="0" borderId="105" xfId="3973" applyNumberFormat="1" applyFont="1" applyBorder="1" applyAlignment="1" applyProtection="1">
      <alignment horizontal="center" vertical="center"/>
      <protection locked="0"/>
    </xf>
    <xf numFmtId="49" fontId="136" fillId="0" borderId="109" xfId="3973" applyNumberFormat="1" applyFont="1" applyFill="1" applyBorder="1" applyAlignment="1" applyProtection="1">
      <alignment horizontal="center" vertical="center"/>
      <protection locked="0"/>
    </xf>
    <xf numFmtId="0" fontId="103" fillId="0" borderId="105" xfId="3973" applyFont="1" applyBorder="1" applyProtection="1">
      <protection locked="0"/>
    </xf>
    <xf numFmtId="49" fontId="136" fillId="0" borderId="107" xfId="3973" applyNumberFormat="1" applyFont="1" applyFill="1" applyBorder="1" applyAlignment="1" applyProtection="1">
      <alignment horizontal="center" vertical="center"/>
      <protection locked="0"/>
    </xf>
    <xf numFmtId="0" fontId="103" fillId="0" borderId="105" xfId="3973" applyFont="1" applyFill="1" applyBorder="1" applyProtection="1">
      <protection locked="0"/>
    </xf>
    <xf numFmtId="0" fontId="60" fillId="0" borderId="0" xfId="3482" applyFont="1"/>
    <xf numFmtId="49" fontId="1" fillId="0" borderId="157" xfId="17" applyNumberFormat="1" applyFont="1" applyBorder="1" applyAlignment="1" applyProtection="1">
      <alignment horizontal="center" vertical="top"/>
      <protection locked="0"/>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7"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7"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7" fillId="0" borderId="20" xfId="12" applyFont="1" applyBorder="1" applyAlignment="1" applyProtection="1">
      <alignment vertical="center"/>
    </xf>
    <xf numFmtId="180" fontId="16" fillId="0" borderId="19" xfId="12"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7" xfId="12" applyNumberFormat="1" applyFont="1" applyBorder="1" applyAlignment="1" applyProtection="1">
      <alignment horizontal="left" vertical="center" indent="1"/>
      <protection locked="0"/>
    </xf>
    <xf numFmtId="0" fontId="16" fillId="0" borderId="0" xfId="0" applyNumberFormat="1"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0" fontId="0" fillId="0" borderId="0" xfId="0" applyBorder="1" applyAlignment="1">
      <alignment horizontal="center" vertical="center"/>
    </xf>
    <xf numFmtId="49" fontId="16" fillId="0" borderId="0" xfId="12" applyNumberFormat="1" applyFont="1" applyBorder="1" applyAlignment="1" applyProtection="1">
      <alignment horizontal="center" vertical="center"/>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16" fillId="0" borderId="18" xfId="0"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6" fillId="0" borderId="19" xfId="12" applyNumberFormat="1" applyFont="1" applyBorder="1" applyAlignment="1" applyProtection="1">
      <alignment horizontal="left" vertical="center"/>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0" xfId="0" applyFont="1" applyBorder="1" applyAlignment="1" applyProtection="1">
      <alignment horizontal="left" vertical="center" indent="1"/>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0" fontId="68" fillId="12" borderId="13" xfId="9" applyFont="1" applyFill="1" applyBorder="1" applyAlignment="1">
      <alignment horizontal="center" vertical="center"/>
    </xf>
    <xf numFmtId="0" fontId="60" fillId="12" borderId="14" xfId="0" applyFont="1" applyFill="1" applyBorder="1" applyAlignment="1">
      <alignment horizontal="center" vertical="center"/>
    </xf>
    <xf numFmtId="0" fontId="67" fillId="6" borderId="13" xfId="0" applyFont="1" applyFill="1" applyBorder="1" applyAlignment="1" applyProtection="1">
      <alignment horizontal="left" vertical="center" wrapText="1"/>
    </xf>
    <xf numFmtId="49" fontId="68" fillId="12" borderId="13" xfId="0" applyNumberFormat="1" applyFont="1" applyFill="1" applyBorder="1" applyAlignment="1" applyProtection="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5" xfId="3" applyNumberFormat="1" applyFont="1" applyBorder="1" applyAlignment="1" applyProtection="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3" fontId="58" fillId="0" borderId="77" xfId="3" applyNumberFormat="1" applyFont="1" applyBorder="1" applyAlignment="1" applyProtection="1">
      <alignment horizontal="right" indent="1"/>
      <protection locked="0"/>
    </xf>
    <xf numFmtId="0" fontId="57" fillId="0" borderId="0" xfId="3" applyFont="1" applyAlignment="1" applyProtection="1">
      <alignment horizontal="center"/>
    </xf>
    <xf numFmtId="0" fontId="57" fillId="0" borderId="78" xfId="3" applyFont="1" applyBorder="1" applyAlignment="1" applyProtection="1">
      <alignment horizontal="center"/>
    </xf>
    <xf numFmtId="0" fontId="65" fillId="0" borderId="0" xfId="3" applyFont="1" applyAlignment="1" applyProtection="1">
      <alignment horizontal="left" vertical="center" wrapText="1"/>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Alignment="1" applyProtection="1">
      <alignment horizontal="center" vertical="center" wrapText="1"/>
    </xf>
  </cellXfs>
  <cellStyles count="3975">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38 2 2" xfId="3889" xr:uid="{BAA5FA74-25EB-414B-A232-377BAACAAA19}"/>
    <cellStyle name="12 38 2 3" xfId="3643" xr:uid="{A93B5A25-2BEA-4290-8369-3BB54184FA01}"/>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2 2 2" xfId="3890" xr:uid="{34B66CF4-E686-4B28-ACB5-BF22244CAB35}"/>
    <cellStyle name="12 9 2 2 3" xfId="3644" xr:uid="{1D1CB304-36B6-431D-BCDA-ACAE51B4F3EE}"/>
    <cellStyle name="12 9 3" xfId="284" xr:uid="{00000000-0005-0000-0000-000029000000}"/>
    <cellStyle name="12 9 4" xfId="2963" xr:uid="{00000000-0005-0000-0000-00002C000000}"/>
    <cellStyle name="12 9 4 2" xfId="3878" xr:uid="{F43D28FE-6AF2-4909-9999-1A6F40B65FB6}"/>
    <cellStyle name="12 9 4 3" xfId="3632" xr:uid="{39863D5A-76C0-46EF-8360-FCE363B26827}"/>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 4 3 2" xfId="3879" xr:uid="{D12CDD45-5697-4283-A897-8F60FB6CC1FA}"/>
    <cellStyle name="Comma 2 4 3 3" xfId="3633" xr:uid="{7640CEF0-DFCC-49E4-9411-3EFB264A836B}"/>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0 2" xfId="3838" xr:uid="{E7450543-EC41-45CD-9668-F689C5465A33}"/>
    <cellStyle name="Comma 3 10 3" xfId="3592" xr:uid="{5CA88989-9E07-4A80-AB55-199093719C2F}"/>
    <cellStyle name="Comma 3 11" xfId="3748" xr:uid="{3DA85506-4524-4DB4-A305-791B31FA1938}"/>
    <cellStyle name="Comma 3 12" xfId="3502" xr:uid="{483BE845-E256-449C-A0BB-111FD5B0B133}"/>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3 3 2" xfId="3881" xr:uid="{1231CC56-EE27-4B9D-B233-05717DBE2BDC}"/>
    <cellStyle name="Comma 3 3 3 3" xfId="3635" xr:uid="{F663F6F1-5639-44CC-912C-D8429B056FBB}"/>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2 2 2" xfId="3913" xr:uid="{F8AA4F77-6431-48B4-9970-72749D9B8630}"/>
    <cellStyle name="Comma 3 4 2 2 2 3" xfId="3667" xr:uid="{C7A556B0-D340-44A6-B299-919A7C5E2395}"/>
    <cellStyle name="Comma 3 4 2 2 3" xfId="3812" xr:uid="{C4081F16-E4F7-4560-A409-4839434FA545}"/>
    <cellStyle name="Comma 3 4 2 2 4" xfId="3566" xr:uid="{58AA983C-065A-4AF8-AB4C-289D8E3A36AE}"/>
    <cellStyle name="Comma 3 4 2 3" xfId="3442" xr:uid="{00000000-0005-0000-0000-0000A9060000}"/>
    <cellStyle name="Comma 3 4 2 3 2" xfId="3953" xr:uid="{F9AA1D42-5CC3-4594-BAD8-157BC99EF736}"/>
    <cellStyle name="Comma 3 4 2 3 3" xfId="3707" xr:uid="{C1FBD8DF-9990-4167-999A-376F04025FDA}"/>
    <cellStyle name="Comma 3 4 2 4" xfId="2942" xr:uid="{00000000-0005-0000-0000-0000A7060000}"/>
    <cellStyle name="Comma 3 4 2 4 2" xfId="3857" xr:uid="{06167BDA-4412-4DA1-9278-15594F38DDD7}"/>
    <cellStyle name="Comma 3 4 2 4 3" xfId="3611" xr:uid="{F2F98B5D-ECD0-42E0-B814-99CEDE968454}"/>
    <cellStyle name="Comma 3 4 2 5" xfId="3767" xr:uid="{8F1875F6-FF68-4700-8C98-D5393627F10A}"/>
    <cellStyle name="Comma 3 4 2 6" xfId="3521" xr:uid="{11E97C47-42CD-4568-8FA6-753324B588DD}"/>
    <cellStyle name="Comma 3 4 3" xfId="2880" xr:uid="{00000000-0005-0000-0000-000065060000}"/>
    <cellStyle name="Comma 3 4 3 2" xfId="2976" xr:uid="{00000000-0005-0000-0000-0000AA060000}"/>
    <cellStyle name="Comma 3 4 3 2 2" xfId="3891" xr:uid="{91738F1A-640B-40F9-B89C-79A98BF8D267}"/>
    <cellStyle name="Comma 3 4 3 2 3" xfId="3645" xr:uid="{7466899D-5CBC-4F6F-B7E8-CE58A2B9A6A9}"/>
    <cellStyle name="Comma 3 4 3 3" xfId="3795" xr:uid="{04F66750-896A-40BC-9924-F179C54EF0DA}"/>
    <cellStyle name="Comma 3 4 3 4" xfId="3549" xr:uid="{848D8D8F-78FD-4D64-B0F1-5DDBB3B37728}"/>
    <cellStyle name="Comma 3 4 4" xfId="3418" xr:uid="{00000000-0005-0000-0000-0000AB060000}"/>
    <cellStyle name="Comma 3 4 4 2" xfId="3936" xr:uid="{B820454E-472D-4D85-9FF7-F1B141803B96}"/>
    <cellStyle name="Comma 3 4 4 3" xfId="3690" xr:uid="{DB40E13B-6111-406B-9634-1A8295961194}"/>
    <cellStyle name="Comma 3 4 5" xfId="2925" xr:uid="{00000000-0005-0000-0000-0000A6060000}"/>
    <cellStyle name="Comma 3 4 5 2" xfId="3840" xr:uid="{69932BFB-F255-45B7-A490-CD89C70C5850}"/>
    <cellStyle name="Comma 3 4 5 3" xfId="3594" xr:uid="{495FDBB1-AB6B-47A7-882B-89E6501C900D}"/>
    <cellStyle name="Comma 3 4 6" xfId="3750" xr:uid="{47EA75EF-6FB1-48C0-9830-13AD1E629A51}"/>
    <cellStyle name="Comma 3 4 7" xfId="3504" xr:uid="{8CC1CCBE-472E-4D19-885B-F77E76DF20F3}"/>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2 2 2" xfId="3917" xr:uid="{5C7508CC-675D-4CD3-963B-22559D3EF326}"/>
    <cellStyle name="Comma 3 5 2 2 2 3" xfId="3671" xr:uid="{99413BEF-0D4E-44D5-857B-F7E1F08475DC}"/>
    <cellStyle name="Comma 3 5 2 2 3" xfId="3816" xr:uid="{B5E61DE8-EED8-4733-8396-3271C7ED0C5A}"/>
    <cellStyle name="Comma 3 5 2 2 4" xfId="3570" xr:uid="{37A11365-0F4E-44B8-8353-0BA39FB29672}"/>
    <cellStyle name="Comma 3 5 2 3" xfId="3446" xr:uid="{00000000-0005-0000-0000-0000AF060000}"/>
    <cellStyle name="Comma 3 5 2 3 2" xfId="3957" xr:uid="{A6CC6219-6E0C-40A4-BC2C-D57C0A60DA48}"/>
    <cellStyle name="Comma 3 5 2 3 3" xfId="3711" xr:uid="{A6636682-4A31-4415-A8A4-AAAFC6C395C7}"/>
    <cellStyle name="Comma 3 5 2 4" xfId="2946" xr:uid="{00000000-0005-0000-0000-0000AD060000}"/>
    <cellStyle name="Comma 3 5 2 4 2" xfId="3861" xr:uid="{2C1CD772-41EA-4DB9-B4E2-4BDF9BEE6933}"/>
    <cellStyle name="Comma 3 5 2 4 3" xfId="3615" xr:uid="{344E0541-4AAD-4207-868F-005C99AC0E97}"/>
    <cellStyle name="Comma 3 5 2 5" xfId="3771" xr:uid="{BBA40377-6A6E-465A-BCBF-413CF3B9E366}"/>
    <cellStyle name="Comma 3 5 2 6" xfId="3525" xr:uid="{D95D496C-55AC-4831-8625-E6A9B714CC7F}"/>
    <cellStyle name="Comma 3 5 3" xfId="2884" xr:uid="{00000000-0005-0000-0000-000067060000}"/>
    <cellStyle name="Comma 3 5 3 2" xfId="2985" xr:uid="{00000000-0005-0000-0000-0000B0060000}"/>
    <cellStyle name="Comma 3 5 3 2 2" xfId="3900" xr:uid="{C7C749A3-FA9F-4512-842E-A3D1E68C5372}"/>
    <cellStyle name="Comma 3 5 3 2 3" xfId="3654" xr:uid="{DFD0B389-1AF7-41FB-8818-A29DC16047B3}"/>
    <cellStyle name="Comma 3 5 3 3" xfId="3799" xr:uid="{7AD97713-C325-49A1-8A76-4D6502A02E35}"/>
    <cellStyle name="Comma 3 5 3 4" xfId="3553" xr:uid="{333A26F0-2AC2-49DE-A1BC-427480786464}"/>
    <cellStyle name="Comma 3 5 4" xfId="3428" xr:uid="{00000000-0005-0000-0000-0000B1060000}"/>
    <cellStyle name="Comma 3 5 4 2" xfId="3940" xr:uid="{4063247B-A4DA-46D8-981A-64B26E1DA733}"/>
    <cellStyle name="Comma 3 5 4 3" xfId="3694" xr:uid="{5EC1A09D-939D-4A26-8B01-B374CC86E099}"/>
    <cellStyle name="Comma 3 5 5" xfId="2929" xr:uid="{00000000-0005-0000-0000-0000AC060000}"/>
    <cellStyle name="Comma 3 5 5 2" xfId="3844" xr:uid="{769EE07A-64D5-47C3-88EB-CE276D22A827}"/>
    <cellStyle name="Comma 3 5 5 3" xfId="3598" xr:uid="{1856C6F0-5452-4C44-BA70-428FDD4B3792}"/>
    <cellStyle name="Comma 3 5 6" xfId="3754" xr:uid="{3AAC82BD-F3DA-40E9-B0D7-7E18F43E3CDD}"/>
    <cellStyle name="Comma 3 5 7" xfId="3508" xr:uid="{C8AD6FE9-FAE5-424A-A593-DF0F6153BCA5}"/>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2 2 2" xfId="3921" xr:uid="{C172076F-65B2-4C5D-995F-A3C2400420B8}"/>
    <cellStyle name="Comma 3 6 2 2 2 3" xfId="3675" xr:uid="{207CBD82-81BC-49D8-B38F-C59D6FDF0D2F}"/>
    <cellStyle name="Comma 3 6 2 2 3" xfId="3820" xr:uid="{EB8213D6-792F-4868-B414-BA12E788CF25}"/>
    <cellStyle name="Comma 3 6 2 2 4" xfId="3574" xr:uid="{00A203BE-0D02-4B2A-92B8-0E0B792409AA}"/>
    <cellStyle name="Comma 3 6 2 3" xfId="3450" xr:uid="{00000000-0005-0000-0000-0000B5060000}"/>
    <cellStyle name="Comma 3 6 2 3 2" xfId="3961" xr:uid="{772B3DF0-09AD-4E34-BC45-56197BB88DD5}"/>
    <cellStyle name="Comma 3 6 2 3 3" xfId="3715" xr:uid="{92F5C31A-8D77-485D-B94E-2D644EB0645F}"/>
    <cellStyle name="Comma 3 6 2 4" xfId="2950" xr:uid="{00000000-0005-0000-0000-0000B3060000}"/>
    <cellStyle name="Comma 3 6 2 4 2" xfId="3865" xr:uid="{5736045F-9322-4F09-8295-0F69ED5CA25D}"/>
    <cellStyle name="Comma 3 6 2 4 3" xfId="3619" xr:uid="{53767DCE-F982-4181-BD17-E5DD1F3B9ABA}"/>
    <cellStyle name="Comma 3 6 2 5" xfId="3775" xr:uid="{A51AF466-4F7D-478F-BFF3-4843E7C54750}"/>
    <cellStyle name="Comma 3 6 2 6" xfId="3529" xr:uid="{99E23314-E240-462E-BBB8-1111A8DDDAD8}"/>
    <cellStyle name="Comma 3 6 3" xfId="2888" xr:uid="{00000000-0005-0000-0000-000069060000}"/>
    <cellStyle name="Comma 3 6 3 2" xfId="2989" xr:uid="{00000000-0005-0000-0000-0000B6060000}"/>
    <cellStyle name="Comma 3 6 3 2 2" xfId="3904" xr:uid="{464DC713-66E1-4996-8363-8B70FB9B5B35}"/>
    <cellStyle name="Comma 3 6 3 2 3" xfId="3658" xr:uid="{83EE9CE4-2533-45CB-9F67-F10C30F21A40}"/>
    <cellStyle name="Comma 3 6 3 3" xfId="3803" xr:uid="{0E14B6EE-E898-4FE3-9F9A-2A9489C8BF8A}"/>
    <cellStyle name="Comma 3 6 3 4" xfId="3557" xr:uid="{E15F47B4-8A92-4814-9CC2-67AC7691D057}"/>
    <cellStyle name="Comma 3 6 4" xfId="3432" xr:uid="{00000000-0005-0000-0000-0000B7060000}"/>
    <cellStyle name="Comma 3 6 4 2" xfId="3944" xr:uid="{168C3975-25FE-4FE9-B8A5-9ADDDCC09F51}"/>
    <cellStyle name="Comma 3 6 4 3" xfId="3698" xr:uid="{494B3532-A2F2-4E2F-8EA2-72BA6D94E334}"/>
    <cellStyle name="Comma 3 6 5" xfId="2933" xr:uid="{00000000-0005-0000-0000-0000B2060000}"/>
    <cellStyle name="Comma 3 6 5 2" xfId="3848" xr:uid="{451EE1C4-B537-46D9-90D2-77E656E90758}"/>
    <cellStyle name="Comma 3 6 5 3" xfId="3602" xr:uid="{76569D04-132F-49CE-88EF-D9084AE2B6F4}"/>
    <cellStyle name="Comma 3 6 6" xfId="3758" xr:uid="{FA1B9B4C-A452-4A48-87D2-8DA97818108F}"/>
    <cellStyle name="Comma 3 6 7" xfId="3512" xr:uid="{D4F7E050-254C-45E9-B828-D58E077FDE06}"/>
    <cellStyle name="Comma 3 7" xfId="2848" xr:uid="{00000000-0005-0000-0000-00006B060000}"/>
    <cellStyle name="Comma 3 7 2" xfId="2895" xr:uid="{00000000-0005-0000-0000-00006B060000}"/>
    <cellStyle name="Comma 3 7 2 2" xfId="2996" xr:uid="{00000000-0005-0000-0000-0000B9060000}"/>
    <cellStyle name="Comma 3 7 2 2 2" xfId="3911" xr:uid="{A3FB1935-C51F-41F4-9426-03AE606BFBE5}"/>
    <cellStyle name="Comma 3 7 2 2 3" xfId="3665" xr:uid="{0335C9C8-B2FA-49F7-9F0B-53A6B9F53C2C}"/>
    <cellStyle name="Comma 3 7 2 3" xfId="3810" xr:uid="{DEDDF5C9-6969-463F-91EE-8292A2E6F994}"/>
    <cellStyle name="Comma 3 7 2 4" xfId="3564" xr:uid="{1F4DEE52-1D1D-4B4F-8A47-0B906CCD7837}"/>
    <cellStyle name="Comma 3 7 3" xfId="3440" xr:uid="{00000000-0005-0000-0000-0000BA060000}"/>
    <cellStyle name="Comma 3 7 3 2" xfId="3951" xr:uid="{7C61917E-60D6-4FE7-96F5-D814A0B506B0}"/>
    <cellStyle name="Comma 3 7 3 3" xfId="3705" xr:uid="{58680AE9-8297-4DD0-97BF-7E55E8BBD486}"/>
    <cellStyle name="Comma 3 7 4" xfId="2940" xr:uid="{00000000-0005-0000-0000-0000B8060000}"/>
    <cellStyle name="Comma 3 7 4 2" xfId="3855" xr:uid="{217609E4-F807-4C9A-B7EE-74D626A76D18}"/>
    <cellStyle name="Comma 3 7 4 3" xfId="3609" xr:uid="{A36FDEFB-862D-4EC6-A2D6-7D3D10966E59}"/>
    <cellStyle name="Comma 3 7 5" xfId="3765" xr:uid="{5514A4B7-2571-40AF-B2E6-35AF95657FE2}"/>
    <cellStyle name="Comma 3 7 6" xfId="3519" xr:uid="{CAB00AF1-3651-4F7F-9B4D-3B2FA6C64FA1}"/>
    <cellStyle name="Comma 3 8" xfId="2878" xr:uid="{00000000-0005-0000-0000-000061060000}"/>
    <cellStyle name="Comma 3 8 2" xfId="2965" xr:uid="{00000000-0005-0000-0000-0000BB060000}"/>
    <cellStyle name="Comma 3 8 2 2" xfId="3880" xr:uid="{E630A48A-4FE2-4782-B1F6-BF708B5F6795}"/>
    <cellStyle name="Comma 3 8 2 3" xfId="3634" xr:uid="{9F38A4C0-3529-40D0-B4B1-A374C2C1922B}"/>
    <cellStyle name="Comma 3 8 3" xfId="3793" xr:uid="{EDC37F85-DEAC-4B0F-B7A0-476F1E82C3FE}"/>
    <cellStyle name="Comma 3 8 4" xfId="3547" xr:uid="{17FAAA86-00DE-444F-9F1F-EFD2AB5A921C}"/>
    <cellStyle name="Comma 3 9" xfId="3033" xr:uid="{00000000-0005-0000-0000-0000BC060000}"/>
    <cellStyle name="Comma 3 9 2" xfId="3934" xr:uid="{FFC1BE95-067E-4532-A3FD-65BDB4957745}"/>
    <cellStyle name="Comma 3 9 3" xfId="3688" xr:uid="{F5F3C54B-4BC6-49D9-8BF9-B44A6918268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2 2 2" xfId="3924" xr:uid="{FCD67F6B-C329-4576-866C-B7AA64DBFF35}"/>
    <cellStyle name="Comma 5 2 2 3" xfId="3678" xr:uid="{BBE9FD32-02D7-4447-A643-CBC942A0D271}"/>
    <cellStyle name="Comma 5 2 3" xfId="3823" xr:uid="{7E0C00E8-D909-45D8-B734-968BC3E808BC}"/>
    <cellStyle name="Comma 5 2 4" xfId="3577" xr:uid="{5E6FB25E-03F2-471B-B14F-016F547A45A6}"/>
    <cellStyle name="Comma 5 3" xfId="3453" xr:uid="{00000000-0005-0000-0000-0000C7060000}"/>
    <cellStyle name="Comma 5 3 2" xfId="3964" xr:uid="{93C3306C-22ED-40BD-AC2D-5FF448913819}"/>
    <cellStyle name="Comma 5 3 3" xfId="3718" xr:uid="{29942F45-C614-4A8A-9411-8BBE895389EE}"/>
    <cellStyle name="Comma 5 4" xfId="2953" xr:uid="{00000000-0005-0000-0000-0000C5060000}"/>
    <cellStyle name="Comma 5 4 2" xfId="3868" xr:uid="{47905EF4-488E-4D71-9EA6-AA8A6210EF3A}"/>
    <cellStyle name="Comma 5 4 3" xfId="3622" xr:uid="{5A961AEE-37BF-43A8-B9AD-8355E509C61A}"/>
    <cellStyle name="Comma 5 5" xfId="3778" xr:uid="{D3CD9A5D-BF98-4199-9A2B-D97748B632C2}"/>
    <cellStyle name="Comma 5 6" xfId="3532" xr:uid="{B7ABBE90-9BB6-4789-A891-05135A795E39}"/>
    <cellStyle name="Comma 58 2" xfId="1733" xr:uid="{00000000-0005-0000-0000-000075060000}"/>
    <cellStyle name="Comma 6" xfId="3474" xr:uid="{00000000-0005-0000-0000-0000C9060000}"/>
    <cellStyle name="Comma 6 2" xfId="3967" xr:uid="{6B51607A-3A24-4C65-89BF-77471B4BC6C3}"/>
    <cellStyle name="Comma 6 3" xfId="3721" xr:uid="{D1896841-2D82-42D7-9A7A-DBD198084D55}"/>
    <cellStyle name="Comma 7" xfId="3483" xr:uid="{1BC36C48-6E3C-48BA-A14D-EAEC7C64E623}"/>
    <cellStyle name="Comma0" xfId="137" xr:uid="{00000000-0005-0000-0000-000076060000}"/>
    <cellStyle name="Comma0 2" xfId="2533" xr:uid="{00000000-0005-0000-0000-000077060000}"/>
    <cellStyle name="Comma0 3" xfId="2967" xr:uid="{00000000-0005-0000-0000-0000CC060000}"/>
    <cellStyle name="Comma0 3 2" xfId="3882" xr:uid="{D82A0C2B-C329-431D-832F-AAA14FFB0435}"/>
    <cellStyle name="Comma0 3 3" xfId="3636" xr:uid="{D3CC7C94-4E2F-460C-B07B-DDF259738FB3}"/>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2 2 2" xfId="3892" xr:uid="{9C5018B3-D505-4621-9DE1-66D1AE4EA3F1}"/>
    <cellStyle name="Currency 2 3 2 2 3" xfId="3646" xr:uid="{36B7832E-B363-45D5-9FFC-6E728F8A989B}"/>
    <cellStyle name="Currency 2 3 3" xfId="1738" xr:uid="{00000000-0005-0000-0000-000080060000}"/>
    <cellStyle name="Currency 2 3 4" xfId="2968" xr:uid="{00000000-0005-0000-0000-0000D7060000}"/>
    <cellStyle name="Currency 2 3 4 2" xfId="3883" xr:uid="{C77065E7-CEE6-4AC1-9D6B-62648F2A1BF3}"/>
    <cellStyle name="Currency 2 3 4 3" xfId="3637" xr:uid="{AC07424D-95C3-4732-978B-3BEB7653098E}"/>
    <cellStyle name="Currency 2 4" xfId="1740" xr:uid="{00000000-0005-0000-0000-000081060000}"/>
    <cellStyle name="Currency 2 4 2" xfId="2978" xr:uid="{00000000-0005-0000-0000-0000D9060000}"/>
    <cellStyle name="Currency 2 4 2 2" xfId="3893" xr:uid="{806289E9-EA60-4C09-93AF-1422B7A58EDC}"/>
    <cellStyle name="Currency 2 4 2 3" xfId="3647" xr:uid="{B0DC71D4-F1DA-4FAE-9B5B-BAC947F71564}"/>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Currency0 3 2" xfId="3884" xr:uid="{76C9D9EB-4DD5-4E3D-9D3F-CDBF19C41461}"/>
    <cellStyle name="Currency0 3 3" xfId="3638" xr:uid="{557BCA18-58D7-40FF-B731-13408F637B6C}"/>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3 2 2" xfId="3894" xr:uid="{50E187DC-4014-4976-8292-84F4737263B2}"/>
    <cellStyle name="Hyperlink 2 2 3 2 3" xfId="3648" xr:uid="{3E7373FA-B5FF-45C8-931E-7F52B74F8ACA}"/>
    <cellStyle name="Hyperlink 2 2 4" xfId="2970" xr:uid="{00000000-0005-0000-0000-000068080000}"/>
    <cellStyle name="Hyperlink 2 2 4 2" xfId="3885" xr:uid="{27273674-314C-4728-8275-8767560CBFDA}"/>
    <cellStyle name="Hyperlink 2 2 4 3" xfId="3639" xr:uid="{488007F2-7DDE-4B49-9324-C82089DEFEB5}"/>
    <cellStyle name="Hyperlink 2 3" xfId="2083" xr:uid="{00000000-0005-0000-0000-00000E080000}"/>
    <cellStyle name="Hyperlink 2 4" xfId="2084" xr:uid="{00000000-0005-0000-0000-00000F080000}"/>
    <cellStyle name="Hyperlink 2 4 2" xfId="2980" xr:uid="{00000000-0005-0000-0000-00006B080000}"/>
    <cellStyle name="Hyperlink 2 4 2 2" xfId="3895" xr:uid="{8815316B-2549-4AED-AB85-7F24462CEEC2}"/>
    <cellStyle name="Hyperlink 2 4 2 3" xfId="3649" xr:uid="{AD5EE0A4-CA0D-4A59-97A2-1A2DBD850822}"/>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xfId="3482" xr:uid="{BC2019D9-E27D-4336-B415-205CF4E65FDC}"/>
    <cellStyle name="Normal 10 2" xfId="2249" xr:uid="{00000000-0005-0000-0000-000009090000}"/>
    <cellStyle name="Normal 11" xfId="3729" xr:uid="{EA229987-49F3-4EF0-8F50-815C59E48688}"/>
    <cellStyle name="Normal 11 2" xfId="2250" xr:uid="{00000000-0005-0000-0000-00000A090000}"/>
    <cellStyle name="Normal 12" xfId="3481" xr:uid="{596EBD22-946B-45B3-8BCF-A6704BAF74A2}"/>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2 2 2" xfId="3896" xr:uid="{6615F50C-1D76-460D-9A20-A52367E7A68A}"/>
    <cellStyle name="Normal 2 2 2 2 3" xfId="3650" xr:uid="{F7C075AA-82C3-4C71-A017-9FC3A0F40C7C}"/>
    <cellStyle name="Normal 2 2 3" xfId="2251" xr:uid="{00000000-0005-0000-0000-00000E090000}"/>
    <cellStyle name="Normal 2 2 4" xfId="2971" xr:uid="{00000000-0005-0000-0000-0000A8090000}"/>
    <cellStyle name="Normal 2 2 4 2" xfId="3886" xr:uid="{E0AE26A3-3F08-42C9-AB91-E7F07D9B0F5F}"/>
    <cellStyle name="Normal 2 2 4 3" xfId="3640" xr:uid="{348E54E7-A3FC-4AB2-BF52-6D602D1F5D7E}"/>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2 2 2" xfId="3906" xr:uid="{AE285D76-256D-4C4A-9DB1-2FE14AF3F4A5}"/>
    <cellStyle name="Normal 3 10 2 2 3" xfId="3660" xr:uid="{C8149B46-A2AF-48D4-9A85-B0EA09890F57}"/>
    <cellStyle name="Normal 3 10 2 3" xfId="3805" xr:uid="{E223671F-9F48-4722-AAA8-B3C6D75AC241}"/>
    <cellStyle name="Normal 3 10 2 4" xfId="3559" xr:uid="{5E78AACA-8B67-4A76-95DD-9F551818F27A}"/>
    <cellStyle name="Normal 3 10 3" xfId="3435" xr:uid="{00000000-0005-0000-0000-0000B0090000}"/>
    <cellStyle name="Normal 3 10 3 2" xfId="3946" xr:uid="{A2159777-186F-4507-9A22-4BC8F31294C9}"/>
    <cellStyle name="Normal 3 10 3 3" xfId="3700" xr:uid="{0EDF2C20-2CB8-4718-8566-D4EBEBDC79A0}"/>
    <cellStyle name="Normal 3 10 4" xfId="2935" xr:uid="{00000000-0005-0000-0000-0000AE090000}"/>
    <cellStyle name="Normal 3 10 4 2" xfId="3850" xr:uid="{83331CA3-CAD8-4A20-A7BE-04DBA2B2EF7A}"/>
    <cellStyle name="Normal 3 10 4 3" xfId="3604" xr:uid="{9E7F37D6-68FD-4593-A950-8A78232F8842}"/>
    <cellStyle name="Normal 3 10 5" xfId="3760" xr:uid="{EE9249F3-34CA-49AA-8BB9-044875A24F03}"/>
    <cellStyle name="Normal 3 10 6" xfId="3514" xr:uid="{46C97F3B-B33D-40E0-AB26-C8D49633F660}"/>
    <cellStyle name="Normal 3 11" xfId="2863" xr:uid="{00000000-0005-0000-0000-000015090000}"/>
    <cellStyle name="Normal 3 11 2" xfId="2909" xr:uid="{00000000-0005-0000-0000-000015090000}"/>
    <cellStyle name="Normal 3 11 2 2" xfId="3010" xr:uid="{00000000-0005-0000-0000-0000B2090000}"/>
    <cellStyle name="Normal 3 11 2 2 2" xfId="3925" xr:uid="{86002249-F560-46B8-A694-EF2CEA7DE743}"/>
    <cellStyle name="Normal 3 11 2 2 3" xfId="3679" xr:uid="{3F687941-7567-4811-AF05-25BBCF7E1518}"/>
    <cellStyle name="Normal 3 11 2 3" xfId="3824" xr:uid="{88DCEBEB-5105-4CE3-A81D-D3A3925B82D5}"/>
    <cellStyle name="Normal 3 11 2 4" xfId="3578" xr:uid="{C3EBE4B6-2AF0-4790-8BDF-471401FA0CC1}"/>
    <cellStyle name="Normal 3 11 3" xfId="3454" xr:uid="{00000000-0005-0000-0000-0000B3090000}"/>
    <cellStyle name="Normal 3 11 3 2" xfId="3965" xr:uid="{BB39134E-0D8F-4B8A-AC68-311627C00FD4}"/>
    <cellStyle name="Normal 3 11 3 3" xfId="3719" xr:uid="{79BC0110-312F-4D18-88FE-FDE70B96AEB7}"/>
    <cellStyle name="Normal 3 11 4" xfId="2954" xr:uid="{00000000-0005-0000-0000-0000B1090000}"/>
    <cellStyle name="Normal 3 11 4 2" xfId="3869" xr:uid="{9FB1A98D-3BA5-4118-973D-BD05BBAEF95F}"/>
    <cellStyle name="Normal 3 11 4 3" xfId="3623" xr:uid="{A0FA4E43-EC95-4E34-92EB-9ED10DA075AE}"/>
    <cellStyle name="Normal 3 11 5" xfId="3779" xr:uid="{FD28542A-5F83-41B9-A0A2-EC8112A21C0E}"/>
    <cellStyle name="Normal 3 11 6" xfId="3533" xr:uid="{96ACE7A4-A557-4A0A-B5C8-7B4E8E35E962}"/>
    <cellStyle name="Normal 3 12" xfId="24" xr:uid="{00000000-0005-0000-0000-000016090000}"/>
    <cellStyle name="Normal 3 12 2" xfId="2870" xr:uid="{00000000-0005-0000-0000-000016090000}"/>
    <cellStyle name="Normal 3 12 2 2" xfId="3785" xr:uid="{3A3006F8-6A7F-4808-9DC4-00FF70495E5F}"/>
    <cellStyle name="Normal 3 12 2 3" xfId="3539" xr:uid="{40C050B8-F41F-405B-9967-C92F61870746}"/>
    <cellStyle name="Normal 3 12 3" xfId="2915" xr:uid="{00000000-0005-0000-0000-0000B4090000}"/>
    <cellStyle name="Normal 3 12 3 2" xfId="3830" xr:uid="{1925F9FE-1417-4DE5-9914-A85389B3DDD6}"/>
    <cellStyle name="Normal 3 12 3 3" xfId="3584" xr:uid="{DE0A2355-8F4F-4611-B1D2-39A993BEA4ED}"/>
    <cellStyle name="Normal 3 12 4" xfId="3740" xr:uid="{23DAAB02-B156-4731-9F75-DA06EBF7258F}"/>
    <cellStyle name="Normal 3 12 5" xfId="3494" xr:uid="{58597B93-DD71-468F-A482-DD5062E6E81D}"/>
    <cellStyle name="Normal 3 13" xfId="19" xr:uid="{00000000-0005-0000-0000-000013090000}"/>
    <cellStyle name="Normal 3 13 2" xfId="2955" xr:uid="{00000000-0005-0000-0000-0000B5090000}"/>
    <cellStyle name="Normal 3 13 2 2" xfId="3870" xr:uid="{9D96EFDD-D83C-4333-94F7-ADAACFD628BB}"/>
    <cellStyle name="Normal 3 13 2 3" xfId="3624" xr:uid="{3A265A6C-E25A-4551-A359-E2E01CF44ED9}"/>
    <cellStyle name="Normal 3 13 3" xfId="3735" xr:uid="{6F0BCF19-15BB-4566-B414-745E24B9933E}"/>
    <cellStyle name="Normal 3 13 4" xfId="3489" xr:uid="{807916FB-76A2-41EF-BD96-D031D128DBC5}"/>
    <cellStyle name="Normal 3 14" xfId="2865" xr:uid="{00000000-0005-0000-0000-000013090000}"/>
    <cellStyle name="Normal 3 14 2" xfId="3011" xr:uid="{00000000-0005-0000-0000-0000B6090000}"/>
    <cellStyle name="Normal 3 14 2 2" xfId="3926" xr:uid="{7DE4E38F-6414-433D-9676-79DE67A83987}"/>
    <cellStyle name="Normal 3 14 2 3" xfId="3680" xr:uid="{02427F1F-7E5A-43F9-B14B-33986F5C5023}"/>
    <cellStyle name="Normal 3 14 3" xfId="3780" xr:uid="{94CDBE1E-CA11-4530-9D9E-E984054A451B}"/>
    <cellStyle name="Normal 3 14 4" xfId="3534" xr:uid="{805CE5E3-F30E-48AE-9CEA-F90C4EA43307}"/>
    <cellStyle name="Normal 3 15" xfId="3475" xr:uid="{00000000-0005-0000-0000-0000B7090000}"/>
    <cellStyle name="Normal 3 15 2" xfId="3968" xr:uid="{5B21B8D1-6666-43D4-887B-701CB0FDE0ED}"/>
    <cellStyle name="Normal 3 15 3" xfId="3722" xr:uid="{AC95810B-ED3E-4F65-831F-CA782884911C}"/>
    <cellStyle name="Normal 3 16" xfId="3476" xr:uid="{00000000-0005-0000-0000-000003000000}"/>
    <cellStyle name="Normal 3 16 2" xfId="3969" xr:uid="{6942ED61-025C-4F1E-A1B1-BA4F2CA1CBAF}"/>
    <cellStyle name="Normal 3 16 3" xfId="3723" xr:uid="{50E8079B-66D0-4B9D-8A74-8B98A553F54D}"/>
    <cellStyle name="Normal 3 17" xfId="2910" xr:uid="{00000000-0005-0000-0000-0000AD090000}"/>
    <cellStyle name="Normal 3 17 2" xfId="3825" xr:uid="{D2047D80-6CA3-4AEF-9890-99AE8EBF17A4}"/>
    <cellStyle name="Normal 3 17 3" xfId="3579" xr:uid="{801A7990-4C19-411C-9E40-C2EA38822667}"/>
    <cellStyle name="Normal 3 18" xfId="3730" xr:uid="{2D072590-053E-4F8B-8C71-83F3963BA884}"/>
    <cellStyle name="Normal 3 19" xfId="3484" xr:uid="{79E5B624-A81F-4E2A-8DAA-CAF24A39794B}"/>
    <cellStyle name="Normal 3 2" xfId="14" xr:uid="{00000000-0005-0000-0000-000006000000}"/>
    <cellStyle name="Normal 3 2 10" xfId="3477" xr:uid="{00000000-0005-0000-0000-000004000000}"/>
    <cellStyle name="Normal 3 2 10 2" xfId="3970" xr:uid="{9A78A00C-C1F4-4AAC-B232-517A317029D6}"/>
    <cellStyle name="Normal 3 2 10 3" xfId="3724" xr:uid="{97E773AF-ABD6-4A21-9328-D00D3A48B862}"/>
    <cellStyle name="Normal 3 2 11" xfId="2911" xr:uid="{00000000-0005-0000-0000-0000B8090000}"/>
    <cellStyle name="Normal 3 2 11 2" xfId="3826" xr:uid="{233859C9-0E83-479E-BAAA-4696BF65DCB1}"/>
    <cellStyle name="Normal 3 2 11 3" xfId="3580" xr:uid="{B054C5F3-230A-4763-9D3A-20715694A99C}"/>
    <cellStyle name="Normal 3 2 12" xfId="3731" xr:uid="{5C23B1C1-331A-4F12-898C-01981C1ED180}"/>
    <cellStyle name="Normal 3 2 13" xfId="3485" xr:uid="{380884D1-71BF-4B47-BA07-5DB03A7C0A65}"/>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3 2 2" xfId="3973" xr:uid="{D67EF18A-D85A-4C5B-97CF-B49092B7E7E8}"/>
    <cellStyle name="Normal 3 2 2 3 2 3" xfId="3727" xr:uid="{16F2690D-35F8-4A12-93C0-17FBD3BAB792}"/>
    <cellStyle name="Normal 3 2 2 3 3" xfId="3739" xr:uid="{BC671C6C-448A-41A1-A375-63866CBC101B}"/>
    <cellStyle name="Normal 3 2 2 3 4" xfId="3493" xr:uid="{ED98E919-52F2-4AFC-AEA6-4782D737F388}"/>
    <cellStyle name="Normal 3 2 2 4" xfId="2869" xr:uid="{00000000-0005-0000-0000-000018090000}"/>
    <cellStyle name="Normal 3 2 2 4 2" xfId="3784" xr:uid="{0A0402CA-FD63-43B6-A00D-30774C796932}"/>
    <cellStyle name="Normal 3 2 2 4 3" xfId="3538" xr:uid="{137C50E8-DE93-41C2-A0B0-FF65102C1BA3}"/>
    <cellStyle name="Normal 3 2 2 5" xfId="2914" xr:uid="{00000000-0005-0000-0000-0000B9090000}"/>
    <cellStyle name="Normal 3 2 2 5 2" xfId="3829" xr:uid="{F79350DC-92AD-4B3C-93E6-BE2C777A5641}"/>
    <cellStyle name="Normal 3 2 2 5 3" xfId="3583" xr:uid="{14F04330-F001-41C4-AED6-AA3E34CCAAAC}"/>
    <cellStyle name="Normal 3 2 2 6" xfId="3734" xr:uid="{A57B4722-9A18-42B2-AB88-2FCBDA152226}"/>
    <cellStyle name="Normal 3 2 2 7" xfId="3488" xr:uid="{233852F6-B56E-471D-9910-900930CA9632}"/>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2 2 2" xfId="3916" xr:uid="{A5AE8709-B4EA-4111-A773-60AA12C761CE}"/>
    <cellStyle name="Normal 3 2 3 2 2 2 3" xfId="3670" xr:uid="{FA83A0A2-9636-4723-8CC2-6B22A0A5D2F2}"/>
    <cellStyle name="Normal 3 2 3 2 2 3" xfId="3815" xr:uid="{7848B95A-4423-45E6-852D-A78C0D13473A}"/>
    <cellStyle name="Normal 3 2 3 2 2 4" xfId="3569" xr:uid="{90E58A46-A143-4E53-82D0-79C83CC165D0}"/>
    <cellStyle name="Normal 3 2 3 2 3" xfId="3445" xr:uid="{00000000-0005-0000-0000-0000BE090000}"/>
    <cellStyle name="Normal 3 2 3 2 3 2" xfId="3956" xr:uid="{D6BCEFFF-98A8-444B-94D4-4E1084E965FF}"/>
    <cellStyle name="Normal 3 2 3 2 3 3" xfId="3710" xr:uid="{899C1B4A-82AF-4517-ACA0-BAAD6F7013B1}"/>
    <cellStyle name="Normal 3 2 3 2 4" xfId="2945" xr:uid="{00000000-0005-0000-0000-0000BC090000}"/>
    <cellStyle name="Normal 3 2 3 2 4 2" xfId="3860" xr:uid="{DC930CC9-A276-498B-A2AF-1DC5DB12384B}"/>
    <cellStyle name="Normal 3 2 3 2 4 3" xfId="3614" xr:uid="{EF708AA0-52E1-41C7-AC4C-D67F7B55714F}"/>
    <cellStyle name="Normal 3 2 3 2 5" xfId="3770" xr:uid="{B3383D4F-4020-40D6-AED9-BA8CE156ADB8}"/>
    <cellStyle name="Normal 3 2 3 2 6" xfId="3524" xr:uid="{CA3E3924-74C6-41AA-9431-F0290AD8B974}"/>
    <cellStyle name="Normal 3 2 3 3" xfId="2883" xr:uid="{00000000-0005-0000-0000-00001A090000}"/>
    <cellStyle name="Normal 3 2 3 3 2" xfId="2984" xr:uid="{00000000-0005-0000-0000-0000BF090000}"/>
    <cellStyle name="Normal 3 2 3 3 2 2" xfId="3899" xr:uid="{DF40413B-8542-4106-A95C-E32871ED4181}"/>
    <cellStyle name="Normal 3 2 3 3 2 3" xfId="3653" xr:uid="{69ECEE86-02FC-4B34-B226-0E8BB8D3AC3A}"/>
    <cellStyle name="Normal 3 2 3 3 3" xfId="3798" xr:uid="{A4D776CE-AEF2-4A37-8146-C4E2E5202C55}"/>
    <cellStyle name="Normal 3 2 3 3 4" xfId="3552" xr:uid="{AC281225-1210-4E98-B517-1831B8451D48}"/>
    <cellStyle name="Normal 3 2 3 4" xfId="3427" xr:uid="{00000000-0005-0000-0000-0000C0090000}"/>
    <cellStyle name="Normal 3 2 3 4 2" xfId="3939" xr:uid="{5540A0C6-ED52-4CEB-9CFC-386EC09478C8}"/>
    <cellStyle name="Normal 3 2 3 4 3" xfId="3693" xr:uid="{FFFA2EDD-6311-4E01-AD39-FE7F4FC9BF53}"/>
    <cellStyle name="Normal 3 2 3 5" xfId="2928" xr:uid="{00000000-0005-0000-0000-0000BB090000}"/>
    <cellStyle name="Normal 3 2 3 5 2" xfId="3843" xr:uid="{96357ABE-3E8F-4CD1-AB78-F611B24C0936}"/>
    <cellStyle name="Normal 3 2 3 5 3" xfId="3597" xr:uid="{23EF7BE6-BA26-44C5-BA88-9B2D27AA6B05}"/>
    <cellStyle name="Normal 3 2 3 6" xfId="3753" xr:uid="{C357FB97-6F25-4518-817F-184384646FE9}"/>
    <cellStyle name="Normal 3 2 3 7" xfId="3507" xr:uid="{30690400-2E06-4D1C-B0E2-CEDFC1EE1B82}"/>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2 2 2" xfId="3910" xr:uid="{DC9BE1EA-BEA8-4999-A0F3-7E0999818CDB}"/>
    <cellStyle name="Normal 3 2 4 2 2 2 3" xfId="3664" xr:uid="{DD2D0D06-CD8B-487A-8D83-4A108BA50D18}"/>
    <cellStyle name="Normal 3 2 4 2 2 3" xfId="3809" xr:uid="{F8247DBE-B782-4EC6-A588-72478111392D}"/>
    <cellStyle name="Normal 3 2 4 2 2 4" xfId="3563" xr:uid="{F842E047-79B3-411C-8175-508A0979991E}"/>
    <cellStyle name="Normal 3 2 4 2 3" xfId="3439" xr:uid="{00000000-0005-0000-0000-0000C4090000}"/>
    <cellStyle name="Normal 3 2 4 2 3 2" xfId="3950" xr:uid="{72811561-ED44-4433-8A67-0837C66ADF0E}"/>
    <cellStyle name="Normal 3 2 4 2 3 3" xfId="3704" xr:uid="{52B7858E-2546-4AF9-8E6E-E976AA44F2F8}"/>
    <cellStyle name="Normal 3 2 4 2 4" xfId="2939" xr:uid="{00000000-0005-0000-0000-0000C2090000}"/>
    <cellStyle name="Normal 3 2 4 2 4 2" xfId="3854" xr:uid="{32B383C5-5EDA-4118-A67E-97355D33E4AD}"/>
    <cellStyle name="Normal 3 2 4 2 4 3" xfId="3608" xr:uid="{A6BC73CB-6552-46B3-80BD-17665BDD8032}"/>
    <cellStyle name="Normal 3 2 4 2 5" xfId="3764" xr:uid="{63B93746-3B4C-4083-BD6C-6783173D6D6A}"/>
    <cellStyle name="Normal 3 2 4 2 6" xfId="3518" xr:uid="{74449622-EFE7-4EA6-8E5D-54CF69813543}"/>
    <cellStyle name="Normal 3 2 4 3" xfId="2877" xr:uid="{00000000-0005-0000-0000-00001C090000}"/>
    <cellStyle name="Normal 3 2 4 3 2" xfId="2962" xr:uid="{00000000-0005-0000-0000-0000C5090000}"/>
    <cellStyle name="Normal 3 2 4 3 2 2" xfId="3877" xr:uid="{4D89D68D-3BC4-4891-BA44-329F9FB8A666}"/>
    <cellStyle name="Normal 3 2 4 3 2 3" xfId="3631" xr:uid="{2A275CFE-F899-46A5-8800-2EED1A9D9F4F}"/>
    <cellStyle name="Normal 3 2 4 3 3" xfId="3792" xr:uid="{036751DB-E1DE-4E00-BAE7-83FB9826A763}"/>
    <cellStyle name="Normal 3 2 4 3 4" xfId="3546" xr:uid="{B850878E-51D3-434E-BF23-DD8993448C66}"/>
    <cellStyle name="Normal 3 2 4 4" xfId="3022" xr:uid="{00000000-0005-0000-0000-0000C6090000}"/>
    <cellStyle name="Normal 3 2 4 4 2" xfId="3933" xr:uid="{D255D256-090C-4C34-94A4-9BF2F826AF5A}"/>
    <cellStyle name="Normal 3 2 4 4 3" xfId="3687" xr:uid="{7559C947-3A10-4092-86CF-7812929797AA}"/>
    <cellStyle name="Normal 3 2 4 5" xfId="2922" xr:uid="{00000000-0005-0000-0000-0000C1090000}"/>
    <cellStyle name="Normal 3 2 4 5 2" xfId="3837" xr:uid="{3910B4B8-37E1-445C-B194-7D837E1A9EC3}"/>
    <cellStyle name="Normal 3 2 4 5 3" xfId="3591" xr:uid="{B97599B0-75E2-4BB9-9602-CFE11A08933F}"/>
    <cellStyle name="Normal 3 2 4 6" xfId="3747" xr:uid="{ED9BD9B6-AC50-4599-83BA-0F84740533EB}"/>
    <cellStyle name="Normal 3 2 4 7" xfId="3501" xr:uid="{95CAC63C-5478-4B54-88ED-24906272C5EA}"/>
    <cellStyle name="Normal 3 2 5" xfId="28" xr:uid="{00000000-0005-0000-0000-00001E090000}"/>
    <cellStyle name="Normal 3 2 5 2" xfId="2874" xr:uid="{00000000-0005-0000-0000-00001E090000}"/>
    <cellStyle name="Normal 3 2 5 2 2" xfId="2959" xr:uid="{00000000-0005-0000-0000-0000C8090000}"/>
    <cellStyle name="Normal 3 2 5 2 2 2" xfId="3874" xr:uid="{75629C64-4345-4959-A3BB-BA96DF7CD689}"/>
    <cellStyle name="Normal 3 2 5 2 2 3" xfId="3628" xr:uid="{6B0CCC6D-3BEB-4248-8921-C1DA0993A1A3}"/>
    <cellStyle name="Normal 3 2 5 2 3" xfId="3789" xr:uid="{D807C2D8-E9F1-4875-AE93-3B219302ED8F}"/>
    <cellStyle name="Normal 3 2 5 2 4" xfId="3543" xr:uid="{40029172-AA85-42A1-BF0C-5980A9191B12}"/>
    <cellStyle name="Normal 3 2 5 3" xfId="3015" xr:uid="{00000000-0005-0000-0000-0000C9090000}"/>
    <cellStyle name="Normal 3 2 5 3 2" xfId="3930" xr:uid="{287BF979-DC0F-4798-BFB4-0367DE11A26F}"/>
    <cellStyle name="Normal 3 2 5 3 3" xfId="3684" xr:uid="{5467548C-368E-419C-BAE2-8926C63576EA}"/>
    <cellStyle name="Normal 3 2 5 4" xfId="2919" xr:uid="{00000000-0005-0000-0000-0000C7090000}"/>
    <cellStyle name="Normal 3 2 5 4 2" xfId="3834" xr:uid="{1B155897-B56A-425A-A4D4-59D1F0ACC700}"/>
    <cellStyle name="Normal 3 2 5 4 3" xfId="3588" xr:uid="{357F0515-F342-4BE2-9B93-16CD2E4D621E}"/>
    <cellStyle name="Normal 3 2 5 5" xfId="3744" xr:uid="{8BC6FAD3-F7F4-45D7-867A-02B624FB4A27}"/>
    <cellStyle name="Normal 3 2 5 6" xfId="3498" xr:uid="{795FD1C6-3105-4538-93A7-55EAFF77D483}"/>
    <cellStyle name="Normal 3 2 6" xfId="2844" xr:uid="{00000000-0005-0000-0000-00001F090000}"/>
    <cellStyle name="Normal 3 2 6 2" xfId="2891" xr:uid="{00000000-0005-0000-0000-00001F090000}"/>
    <cellStyle name="Normal 3 2 6 2 2" xfId="2992" xr:uid="{00000000-0005-0000-0000-0000CB090000}"/>
    <cellStyle name="Normal 3 2 6 2 2 2" xfId="3907" xr:uid="{BBD3D9A2-19D8-4808-99E4-A1F17E311AF7}"/>
    <cellStyle name="Normal 3 2 6 2 2 3" xfId="3661" xr:uid="{F1BB3FBA-EAD4-4F22-BD74-33F6084287D4}"/>
    <cellStyle name="Normal 3 2 6 2 3" xfId="3806" xr:uid="{3510F9A9-A33D-4F64-AD6B-D8499B5DC4E9}"/>
    <cellStyle name="Normal 3 2 6 2 4" xfId="3560" xr:uid="{22A3F612-6C27-4C18-9EA6-6EC9B9C3EF66}"/>
    <cellStyle name="Normal 3 2 6 3" xfId="3436" xr:uid="{00000000-0005-0000-0000-0000CC090000}"/>
    <cellStyle name="Normal 3 2 6 3 2" xfId="3947" xr:uid="{B0B4D2A1-5BD3-4B3E-AE15-F6AE4063EDC0}"/>
    <cellStyle name="Normal 3 2 6 3 3" xfId="3701" xr:uid="{2710D477-4E1A-4BEA-8E5A-15892FC60BFD}"/>
    <cellStyle name="Normal 3 2 6 4" xfId="2936" xr:uid="{00000000-0005-0000-0000-0000CA090000}"/>
    <cellStyle name="Normal 3 2 6 4 2" xfId="3851" xr:uid="{DFC4628E-EEDD-41CA-A4CB-8B6E96C9D8D6}"/>
    <cellStyle name="Normal 3 2 6 4 3" xfId="3605" xr:uid="{3D645CED-53A2-413E-8C5C-3BEB02AB00F6}"/>
    <cellStyle name="Normal 3 2 6 5" xfId="3761" xr:uid="{8C899729-8351-43D1-843A-3C812C57B660}"/>
    <cellStyle name="Normal 3 2 6 6" xfId="3515" xr:uid="{7F82604D-90EF-42B7-8AD8-1F939BD3AB4D}"/>
    <cellStyle name="Normal 3 2 7" xfId="25" xr:uid="{00000000-0005-0000-0000-000020090000}"/>
    <cellStyle name="Normal 3 2 7 2" xfId="2871" xr:uid="{00000000-0005-0000-0000-000020090000}"/>
    <cellStyle name="Normal 3 2 7 2 2" xfId="3786" xr:uid="{4BB92F88-44A8-4F7C-A745-48C7A4046701}"/>
    <cellStyle name="Normal 3 2 7 2 3" xfId="3540" xr:uid="{C1AE41C0-A7FE-4626-8D2B-63812A8EE280}"/>
    <cellStyle name="Normal 3 2 7 3" xfId="2916" xr:uid="{00000000-0005-0000-0000-0000CD090000}"/>
    <cellStyle name="Normal 3 2 7 3 2" xfId="3831" xr:uid="{4121AD1F-281B-4ADA-B58D-1B4C2A9E4314}"/>
    <cellStyle name="Normal 3 2 7 3 3" xfId="3585" xr:uid="{F1F05BDA-35E4-419F-B313-0EB02BD5F6D8}"/>
    <cellStyle name="Normal 3 2 7 4" xfId="3741" xr:uid="{432D3E42-CA0D-417D-9DB6-F5419AEDCEA7}"/>
    <cellStyle name="Normal 3 2 7 5" xfId="3495" xr:uid="{92DCEF2A-9BEA-4E4A-BD88-F287CEED85D9}"/>
    <cellStyle name="Normal 3 2 8" xfId="20" xr:uid="{00000000-0005-0000-0000-000017090000}"/>
    <cellStyle name="Normal 3 2 8 2" xfId="2956" xr:uid="{00000000-0005-0000-0000-0000CE090000}"/>
    <cellStyle name="Normal 3 2 8 2 2" xfId="3871" xr:uid="{7B7BC327-97A5-463B-9DA5-CEB3A2788E4B}"/>
    <cellStyle name="Normal 3 2 8 2 3" xfId="3625" xr:uid="{7819E807-AF38-4A55-B0EA-A5AB644C7E78}"/>
    <cellStyle name="Normal 3 2 8 3" xfId="3736" xr:uid="{71C99986-3AD0-4722-8336-05044583D6CB}"/>
    <cellStyle name="Normal 3 2 8 4" xfId="3490" xr:uid="{8CC14D9E-816E-441C-8FB0-3FE7C298BF03}"/>
    <cellStyle name="Normal 3 2 9" xfId="2866" xr:uid="{00000000-0005-0000-0000-000017090000}"/>
    <cellStyle name="Normal 3 2 9 2" xfId="3012" xr:uid="{00000000-0005-0000-0000-0000CF090000}"/>
    <cellStyle name="Normal 3 2 9 2 2" xfId="3927" xr:uid="{2F03C447-6DCC-4B97-B19D-C905C67453EA}"/>
    <cellStyle name="Normal 3 2 9 2 3" xfId="3681" xr:uid="{0137F80A-21E4-4C89-A84E-D512841F7C57}"/>
    <cellStyle name="Normal 3 2 9 3" xfId="3781" xr:uid="{0D63366F-372D-467C-9C9F-CC88F4F029D7}"/>
    <cellStyle name="Normal 3 2 9 4" xfId="3535" xr:uid="{0F129FB2-77E7-40E6-900E-4AE82094E839}"/>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2 3 2" xfId="3887" xr:uid="{A39DD3B5-5F10-4EC4-BA18-BB6D465E16F6}"/>
    <cellStyle name="Normal 3 3 2 3 3" xfId="3641" xr:uid="{49CDD95A-3CEE-4682-A2D7-CA697D323B98}"/>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2 2 2" xfId="3914" xr:uid="{ED1FEB25-352F-4AEC-97CE-5E6F8F2DF5FE}"/>
    <cellStyle name="Normal 3 4 2 2 2 3" xfId="3668" xr:uid="{A39307F2-7484-4578-A96E-20B957CB9881}"/>
    <cellStyle name="Normal 3 4 2 2 3" xfId="3813" xr:uid="{21D4F96A-DD9E-4FD7-BC3B-71169F2568C9}"/>
    <cellStyle name="Normal 3 4 2 2 4" xfId="3567" xr:uid="{EDC53590-7FE0-4356-B332-7A3D298AAC49}"/>
    <cellStyle name="Normal 3 4 2 3" xfId="3443" xr:uid="{00000000-0005-0000-0000-0000D8090000}"/>
    <cellStyle name="Normal 3 4 2 3 2" xfId="3954" xr:uid="{8AB58223-2798-4893-B54A-AA45B30D70FA}"/>
    <cellStyle name="Normal 3 4 2 3 3" xfId="3708" xr:uid="{8F2411A9-9D82-4B15-9569-7833242124D0}"/>
    <cellStyle name="Normal 3 4 2 4" xfId="2943" xr:uid="{00000000-0005-0000-0000-0000D6090000}"/>
    <cellStyle name="Normal 3 4 2 4 2" xfId="3858" xr:uid="{7B7FF085-6101-4E95-9723-AF41ED1CBDBB}"/>
    <cellStyle name="Normal 3 4 2 4 3" xfId="3612" xr:uid="{68467B12-1C09-417C-9B1B-A462990BDC91}"/>
    <cellStyle name="Normal 3 4 2 5" xfId="3768" xr:uid="{B9A6C005-56CF-4CD7-B384-C8ACFED7CDB4}"/>
    <cellStyle name="Normal 3 4 2 6" xfId="3522" xr:uid="{FE32DF4A-4780-4A79-A10F-7E5E31BC56E5}"/>
    <cellStyle name="Normal 3 4 3" xfId="2881" xr:uid="{00000000-0005-0000-0000-000025090000}"/>
    <cellStyle name="Normal 3 4 3 2" xfId="2982" xr:uid="{00000000-0005-0000-0000-0000D9090000}"/>
    <cellStyle name="Normal 3 4 3 2 2" xfId="3897" xr:uid="{B4CBC8E4-5991-4458-B6AE-24063FC7FA81}"/>
    <cellStyle name="Normal 3 4 3 2 3" xfId="3651" xr:uid="{5CDAA9FC-58CD-4942-8812-4FEF18B09E08}"/>
    <cellStyle name="Normal 3 4 3 3" xfId="3796" xr:uid="{88583712-488A-412F-9B4F-9984877EDE52}"/>
    <cellStyle name="Normal 3 4 3 4" xfId="3550" xr:uid="{99D6FA2B-93AB-4E36-9A7A-D6AE88ED468C}"/>
    <cellStyle name="Normal 3 4 4" xfId="3419" xr:uid="{00000000-0005-0000-0000-0000DA090000}"/>
    <cellStyle name="Normal 3 4 4 2" xfId="3937" xr:uid="{E21C65EB-F071-441F-B77D-7905D8474A5E}"/>
    <cellStyle name="Normal 3 4 4 3" xfId="3691" xr:uid="{4A0D7F69-F8D9-4D2A-BAA1-8DE57699C18D}"/>
    <cellStyle name="Normal 3 4 5" xfId="2926" xr:uid="{00000000-0005-0000-0000-0000D5090000}"/>
    <cellStyle name="Normal 3 4 5 2" xfId="3841" xr:uid="{E8959F46-5816-4AA1-BAF3-925FA1868709}"/>
    <cellStyle name="Normal 3 4 5 3" xfId="3595" xr:uid="{1C4F4A84-5697-440E-8E73-58324DC58E96}"/>
    <cellStyle name="Normal 3 4 6" xfId="3751" xr:uid="{712E0995-59E0-4374-943D-2798AC6F868B}"/>
    <cellStyle name="Normal 3 4 7" xfId="3505" xr:uid="{AAF51056-8AA6-449D-8447-FCAC56B6B0C2}"/>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2 2 2" xfId="3918" xr:uid="{A1F03636-CBAD-4F36-B5A7-4D108D89B4E0}"/>
    <cellStyle name="Normal 3 5 2 2 2 3" xfId="3672" xr:uid="{FD736043-589F-4748-A5C9-0BFC40922DB5}"/>
    <cellStyle name="Normal 3 5 2 2 3" xfId="3817" xr:uid="{2A0A8E6B-C2E1-4312-AE6C-6CD6CE9D6FDB}"/>
    <cellStyle name="Normal 3 5 2 2 4" xfId="3571" xr:uid="{3A1EA6A0-7A67-478C-AAA6-26CD7C25F1ED}"/>
    <cellStyle name="Normal 3 5 2 3" xfId="3447" xr:uid="{00000000-0005-0000-0000-0000DE090000}"/>
    <cellStyle name="Normal 3 5 2 3 2" xfId="3958" xr:uid="{B63876C9-B87F-45E8-AA2D-807A8788BD7C}"/>
    <cellStyle name="Normal 3 5 2 3 3" xfId="3712" xr:uid="{F8D3B819-8F55-4573-B455-5B982D1790A1}"/>
    <cellStyle name="Normal 3 5 2 4" xfId="2947" xr:uid="{00000000-0005-0000-0000-0000DC090000}"/>
    <cellStyle name="Normal 3 5 2 4 2" xfId="3862" xr:uid="{C9681E54-61AE-4606-BA25-FF512649C30E}"/>
    <cellStyle name="Normal 3 5 2 4 3" xfId="3616" xr:uid="{CE725F41-B537-4352-AA7A-E951D75E5D9C}"/>
    <cellStyle name="Normal 3 5 2 5" xfId="3772" xr:uid="{3B844B38-76F6-4F19-A1CE-7F9CA4F657C9}"/>
    <cellStyle name="Normal 3 5 2 6" xfId="3526" xr:uid="{F3E9E584-30C9-42D2-A708-8B75B454B00B}"/>
    <cellStyle name="Normal 3 5 3" xfId="2885" xr:uid="{00000000-0005-0000-0000-000027090000}"/>
    <cellStyle name="Normal 3 5 3 2" xfId="2986" xr:uid="{00000000-0005-0000-0000-0000DF090000}"/>
    <cellStyle name="Normal 3 5 3 2 2" xfId="3901" xr:uid="{571E5EB0-1416-49A0-87D2-2B38EF61AA41}"/>
    <cellStyle name="Normal 3 5 3 2 3" xfId="3655" xr:uid="{D5A2C211-16EA-485B-8610-DD02AFF9ED9F}"/>
    <cellStyle name="Normal 3 5 3 3" xfId="3800" xr:uid="{2672A40E-8952-4414-9D84-A96D891C6B53}"/>
    <cellStyle name="Normal 3 5 3 4" xfId="3554" xr:uid="{13322DB2-F06C-48ED-B0EA-30C38C168DBC}"/>
    <cellStyle name="Normal 3 5 4" xfId="3429" xr:uid="{00000000-0005-0000-0000-0000E0090000}"/>
    <cellStyle name="Normal 3 5 4 2" xfId="3941" xr:uid="{509AB1A7-3D0B-4C85-B610-034F34945371}"/>
    <cellStyle name="Normal 3 5 4 3" xfId="3695" xr:uid="{35465660-190F-4B77-B40C-C4B166F67D77}"/>
    <cellStyle name="Normal 3 5 5" xfId="2930" xr:uid="{00000000-0005-0000-0000-0000DB090000}"/>
    <cellStyle name="Normal 3 5 5 2" xfId="3845" xr:uid="{129751BE-C411-4697-AD49-40B23CB879A4}"/>
    <cellStyle name="Normal 3 5 5 3" xfId="3599" xr:uid="{49A42767-824B-4D59-971A-DF0E1F999D41}"/>
    <cellStyle name="Normal 3 5 6" xfId="3755" xr:uid="{93D04B1E-ACBC-42EC-B8B6-6A821E8503AD}"/>
    <cellStyle name="Normal 3 5 7" xfId="3509" xr:uid="{54834789-5B11-456D-A7C1-078F2EB98EF1}"/>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2 2 2" xfId="3920" xr:uid="{672BDCE7-3223-4E20-ACE3-1D556BB5522A}"/>
    <cellStyle name="Normal 3 6 2 2 2 3" xfId="3674" xr:uid="{05699BF6-776A-403B-900D-1D7F8E0510CB}"/>
    <cellStyle name="Normal 3 6 2 2 3" xfId="3819" xr:uid="{20E933AC-8563-4526-8B22-4996E65F9ACB}"/>
    <cellStyle name="Normal 3 6 2 2 4" xfId="3573" xr:uid="{6156A49B-D11A-4604-AE01-D88C00152DEB}"/>
    <cellStyle name="Normal 3 6 2 3" xfId="3449" xr:uid="{00000000-0005-0000-0000-0000E4090000}"/>
    <cellStyle name="Normal 3 6 2 3 2" xfId="3960" xr:uid="{0860F0F0-427C-404A-AE0C-B625F0422625}"/>
    <cellStyle name="Normal 3 6 2 3 3" xfId="3714" xr:uid="{B165F610-1D28-452D-80DB-59B96C1FC70F}"/>
    <cellStyle name="Normal 3 6 2 4" xfId="2949" xr:uid="{00000000-0005-0000-0000-0000E2090000}"/>
    <cellStyle name="Normal 3 6 2 4 2" xfId="3864" xr:uid="{BA79A44E-943B-4D94-A239-BE0167FCEB09}"/>
    <cellStyle name="Normal 3 6 2 4 3" xfId="3618" xr:uid="{53CFE3B1-515F-47B9-8A61-3DD0DF5D9B19}"/>
    <cellStyle name="Normal 3 6 2 5" xfId="3774" xr:uid="{FCDE891E-4A45-4E6C-B498-C71049B7A727}"/>
    <cellStyle name="Normal 3 6 2 6" xfId="3528" xr:uid="{20AC80F6-4416-4686-BDB5-EAC8371FBDB6}"/>
    <cellStyle name="Normal 3 6 3" xfId="2887" xr:uid="{00000000-0005-0000-0000-000029090000}"/>
    <cellStyle name="Normal 3 6 3 2" xfId="2988" xr:uid="{00000000-0005-0000-0000-0000E5090000}"/>
    <cellStyle name="Normal 3 6 3 2 2" xfId="3903" xr:uid="{60322C5B-41E8-4636-9875-136021FBCB95}"/>
    <cellStyle name="Normal 3 6 3 2 3" xfId="3657" xr:uid="{3FFAB610-4D1B-4F40-944D-630A64F5D4D4}"/>
    <cellStyle name="Normal 3 6 3 3" xfId="3802" xr:uid="{4A6847B4-B142-4D15-9A93-46668C55EE99}"/>
    <cellStyle name="Normal 3 6 3 4" xfId="3556" xr:uid="{EB23989E-5544-403A-8016-324D2219B5A1}"/>
    <cellStyle name="Normal 3 6 4" xfId="3431" xr:uid="{00000000-0005-0000-0000-0000E6090000}"/>
    <cellStyle name="Normal 3 6 4 2" xfId="3943" xr:uid="{6336A32B-FFB5-409E-81A5-88C6A2F54288}"/>
    <cellStyle name="Normal 3 6 4 3" xfId="3697" xr:uid="{A27E330D-ABA2-40E3-96D5-B5FC8AA9E914}"/>
    <cellStyle name="Normal 3 6 5" xfId="2932" xr:uid="{00000000-0005-0000-0000-0000E1090000}"/>
    <cellStyle name="Normal 3 6 5 2" xfId="3847" xr:uid="{EB8C3612-877B-4C3A-ADED-0CC5A52B5A39}"/>
    <cellStyle name="Normal 3 6 5 3" xfId="3601" xr:uid="{E60FF8AB-45B0-4E32-B8E6-45D28EEFFC28}"/>
    <cellStyle name="Normal 3 6 6" xfId="3757" xr:uid="{0E70EABA-4F02-4171-A3A4-33C8EA276F78}"/>
    <cellStyle name="Normal 3 6 7" xfId="3511" xr:uid="{D7109F96-F619-4054-A8DE-DB7C8E96C0E9}"/>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2 2 2" xfId="3909" xr:uid="{A9DC292D-78C6-429C-816D-2C0C8451C516}"/>
    <cellStyle name="Normal 3 7 2 2 2 3" xfId="3663" xr:uid="{74CE581D-FD58-48D3-9EFA-B5871883F515}"/>
    <cellStyle name="Normal 3 7 2 2 3" xfId="3808" xr:uid="{1057B9F2-84C8-4F29-BF80-7D18CFF11BC8}"/>
    <cellStyle name="Normal 3 7 2 2 4" xfId="3562" xr:uid="{B8E98BA1-E2E1-4B0A-A3AC-808B571F530A}"/>
    <cellStyle name="Normal 3 7 2 3" xfId="3438" xr:uid="{00000000-0005-0000-0000-0000EA090000}"/>
    <cellStyle name="Normal 3 7 2 3 2" xfId="3949" xr:uid="{56727020-85AC-46A3-8514-B30881F804B7}"/>
    <cellStyle name="Normal 3 7 2 3 3" xfId="3703" xr:uid="{7D45272D-A43A-44C3-A62D-44FECE10AD55}"/>
    <cellStyle name="Normal 3 7 2 4" xfId="2938" xr:uid="{00000000-0005-0000-0000-0000E8090000}"/>
    <cellStyle name="Normal 3 7 2 4 2" xfId="3853" xr:uid="{9148F01C-0694-49B4-B404-3BD877CE5837}"/>
    <cellStyle name="Normal 3 7 2 4 3" xfId="3607" xr:uid="{07C26ED2-448F-4676-AA67-CE5A47F4D4EB}"/>
    <cellStyle name="Normal 3 7 2 5" xfId="3763" xr:uid="{5ED3F0DE-AAD4-47F5-A404-FC90EA74F1EC}"/>
    <cellStyle name="Normal 3 7 2 6" xfId="3517" xr:uid="{70981C69-58D1-40AF-9114-4B98B8545579}"/>
    <cellStyle name="Normal 3 7 3" xfId="2876" xr:uid="{00000000-0005-0000-0000-00002B090000}"/>
    <cellStyle name="Normal 3 7 3 2" xfId="2961" xr:uid="{00000000-0005-0000-0000-0000EB090000}"/>
    <cellStyle name="Normal 3 7 3 2 2" xfId="3876" xr:uid="{7AB7CCB5-E1E9-41FD-9F25-940515BA7BCA}"/>
    <cellStyle name="Normal 3 7 3 2 3" xfId="3630" xr:uid="{17982CAA-D7B2-40B8-AF91-BAAEFCA2FED7}"/>
    <cellStyle name="Normal 3 7 3 3" xfId="3791" xr:uid="{AD61BF47-AD30-4271-BCA4-3BE3A1F00396}"/>
    <cellStyle name="Normal 3 7 3 4" xfId="3545" xr:uid="{548F46E7-2249-467F-9849-40C45472E4EE}"/>
    <cellStyle name="Normal 3 7 4" xfId="3017" xr:uid="{00000000-0005-0000-0000-0000EC090000}"/>
    <cellStyle name="Normal 3 7 4 2" xfId="3932" xr:uid="{E65EAF44-1803-4E19-AAA0-479DF6E99968}"/>
    <cellStyle name="Normal 3 7 4 3" xfId="3686" xr:uid="{93020E82-B067-432B-A593-23089E0FDB7A}"/>
    <cellStyle name="Normal 3 7 5" xfId="2921" xr:uid="{00000000-0005-0000-0000-0000E7090000}"/>
    <cellStyle name="Normal 3 7 5 2" xfId="3836" xr:uid="{8D7831F6-D637-4E4C-A478-CFCC0D6E07A9}"/>
    <cellStyle name="Normal 3 7 5 3" xfId="3590" xr:uid="{B7492FC9-1030-4CFE-817C-2E307F68E004}"/>
    <cellStyle name="Normal 3 7 6" xfId="3746" xr:uid="{7F8C7F04-8C33-4936-B918-99339AC3FC5A}"/>
    <cellStyle name="Normal 3 7 7" xfId="3500" xr:uid="{2A84E8CB-F92C-4B35-A1A8-4B9EDB3AFB82}"/>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2 2 2" xfId="3908" xr:uid="{6EBDAEB4-B75C-402C-9045-0E68188D5131}"/>
    <cellStyle name="Normal 3 8 2 2 2 3" xfId="3662" xr:uid="{B6058A68-7323-4C76-90BB-22BB4E9310BC}"/>
    <cellStyle name="Normal 3 8 2 2 3" xfId="3807" xr:uid="{EFE2DEA9-F5CF-451C-890B-F426514C9777}"/>
    <cellStyle name="Normal 3 8 2 2 4" xfId="3561" xr:uid="{582F3DE1-DBA2-457C-AF9E-5A8456E151E4}"/>
    <cellStyle name="Normal 3 8 2 3" xfId="3437" xr:uid="{00000000-0005-0000-0000-0000F0090000}"/>
    <cellStyle name="Normal 3 8 2 3 2" xfId="3948" xr:uid="{F9CE9925-D3FE-4A69-AC6D-FA979B10073A}"/>
    <cellStyle name="Normal 3 8 2 3 3" xfId="3702" xr:uid="{3BE661A8-BC29-42D9-9FD1-77440B542007}"/>
    <cellStyle name="Normal 3 8 2 4" xfId="2937" xr:uid="{00000000-0005-0000-0000-0000EE090000}"/>
    <cellStyle name="Normal 3 8 2 4 2" xfId="3852" xr:uid="{5E57C9D0-EEDF-4F96-AB5B-370D3BCEE752}"/>
    <cellStyle name="Normal 3 8 2 4 3" xfId="3606" xr:uid="{5F20F080-7832-464C-826C-FCD416E9BE45}"/>
    <cellStyle name="Normal 3 8 2 5" xfId="3762" xr:uid="{F5E76B08-F974-48B4-BF84-8D2C985E84B1}"/>
    <cellStyle name="Normal 3 8 2 6" xfId="3516" xr:uid="{5F222249-3A58-4C99-B2A5-E7A5FDE79D97}"/>
    <cellStyle name="Normal 3 8 3" xfId="2875" xr:uid="{00000000-0005-0000-0000-00002D090000}"/>
    <cellStyle name="Normal 3 8 3 2" xfId="2960" xr:uid="{00000000-0005-0000-0000-0000F1090000}"/>
    <cellStyle name="Normal 3 8 3 2 2" xfId="3875" xr:uid="{436EFCD2-5B65-4C94-9A6C-CAB0B663286A}"/>
    <cellStyle name="Normal 3 8 3 2 3" xfId="3629" xr:uid="{C4F2F3C3-4DEE-4290-8A9B-E3667E51762E}"/>
    <cellStyle name="Normal 3 8 3 3" xfId="3790" xr:uid="{E0695F32-CE71-41B3-B867-E4BEEEFB8B04}"/>
    <cellStyle name="Normal 3 8 3 4" xfId="3544" xr:uid="{0320A5CC-19D2-4E14-A791-EBE00CB5CE5B}"/>
    <cellStyle name="Normal 3 8 4" xfId="3016" xr:uid="{00000000-0005-0000-0000-0000F2090000}"/>
    <cellStyle name="Normal 3 8 4 2" xfId="3931" xr:uid="{5A4585D8-8527-453D-AC3E-F73C09BCD086}"/>
    <cellStyle name="Normal 3 8 4 3" xfId="3685" xr:uid="{EE228A3C-4A6D-47A8-80A8-17EF4C9A4193}"/>
    <cellStyle name="Normal 3 8 5" xfId="2920" xr:uid="{00000000-0005-0000-0000-0000ED090000}"/>
    <cellStyle name="Normal 3 8 5 2" xfId="3835" xr:uid="{EA66E7A6-0C26-4BA0-92C3-DE43A1C99FDB}"/>
    <cellStyle name="Normal 3 8 5 3" xfId="3589" xr:uid="{402506EF-D3FE-4D9D-840B-AE086B28F357}"/>
    <cellStyle name="Normal 3 8 6" xfId="3745" xr:uid="{96F21959-2FB6-4978-85DA-17D4290037D9}"/>
    <cellStyle name="Normal 3 8 7" xfId="3499" xr:uid="{781D5217-5D47-467B-94CD-9C7217F225FF}"/>
    <cellStyle name="Normal 3 9" xfId="27" xr:uid="{00000000-0005-0000-0000-00002F090000}"/>
    <cellStyle name="Normal 3 9 2" xfId="2873" xr:uid="{00000000-0005-0000-0000-00002F090000}"/>
    <cellStyle name="Normal 3 9 2 2" xfId="2958" xr:uid="{00000000-0005-0000-0000-0000F4090000}"/>
    <cellStyle name="Normal 3 9 2 2 2" xfId="3873" xr:uid="{CBBDD436-410C-4AED-B8F1-F15CE0CA0782}"/>
    <cellStyle name="Normal 3 9 2 2 3" xfId="3627" xr:uid="{C09FFFF7-1044-4FE7-B9FA-20BE6E7574CD}"/>
    <cellStyle name="Normal 3 9 2 3" xfId="3788" xr:uid="{E51EFE79-20C8-4E01-B1C7-FFC9DFE82DAB}"/>
    <cellStyle name="Normal 3 9 2 4" xfId="3542" xr:uid="{4CAB0EFD-C3AC-4674-964B-84EE6E4FED24}"/>
    <cellStyle name="Normal 3 9 3" xfId="3014" xr:uid="{00000000-0005-0000-0000-0000F5090000}"/>
    <cellStyle name="Normal 3 9 3 2" xfId="3929" xr:uid="{76A14677-A30E-4DD1-9BCD-418D749B866F}"/>
    <cellStyle name="Normal 3 9 3 3" xfId="3683" xr:uid="{849A89CA-F98C-4369-BE36-1808890DDE49}"/>
    <cellStyle name="Normal 3 9 4" xfId="2918" xr:uid="{00000000-0005-0000-0000-0000F3090000}"/>
    <cellStyle name="Normal 3 9 4 2" xfId="3833" xr:uid="{E5D5C2E0-6559-4B8B-AAB5-045688A708C8}"/>
    <cellStyle name="Normal 3 9 4 3" xfId="3587" xr:uid="{349CEBA2-4643-4326-B598-A6DE6DD56BF2}"/>
    <cellStyle name="Normal 3 9 5" xfId="3743" xr:uid="{06E5E761-D944-42D1-BEF6-E3619E1E08F1}"/>
    <cellStyle name="Normal 3 9 6" xfId="3497" xr:uid="{A7FFD196-DD15-4747-943B-FA40114A375B}"/>
    <cellStyle name="Normal 4" xfId="16" xr:uid="{00000000-0005-0000-0000-000008000000}"/>
    <cellStyle name="Normal 4 10" xfId="2867" xr:uid="{00000000-0005-0000-0000-000030090000}"/>
    <cellStyle name="Normal 4 10 2" xfId="3013" xr:uid="{00000000-0005-0000-0000-0000F7090000}"/>
    <cellStyle name="Normal 4 10 2 2" xfId="3928" xr:uid="{8E712D63-18F3-4394-848B-9FA0B33C672C}"/>
    <cellStyle name="Normal 4 10 2 3" xfId="3682" xr:uid="{9B3FD6CB-C937-4E06-A375-9B57F8556E74}"/>
    <cellStyle name="Normal 4 10 3" xfId="3782" xr:uid="{4C670A51-90A8-4708-8DBC-C6FC03F9B665}"/>
    <cellStyle name="Normal 4 10 4" xfId="3536" xr:uid="{F096FE36-7976-4C4F-8FCF-8D472F25DC42}"/>
    <cellStyle name="Normal 4 11" xfId="3478" xr:uid="{00000000-0005-0000-0000-000006000000}"/>
    <cellStyle name="Normal 4 11 2" xfId="3971" xr:uid="{38D4B2EB-D291-41DD-A77B-5274321862BA}"/>
    <cellStyle name="Normal 4 11 3" xfId="3725" xr:uid="{7C7581CC-486A-4FE7-9EC7-8E55C88A470D}"/>
    <cellStyle name="Normal 4 12" xfId="2912" xr:uid="{00000000-0005-0000-0000-0000F6090000}"/>
    <cellStyle name="Normal 4 12 2" xfId="3827" xr:uid="{C29CC3D6-432C-4890-A80F-D98A6826EF47}"/>
    <cellStyle name="Normal 4 12 3" xfId="3581" xr:uid="{C2109E4A-E8BB-46AE-86A2-2E170E3087EA}"/>
    <cellStyle name="Normal 4 13" xfId="3732" xr:uid="{F940406D-9483-49AC-959D-F353ADF8D978}"/>
    <cellStyle name="Normal 4 14" xfId="3486" xr:uid="{8B7E51C5-6C5F-47D7-96B1-ACDA536A4E33}"/>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2 2 2" xfId="3915" xr:uid="{44829EA2-4C8A-43DD-B5E9-AEF640F5D9A7}"/>
    <cellStyle name="Normal 4 2 2 2 2 3" xfId="3669" xr:uid="{BC2C6635-ECF1-4D00-870A-C7439FB23AF3}"/>
    <cellStyle name="Normal 4 2 2 2 3" xfId="3814" xr:uid="{A30AFB84-9717-4F3C-A1B5-EDB1709D54A0}"/>
    <cellStyle name="Normal 4 2 2 2 4" xfId="3568" xr:uid="{2FDF4B4B-1568-476A-9E88-178370B83350}"/>
    <cellStyle name="Normal 4 2 2 3" xfId="3444" xr:uid="{00000000-0005-0000-0000-0000FB090000}"/>
    <cellStyle name="Normal 4 2 2 3 2" xfId="3955" xr:uid="{97B5A1EC-ABA7-42F2-B1CD-8FF22EA75175}"/>
    <cellStyle name="Normal 4 2 2 3 3" xfId="3709" xr:uid="{D36FA372-72A7-4BA8-9709-D32AD15E0BD5}"/>
    <cellStyle name="Normal 4 2 2 4" xfId="2944" xr:uid="{00000000-0005-0000-0000-0000F9090000}"/>
    <cellStyle name="Normal 4 2 2 4 2" xfId="3859" xr:uid="{17C0CB4E-328C-45A5-934E-6CA29C59F0A7}"/>
    <cellStyle name="Normal 4 2 2 4 3" xfId="3613" xr:uid="{E7531F90-1254-455C-B8AC-DF7374CC729F}"/>
    <cellStyle name="Normal 4 2 2 5" xfId="3769" xr:uid="{61300A13-E490-4BC3-B6B6-545FB029D394}"/>
    <cellStyle name="Normal 4 2 2 6" xfId="3523" xr:uid="{1348A69B-4305-44FB-A620-41CDDE7A45E2}"/>
    <cellStyle name="Normal 4 2 3" xfId="2882" xr:uid="{00000000-0005-0000-0000-000031090000}"/>
    <cellStyle name="Normal 4 2 3 2" xfId="2983" xr:uid="{00000000-0005-0000-0000-0000FC090000}"/>
    <cellStyle name="Normal 4 2 3 2 2" xfId="3898" xr:uid="{4CC98615-2B4A-4692-B303-45C8BCA86390}"/>
    <cellStyle name="Normal 4 2 3 2 3" xfId="3652" xr:uid="{F2BAC671-A06F-47BF-96CF-39F568D6EC58}"/>
    <cellStyle name="Normal 4 2 3 3" xfId="3797" xr:uid="{1A026F3E-F399-4448-8074-B7C581A46D28}"/>
    <cellStyle name="Normal 4 2 3 4" xfId="3551" xr:uid="{B9E6CA9B-090B-4B72-A3F1-D8BE160628ED}"/>
    <cellStyle name="Normal 4 2 4" xfId="3420" xr:uid="{00000000-0005-0000-0000-0000FD090000}"/>
    <cellStyle name="Normal 4 2 4 2" xfId="3938" xr:uid="{D19D5902-578B-455B-AC14-346723FEF664}"/>
    <cellStyle name="Normal 4 2 4 3" xfId="3692" xr:uid="{47546B56-BF72-4909-B545-F8957AE19C61}"/>
    <cellStyle name="Normal 4 2 5" xfId="2927" xr:uid="{00000000-0005-0000-0000-0000F8090000}"/>
    <cellStyle name="Normal 4 2 5 2" xfId="3842" xr:uid="{61993A91-4EA1-452B-9884-C8D85B18949B}"/>
    <cellStyle name="Normal 4 2 5 3" xfId="3596" xr:uid="{5C76A3FD-B745-4226-AC66-E1F250B7A8B1}"/>
    <cellStyle name="Normal 4 2 6" xfId="3752" xr:uid="{0D77FD4D-89A6-4175-AC58-712BD4235370}"/>
    <cellStyle name="Normal 4 2 7" xfId="3506" xr:uid="{FC2FB75F-C12C-435A-8127-30F80A4B0738}"/>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2 2 2" xfId="3919" xr:uid="{0C42B2FC-00F3-4EE0-B47E-0727B6FC90F0}"/>
    <cellStyle name="Normal 4 3 2 2 2 3" xfId="3673" xr:uid="{529EC431-7D74-412E-B640-BF88BF14356C}"/>
    <cellStyle name="Normal 4 3 2 2 3" xfId="3818" xr:uid="{D79CCAD5-6174-4515-9F52-15CB5D36B089}"/>
    <cellStyle name="Normal 4 3 2 2 4" xfId="3572" xr:uid="{2E61938C-A87A-4E44-92A2-4691067E0213}"/>
    <cellStyle name="Normal 4 3 2 3" xfId="3448" xr:uid="{00000000-0005-0000-0000-0000010A0000}"/>
    <cellStyle name="Normal 4 3 2 3 2" xfId="3959" xr:uid="{E67568F4-D586-44E1-9940-6D7661E3E177}"/>
    <cellStyle name="Normal 4 3 2 3 3" xfId="3713" xr:uid="{FB5FBE00-9578-44F1-92AE-79C75128FB25}"/>
    <cellStyle name="Normal 4 3 2 4" xfId="2948" xr:uid="{00000000-0005-0000-0000-0000FF090000}"/>
    <cellStyle name="Normal 4 3 2 4 2" xfId="3863" xr:uid="{477FEF3B-E9AA-4832-BF2E-135E97338C1F}"/>
    <cellStyle name="Normal 4 3 2 4 3" xfId="3617" xr:uid="{77FB248C-98C2-4F40-B5C6-E006147D4436}"/>
    <cellStyle name="Normal 4 3 2 5" xfId="3773" xr:uid="{1BF343BC-76B9-4584-BACE-5AD512597CDE}"/>
    <cellStyle name="Normal 4 3 2 6" xfId="3527" xr:uid="{B38BCCE1-A0C7-4C86-9DF3-D12A9F8EBB6A}"/>
    <cellStyle name="Normal 4 3 3" xfId="2886" xr:uid="{00000000-0005-0000-0000-000033090000}"/>
    <cellStyle name="Normal 4 3 3 2" xfId="2987" xr:uid="{00000000-0005-0000-0000-0000020A0000}"/>
    <cellStyle name="Normal 4 3 3 2 2" xfId="3902" xr:uid="{CA341E51-A050-4395-8290-DB42E40D6785}"/>
    <cellStyle name="Normal 4 3 3 2 3" xfId="3656" xr:uid="{70C1ABF1-4816-4782-A8C8-3489C123D1E8}"/>
    <cellStyle name="Normal 4 3 3 3" xfId="3801" xr:uid="{E9FD2EC3-82A8-4618-B70E-CDE5929D8595}"/>
    <cellStyle name="Normal 4 3 3 4" xfId="3555" xr:uid="{6432C797-670D-4869-A5AF-B87D572C8290}"/>
    <cellStyle name="Normal 4 3 4" xfId="3430" xr:uid="{00000000-0005-0000-0000-0000030A0000}"/>
    <cellStyle name="Normal 4 3 4 2" xfId="3942" xr:uid="{6C693640-3DEE-4AFB-88D6-B0213FA66D8A}"/>
    <cellStyle name="Normal 4 3 4 3" xfId="3696" xr:uid="{7362D89F-56D7-40BF-9B74-3AF3BD5D5F6B}"/>
    <cellStyle name="Normal 4 3 5" xfId="2931" xr:uid="{00000000-0005-0000-0000-0000FE090000}"/>
    <cellStyle name="Normal 4 3 5 2" xfId="3846" xr:uid="{9B73B860-6C34-4661-8C70-3B60F5E9D918}"/>
    <cellStyle name="Normal 4 3 5 3" xfId="3600" xr:uid="{97822731-2B7D-492D-BB1A-F35DC07E7D9F}"/>
    <cellStyle name="Normal 4 3 6" xfId="3756" xr:uid="{C4DEBCE1-ACBF-4904-8DF5-BFE9827B52C9}"/>
    <cellStyle name="Normal 4 3 7" xfId="3510" xr:uid="{727D53F7-3C62-421C-AEEF-472DCE230389}"/>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2 2 2" xfId="3922" xr:uid="{F9BF5ABB-F997-474F-A944-F575E64D0200}"/>
    <cellStyle name="Normal 4 4 2 2 2 3" xfId="3676" xr:uid="{342DC4D7-865F-4903-B921-C944648C3261}"/>
    <cellStyle name="Normal 4 4 2 2 3" xfId="3821" xr:uid="{EEAE98A2-5174-40E0-B390-A80C62FFE58D}"/>
    <cellStyle name="Normal 4 4 2 2 4" xfId="3575" xr:uid="{B945B60C-7449-42F5-A801-C8A5F25046B4}"/>
    <cellStyle name="Normal 4 4 2 3" xfId="3451" xr:uid="{00000000-0005-0000-0000-0000070A0000}"/>
    <cellStyle name="Normal 4 4 2 3 2" xfId="3962" xr:uid="{0F8CEE7D-16EB-40D7-8563-AA5B3624E534}"/>
    <cellStyle name="Normal 4 4 2 3 3" xfId="3716" xr:uid="{03588CA0-1F05-4E5B-A255-84D9EA3BB1BC}"/>
    <cellStyle name="Normal 4 4 2 4" xfId="2951" xr:uid="{00000000-0005-0000-0000-0000050A0000}"/>
    <cellStyle name="Normal 4 4 2 4 2" xfId="3866" xr:uid="{5D134A3F-AA6A-4AF2-B943-5B3FF7B5CFCB}"/>
    <cellStyle name="Normal 4 4 2 4 3" xfId="3620" xr:uid="{629C9FB8-9BF6-4E2F-A1FD-A2A7A947D724}"/>
    <cellStyle name="Normal 4 4 2 5" xfId="3776" xr:uid="{E8DB1AFA-9033-44D6-B03D-9369E504158D}"/>
    <cellStyle name="Normal 4 4 2 6" xfId="3530" xr:uid="{0C2ED276-9D20-4E37-8B27-16FEAF8A8828}"/>
    <cellStyle name="Normal 4 4 3" xfId="2889" xr:uid="{00000000-0005-0000-0000-000035090000}"/>
    <cellStyle name="Normal 4 4 3 2" xfId="2990" xr:uid="{00000000-0005-0000-0000-0000080A0000}"/>
    <cellStyle name="Normal 4 4 3 2 2" xfId="3905" xr:uid="{AC5B000B-912D-4E7E-960C-ECF7E764E02F}"/>
    <cellStyle name="Normal 4 4 3 2 3" xfId="3659" xr:uid="{5F4B9B9F-8C3A-4BF7-9198-457CE23652D2}"/>
    <cellStyle name="Normal 4 4 3 3" xfId="3804" xr:uid="{697A8872-5CDA-47E6-B5EB-B8B2B520AC22}"/>
    <cellStyle name="Normal 4 4 3 4" xfId="3558" xr:uid="{58D75B10-066D-465C-AF23-948CD77CE792}"/>
    <cellStyle name="Normal 4 4 4" xfId="3433" xr:uid="{00000000-0005-0000-0000-0000090A0000}"/>
    <cellStyle name="Normal 4 4 4 2" xfId="3945" xr:uid="{791C0F70-F2EB-4E5F-A428-446A82A9F31A}"/>
    <cellStyle name="Normal 4 4 4 3" xfId="3699" xr:uid="{2346CF08-88AA-4E86-A744-F6E0DFC83E2F}"/>
    <cellStyle name="Normal 4 4 5" xfId="2934" xr:uid="{00000000-0005-0000-0000-0000040A0000}"/>
    <cellStyle name="Normal 4 4 5 2" xfId="3849" xr:uid="{6C2FE3DE-3BDE-4053-AB76-2193D6FB235F}"/>
    <cellStyle name="Normal 4 4 5 3" xfId="3603" xr:uid="{17A0E754-7E54-4695-BA49-57E2797B3913}"/>
    <cellStyle name="Normal 4 4 6" xfId="3759" xr:uid="{B42FB19B-763B-4989-B7D3-F51FB0E3165A}"/>
    <cellStyle name="Normal 4 4 7" xfId="3513" xr:uid="{E08B5E53-A269-4A11-9B8E-3A88C964A599}"/>
    <cellStyle name="Normal 4 5" xfId="219" xr:uid="{00000000-0005-0000-0000-000037090000}"/>
    <cellStyle name="Normal 4 5 2" xfId="2879" xr:uid="{00000000-0005-0000-0000-000037090000}"/>
    <cellStyle name="Normal 4 5 2 2" xfId="2973" xr:uid="{00000000-0005-0000-0000-00000B0A0000}"/>
    <cellStyle name="Normal 4 5 2 2 2" xfId="3888" xr:uid="{24617EB5-7C8F-4388-992B-BAF115483BA4}"/>
    <cellStyle name="Normal 4 5 2 2 3" xfId="3642" xr:uid="{D2006C8B-8DB2-4E61-8260-04878D0B057D}"/>
    <cellStyle name="Normal 4 5 2 3" xfId="3794" xr:uid="{0E62F235-B1AA-41B1-8572-5D5ECF56CD08}"/>
    <cellStyle name="Normal 4 5 2 4" xfId="3548" xr:uid="{8F656602-FFCB-42E0-B7DD-015D8635BED4}"/>
    <cellStyle name="Normal 4 5 3" xfId="3034" xr:uid="{00000000-0005-0000-0000-00000C0A0000}"/>
    <cellStyle name="Normal 4 5 3 2" xfId="3935" xr:uid="{39ADDC04-1D29-45BB-B50E-EF1031E55E49}"/>
    <cellStyle name="Normal 4 5 3 3" xfId="3689" xr:uid="{E1C5F83D-99B0-453A-8C1F-333A18F8A714}"/>
    <cellStyle name="Normal 4 5 4" xfId="2924" xr:uid="{00000000-0005-0000-0000-00000A0A0000}"/>
    <cellStyle name="Normal 4 5 4 2" xfId="3839" xr:uid="{ED990DCA-AC5D-4C2C-B8AA-2355FC0BAD99}"/>
    <cellStyle name="Normal 4 5 4 3" xfId="3593" xr:uid="{C9B215CC-12A2-4F0D-8575-BD74921C25E7}"/>
    <cellStyle name="Normal 4 5 5" xfId="3749" xr:uid="{179D5A65-72B6-422D-BFF5-3BE992DBB5A7}"/>
    <cellStyle name="Normal 4 5 6" xfId="3503" xr:uid="{1CF60FDF-6706-4C93-9353-58C1D82BE8FC}"/>
    <cellStyle name="Normal 4 6" xfId="2849" xr:uid="{00000000-0005-0000-0000-000038090000}"/>
    <cellStyle name="Normal 4 6 2" xfId="2896" xr:uid="{00000000-0005-0000-0000-000038090000}"/>
    <cellStyle name="Normal 4 6 2 2" xfId="2997" xr:uid="{00000000-0005-0000-0000-00000E0A0000}"/>
    <cellStyle name="Normal 4 6 2 2 2" xfId="3912" xr:uid="{0273BF86-7F45-4C70-B4D2-E83BC72D7446}"/>
    <cellStyle name="Normal 4 6 2 2 3" xfId="3666" xr:uid="{87CBEACB-B805-4C11-8F2D-62EE963D54EC}"/>
    <cellStyle name="Normal 4 6 2 3" xfId="3811" xr:uid="{C5E74900-FBA1-4EC3-9607-35DC51DB4EF4}"/>
    <cellStyle name="Normal 4 6 2 4" xfId="3565" xr:uid="{52C85E52-E1DC-4A14-9E9F-B95B9B9D13C5}"/>
    <cellStyle name="Normal 4 6 3" xfId="3441" xr:uid="{00000000-0005-0000-0000-00000F0A0000}"/>
    <cellStyle name="Normal 4 6 3 2" xfId="3952" xr:uid="{7EDB3D6C-84B8-4032-AEA8-0209A4189C2B}"/>
    <cellStyle name="Normal 4 6 3 3" xfId="3706" xr:uid="{776979A4-06CE-4527-9BE8-2BF0E08D54D6}"/>
    <cellStyle name="Normal 4 6 4" xfId="2941" xr:uid="{00000000-0005-0000-0000-00000D0A0000}"/>
    <cellStyle name="Normal 4 6 4 2" xfId="3856" xr:uid="{3BF38B05-26AA-40BE-BF7C-04A500B9ACFE}"/>
    <cellStyle name="Normal 4 6 4 3" xfId="3610" xr:uid="{9CE6721F-1F8A-4470-ABFA-0A931518F713}"/>
    <cellStyle name="Normal 4 6 5" xfId="3766" xr:uid="{2BC142BB-D5B3-423B-932E-9F91701635B2}"/>
    <cellStyle name="Normal 4 6 6" xfId="3520" xr:uid="{83613618-24F1-442E-A215-9828659F34BF}"/>
    <cellStyle name="Normal 4 7" xfId="2864" xr:uid="{00000000-0005-0000-0000-000039090000}"/>
    <cellStyle name="Normal 4 8" xfId="26" xr:uid="{00000000-0005-0000-0000-00003A090000}"/>
    <cellStyle name="Normal 4 8 2" xfId="2872" xr:uid="{00000000-0005-0000-0000-00003A090000}"/>
    <cellStyle name="Normal 4 8 2 2" xfId="3787" xr:uid="{293AD3E8-9A99-46E6-9E22-5D0C6B10BDD1}"/>
    <cellStyle name="Normal 4 8 2 3" xfId="3541" xr:uid="{89D62101-E60C-4969-A9C8-DE200DEFAA9B}"/>
    <cellStyle name="Normal 4 8 3" xfId="2917" xr:uid="{00000000-0005-0000-0000-0000110A0000}"/>
    <cellStyle name="Normal 4 8 3 2" xfId="3832" xr:uid="{597EA6AE-32F8-4942-A0E0-1C17616DE3DC}"/>
    <cellStyle name="Normal 4 8 3 3" xfId="3586" xr:uid="{8540285C-6BCE-4697-87A0-C87CE3ED6129}"/>
    <cellStyle name="Normal 4 8 4" xfId="3742" xr:uid="{79160E7B-EA3B-4AAC-A1D7-B3760D8C62FA}"/>
    <cellStyle name="Normal 4 8 5" xfId="3496" xr:uid="{4138BCDE-806E-45E9-9F14-BDB3D4E8B9A6}"/>
    <cellStyle name="Normal 4 9" xfId="21" xr:uid="{00000000-0005-0000-0000-000030090000}"/>
    <cellStyle name="Normal 4 9 2" xfId="2957" xr:uid="{00000000-0005-0000-0000-0000120A0000}"/>
    <cellStyle name="Normal 4 9 2 2" xfId="3872" xr:uid="{BEDA2B6A-8496-4CA7-9D5A-7D7E6A4E835E}"/>
    <cellStyle name="Normal 4 9 2 3" xfId="3626" xr:uid="{80C3A27D-F79C-4EB8-8A99-8EE13E9DCDA1}"/>
    <cellStyle name="Normal 4 9 3" xfId="3737" xr:uid="{9DD71706-7A9C-4DF1-93E5-6F18E15CDE3A}"/>
    <cellStyle name="Normal 4 9 4" xfId="3491" xr:uid="{8F6D9F56-1902-4595-A698-1C243CF7F2CC}"/>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4 2 2" xfId="3972" xr:uid="{3B3F7441-15D4-474E-A68D-D3EBE2EEC91B}"/>
    <cellStyle name="Normal 5 4 2 3" xfId="3726" xr:uid="{5C3B19D5-92FE-4E9F-906E-E3576B8BE697}"/>
    <cellStyle name="Normal 5 4 3" xfId="3738" xr:uid="{26709121-E71F-42B6-94A0-5935BEC83DE5}"/>
    <cellStyle name="Normal 5 4 4" xfId="3492" xr:uid="{EC1CE34D-A881-472D-B031-A39B8E775EF7}"/>
    <cellStyle name="Normal 5 5" xfId="2868" xr:uid="{00000000-0005-0000-0000-00003B090000}"/>
    <cellStyle name="Normal 5 5 2" xfId="3783" xr:uid="{30DC0365-175C-4F3C-AA27-0C4A88F94E9A}"/>
    <cellStyle name="Normal 5 5 3" xfId="3537" xr:uid="{253796CE-784B-4BF6-9424-E36C80E7E940}"/>
    <cellStyle name="Normal 5 6" xfId="2913" xr:uid="{00000000-0005-0000-0000-0000130A0000}"/>
    <cellStyle name="Normal 5 6 2" xfId="3828" xr:uid="{AE3FC8FC-609E-4AF7-821D-A8176FA4819A}"/>
    <cellStyle name="Normal 5 6 3" xfId="3582" xr:uid="{53C28DE6-F674-4D26-BE68-84FABD524563}"/>
    <cellStyle name="Normal 5 7" xfId="3733" xr:uid="{E5489099-27A7-43A5-8425-8D8A467C5A78}"/>
    <cellStyle name="Normal 5 8" xfId="3487" xr:uid="{6814EB13-6E08-46B5-A337-8F80F961DED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3 2 2" xfId="3923" xr:uid="{39D77C97-3D94-47F0-984B-6525C74AD91B}"/>
    <cellStyle name="Normal 7 3 2 3" xfId="3677" xr:uid="{56165309-2911-4CCC-90E5-E41D4D858434}"/>
    <cellStyle name="Normal 7 3 3" xfId="3822" xr:uid="{50439AFF-9E03-4C6A-B2E8-F38BF5E96243}"/>
    <cellStyle name="Normal 7 3 4" xfId="3576" xr:uid="{24527A41-ADDA-4785-9613-B0288A4CCFB6}"/>
    <cellStyle name="Normal 7 4" xfId="3452" xr:uid="{00000000-0005-0000-0000-00001B0A0000}"/>
    <cellStyle name="Normal 7 4 2" xfId="3963" xr:uid="{CE4ED7D2-CC6C-4585-872F-25755D4BF930}"/>
    <cellStyle name="Normal 7 4 3" xfId="3717" xr:uid="{4359B6F5-45AF-491E-ACD6-0191327F05F2}"/>
    <cellStyle name="Normal 7 5" xfId="2952" xr:uid="{00000000-0005-0000-0000-0000180A0000}"/>
    <cellStyle name="Normal 7 5 2" xfId="3867" xr:uid="{A8AC2722-513B-4111-9CD4-083B414FAB49}"/>
    <cellStyle name="Normal 7 5 3" xfId="3621" xr:uid="{E3B55C1B-3180-41BB-8216-8A1EC08CD5D0}"/>
    <cellStyle name="Normal 7 6" xfId="3777" xr:uid="{AFC27DEF-AD7F-47C5-96EC-F03454AF32DD}"/>
    <cellStyle name="Normal 7 7" xfId="3531" xr:uid="{31C5A4C6-A421-4F1F-80F3-23B7AD0EFC78}"/>
    <cellStyle name="Normal 8" xfId="3473" xr:uid="{00000000-0005-0000-0000-00001C0A0000}"/>
    <cellStyle name="Normal 8 2" xfId="2263" xr:uid="{00000000-0005-0000-0000-000042090000}"/>
    <cellStyle name="Normal 8 3" xfId="3966" xr:uid="{1CD14D3B-ED0F-4039-901C-2A43BF699F93}"/>
    <cellStyle name="Normal 8 4" xfId="3720" xr:uid="{0B138620-1BDB-4009-B41E-ED22332EE7E8}"/>
    <cellStyle name="Normal 9" xfId="3728" xr:uid="{3882AA3D-1A32-43EF-AFE3-F25DE3FCF481}"/>
    <cellStyle name="Normal 9 2" xfId="2264" xr:uid="{00000000-0005-0000-0000-000043090000}"/>
    <cellStyle name="Normal 9 3" xfId="3974" xr:uid="{D2E67C0F-E0C7-48C1-9E68-CEE0575C813A}"/>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6" t="s">
        <v>405</v>
      </c>
      <c r="J1" s="2057"/>
      <c r="K1" s="2057"/>
      <c r="L1" s="2057"/>
      <c r="M1" s="2057"/>
      <c r="N1" s="2057"/>
      <c r="O1" s="2057"/>
      <c r="P1" s="2057"/>
      <c r="Q1" s="2057"/>
      <c r="R1" s="2057"/>
      <c r="S1" s="2057"/>
    </row>
    <row r="2" spans="1:28" ht="12" customHeight="1" x14ac:dyDescent="0.2">
      <c r="A2" s="47" t="s">
        <v>1993</v>
      </c>
      <c r="D2" s="48"/>
      <c r="I2" s="2058" t="s">
        <v>979</v>
      </c>
      <c r="J2" s="2057"/>
      <c r="K2" s="2057"/>
      <c r="L2" s="2057"/>
      <c r="M2" s="2057"/>
      <c r="N2" s="2057"/>
      <c r="O2" s="2057"/>
      <c r="P2" s="2057"/>
      <c r="Q2" s="2057"/>
      <c r="R2" s="2057"/>
      <c r="S2" s="2057"/>
    </row>
    <row r="3" spans="1:28" ht="12" customHeight="1" x14ac:dyDescent="0.2">
      <c r="A3" s="155" t="s">
        <v>1945</v>
      </c>
      <c r="B3" s="156"/>
      <c r="C3" s="156"/>
      <c r="D3" s="157"/>
      <c r="I3" s="2058" t="s">
        <v>52</v>
      </c>
      <c r="J3" s="2057"/>
      <c r="K3" s="2057"/>
      <c r="L3" s="2057"/>
      <c r="M3" s="2057"/>
      <c r="N3" s="2057"/>
      <c r="O3" s="2057"/>
      <c r="P3" s="2057"/>
      <c r="Q3" s="2057"/>
      <c r="R3" s="2057"/>
      <c r="S3" s="2057"/>
    </row>
    <row r="4" spans="1:28" ht="12" customHeight="1" x14ac:dyDescent="0.2">
      <c r="A4" s="37"/>
      <c r="I4" s="2058" t="s">
        <v>524</v>
      </c>
      <c r="J4" s="2057"/>
      <c r="K4" s="2057"/>
      <c r="L4" s="2057"/>
      <c r="M4" s="2057"/>
      <c r="N4" s="2057"/>
      <c r="O4" s="2057"/>
      <c r="P4" s="2057"/>
      <c r="Q4" s="2057"/>
      <c r="R4" s="2057"/>
      <c r="S4" s="2057"/>
    </row>
    <row r="5" spans="1:28" ht="14.1" customHeight="1" x14ac:dyDescent="0.2">
      <c r="B5" s="104" t="s">
        <v>2096</v>
      </c>
      <c r="C5" s="26" t="s">
        <v>910</v>
      </c>
      <c r="D5" s="84"/>
      <c r="E5" s="84"/>
      <c r="H5" s="38"/>
      <c r="I5" s="2066" t="s">
        <v>680</v>
      </c>
      <c r="J5" s="2065"/>
      <c r="K5" s="2065"/>
      <c r="L5" s="2065"/>
      <c r="M5" s="2065"/>
      <c r="N5" s="2065"/>
      <c r="O5" s="2065"/>
      <c r="P5" s="2065"/>
      <c r="Q5" s="2065"/>
      <c r="R5" s="2065"/>
      <c r="S5" s="2065"/>
    </row>
    <row r="6" spans="1:28" ht="14.1" customHeight="1" x14ac:dyDescent="0.2">
      <c r="B6" s="104"/>
      <c r="C6" s="26" t="s">
        <v>911</v>
      </c>
      <c r="D6" s="84"/>
      <c r="E6" s="84"/>
      <c r="I6" s="2064" t="s">
        <v>883</v>
      </c>
      <c r="J6" s="2065"/>
      <c r="K6" s="2065"/>
      <c r="L6" s="2065"/>
      <c r="M6" s="2065"/>
      <c r="N6" s="2065"/>
      <c r="O6" s="2065"/>
      <c r="P6" s="2065"/>
      <c r="Q6" s="2065"/>
      <c r="R6" s="2065"/>
      <c r="S6" s="2065"/>
    </row>
    <row r="7" spans="1:28" ht="12.2" customHeight="1" x14ac:dyDescent="0.2">
      <c r="I7" s="2059">
        <v>43646</v>
      </c>
      <c r="J7" s="2060"/>
      <c r="K7" s="2060"/>
      <c r="L7" s="2060"/>
      <c r="M7" s="2060"/>
      <c r="N7" s="2060"/>
      <c r="O7" s="2060"/>
      <c r="P7" s="2060"/>
      <c r="Q7" s="2060"/>
      <c r="R7" s="2060"/>
      <c r="S7" s="206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1" t="s">
        <v>674</v>
      </c>
      <c r="J9" s="2062"/>
      <c r="K9" s="2062"/>
      <c r="L9" s="2062"/>
      <c r="M9" s="2062"/>
      <c r="N9" s="2062"/>
      <c r="O9" s="2062"/>
      <c r="P9" s="2062"/>
      <c r="Q9" s="2062"/>
      <c r="R9" s="2062"/>
      <c r="S9" s="2063"/>
      <c r="T9" s="2077" t="s">
        <v>533</v>
      </c>
      <c r="U9" s="2078"/>
      <c r="V9" s="2078"/>
      <c r="W9" s="2078"/>
      <c r="X9" s="2078"/>
      <c r="Y9" s="2078"/>
      <c r="Z9" s="2078"/>
      <c r="AA9" s="2079"/>
    </row>
    <row r="10" spans="1:28" ht="13.5" customHeight="1" x14ac:dyDescent="0.2">
      <c r="A10" s="2084" t="s">
        <v>675</v>
      </c>
      <c r="B10" s="2085"/>
      <c r="C10" s="2085"/>
      <c r="D10" s="2085"/>
      <c r="E10" s="2085"/>
      <c r="F10" s="2085"/>
      <c r="G10" s="2085"/>
      <c r="H10" s="2086"/>
      <c r="I10" s="29"/>
      <c r="J10" s="30"/>
      <c r="K10" s="28"/>
      <c r="R10" s="30"/>
      <c r="S10" s="30"/>
      <c r="T10" s="2080"/>
      <c r="U10" s="2065"/>
      <c r="V10" s="2065"/>
      <c r="W10" s="2065"/>
      <c r="X10" s="2065"/>
      <c r="Y10" s="2065"/>
      <c r="Z10" s="2065"/>
      <c r="AA10" s="2071"/>
    </row>
    <row r="11" spans="1:28" ht="14.25" customHeight="1" x14ac:dyDescent="0.2">
      <c r="A11" s="2087" t="s">
        <v>955</v>
      </c>
      <c r="B11" s="2088"/>
      <c r="C11" s="2088"/>
      <c r="D11" s="2088"/>
      <c r="E11" s="2088"/>
      <c r="F11" s="2088"/>
      <c r="G11" s="2088"/>
      <c r="H11" s="2089"/>
      <c r="I11" s="27"/>
      <c r="J11" s="74"/>
      <c r="K11" s="27"/>
      <c r="O11" s="148" t="s">
        <v>2075</v>
      </c>
      <c r="P11" s="100" t="s">
        <v>201</v>
      </c>
      <c r="Q11" s="30"/>
      <c r="R11" s="28"/>
      <c r="S11" s="27"/>
      <c r="T11" s="2081"/>
      <c r="U11" s="2082"/>
      <c r="V11" s="2082"/>
      <c r="W11" s="2082"/>
      <c r="X11" s="2082"/>
      <c r="Y11" s="2082"/>
      <c r="Z11" s="2082"/>
      <c r="AA11" s="208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1">
        <v>44063046003</v>
      </c>
      <c r="B13" s="2092"/>
      <c r="C13" s="2092"/>
      <c r="D13" s="2092"/>
      <c r="E13" s="2092"/>
      <c r="F13" s="2092"/>
      <c r="G13" s="2092"/>
      <c r="H13" s="2093"/>
      <c r="I13" s="31"/>
      <c r="J13" s="30"/>
      <c r="K13" s="28"/>
      <c r="L13" s="30"/>
      <c r="M13" s="30"/>
      <c r="N13" s="30"/>
      <c r="O13" s="30"/>
      <c r="P13" s="30"/>
      <c r="Q13" s="30"/>
      <c r="R13" s="30"/>
      <c r="S13" s="30"/>
      <c r="T13" s="2096" t="s">
        <v>2064</v>
      </c>
      <c r="U13" s="2097"/>
      <c r="V13" s="2097"/>
      <c r="W13" s="2097"/>
      <c r="X13" s="2097"/>
      <c r="Y13" s="2098"/>
      <c r="Z13" s="2098"/>
      <c r="AA13" s="209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0" t="s">
        <v>2066</v>
      </c>
      <c r="B15" s="2094"/>
      <c r="C15" s="2094"/>
      <c r="D15" s="2094"/>
      <c r="E15" s="2094"/>
      <c r="F15" s="2094"/>
      <c r="G15" s="2094"/>
      <c r="H15" s="2095"/>
      <c r="T15" s="2100" t="s">
        <v>2097</v>
      </c>
      <c r="U15" s="2044"/>
      <c r="V15" s="2044"/>
      <c r="W15" s="2044"/>
      <c r="X15" s="2044"/>
      <c r="Y15" s="2101"/>
      <c r="Z15" s="2101"/>
      <c r="AA15" s="210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0" t="s">
        <v>2105</v>
      </c>
      <c r="B17" s="2051"/>
      <c r="C17" s="2051"/>
      <c r="D17" s="2051"/>
      <c r="E17" s="2051"/>
      <c r="F17" s="2051"/>
      <c r="G17" s="2051"/>
      <c r="H17" s="2076"/>
      <c r="T17" s="2107" t="s">
        <v>2065</v>
      </c>
      <c r="U17" s="2108"/>
      <c r="V17" s="2108"/>
      <c r="W17" s="2108"/>
      <c r="X17" s="2108"/>
      <c r="Y17" s="2108"/>
      <c r="Z17" s="2108"/>
      <c r="AA17" s="2109"/>
    </row>
    <row r="18" spans="1:27" ht="13.5" customHeight="1" x14ac:dyDescent="0.2">
      <c r="A18" s="85" t="s">
        <v>530</v>
      </c>
      <c r="B18" s="76"/>
      <c r="C18" s="72"/>
      <c r="D18" s="76"/>
      <c r="E18" s="76"/>
      <c r="F18" s="76"/>
      <c r="G18" s="76"/>
      <c r="H18" s="56"/>
      <c r="I18" s="2075" t="s">
        <v>676</v>
      </c>
      <c r="J18" s="2026"/>
      <c r="K18" s="2026"/>
      <c r="L18" s="2026"/>
      <c r="M18" s="2026"/>
      <c r="N18" s="2026"/>
      <c r="O18" s="2026"/>
      <c r="P18" s="2026"/>
      <c r="Q18" s="2026"/>
      <c r="R18" s="2026"/>
      <c r="S18" s="2027"/>
      <c r="T18" s="85" t="s">
        <v>711</v>
      </c>
      <c r="U18" s="51"/>
      <c r="V18" s="72"/>
      <c r="W18" s="50"/>
      <c r="X18" s="85" t="s">
        <v>266</v>
      </c>
      <c r="Y18" s="81"/>
      <c r="Z18" s="159" t="s">
        <v>677</v>
      </c>
      <c r="AA18" s="46"/>
    </row>
    <row r="19" spans="1:27" ht="13.5" customHeight="1" x14ac:dyDescent="0.2">
      <c r="A19" s="2090" t="s">
        <v>2072</v>
      </c>
      <c r="B19" s="2036"/>
      <c r="C19" s="2036"/>
      <c r="D19" s="2036"/>
      <c r="E19" s="2036"/>
      <c r="F19" s="2036"/>
      <c r="G19" s="2036"/>
      <c r="H19" s="2016"/>
      <c r="I19" s="30"/>
      <c r="J19" s="99"/>
      <c r="K19" s="40"/>
      <c r="L19" s="38"/>
      <c r="M19" s="112" t="s">
        <v>315</v>
      </c>
      <c r="P19" s="27"/>
      <c r="Q19" s="27"/>
      <c r="R19" s="27"/>
      <c r="S19" s="31"/>
      <c r="T19" s="2090" t="s">
        <v>2066</v>
      </c>
      <c r="U19" s="2015"/>
      <c r="V19" s="2015"/>
      <c r="W19" s="2016"/>
      <c r="X19" s="2105" t="s">
        <v>2067</v>
      </c>
      <c r="Y19" s="2106"/>
      <c r="Z19" s="2103">
        <v>60050</v>
      </c>
      <c r="AA19" s="210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4" t="s">
        <v>2073</v>
      </c>
      <c r="B21" s="2015"/>
      <c r="C21" s="2015"/>
      <c r="D21" s="2015"/>
      <c r="E21" s="2015"/>
      <c r="F21" s="2015"/>
      <c r="G21" s="2015"/>
      <c r="H21" s="2016"/>
      <c r="I21" s="2070" t="s">
        <v>678</v>
      </c>
      <c r="J21" s="2065"/>
      <c r="K21" s="2065"/>
      <c r="L21" s="2065"/>
      <c r="M21" s="2065"/>
      <c r="N21" s="2065"/>
      <c r="O21" s="2065"/>
      <c r="P21" s="2065"/>
      <c r="Q21" s="2065"/>
      <c r="R21" s="2065"/>
      <c r="S21" s="2071"/>
      <c r="T21" s="2114" t="s">
        <v>2068</v>
      </c>
      <c r="U21" s="2115"/>
      <c r="V21" s="2115"/>
      <c r="W21" s="2115"/>
      <c r="X21" s="2120" t="s">
        <v>2069</v>
      </c>
      <c r="Y21" s="2121"/>
      <c r="Z21" s="2121"/>
      <c r="AA21" s="2122"/>
    </row>
    <row r="22" spans="1:27" ht="13.5" customHeight="1" x14ac:dyDescent="0.2">
      <c r="A22" s="87" t="s">
        <v>531</v>
      </c>
      <c r="B22" s="59"/>
      <c r="C22" s="59"/>
      <c r="D22" s="59"/>
      <c r="E22" s="59"/>
      <c r="F22" s="59"/>
      <c r="G22" s="59"/>
      <c r="H22" s="60"/>
      <c r="I22" s="2072" t="s">
        <v>1429</v>
      </c>
      <c r="J22" s="2073"/>
      <c r="K22" s="2073"/>
      <c r="L22" s="2073"/>
      <c r="M22" s="2073"/>
      <c r="N22" s="2073"/>
      <c r="O22" s="2073"/>
      <c r="P22" s="2073"/>
      <c r="Q22" s="2073"/>
      <c r="R22" s="2073"/>
      <c r="S22" s="2074"/>
      <c r="T22" s="85" t="s">
        <v>1516</v>
      </c>
      <c r="U22" s="51"/>
      <c r="V22" s="72"/>
      <c r="W22" s="51"/>
      <c r="X22" s="160" t="s">
        <v>1318</v>
      </c>
      <c r="Z22" s="45"/>
      <c r="AA22" s="46"/>
    </row>
    <row r="23" spans="1:27" ht="13.5" customHeight="1" x14ac:dyDescent="0.2">
      <c r="A23" s="2067" t="s">
        <v>2074</v>
      </c>
      <c r="B23" s="2068"/>
      <c r="C23" s="2068"/>
      <c r="D23" s="2068"/>
      <c r="E23" s="2068"/>
      <c r="F23" s="2068"/>
      <c r="G23" s="2068"/>
      <c r="H23" s="2069"/>
      <c r="T23" s="2050" t="s">
        <v>2070</v>
      </c>
      <c r="U23" s="2113"/>
      <c r="V23" s="2113"/>
      <c r="W23" s="2113"/>
      <c r="X23" s="2117">
        <v>44530</v>
      </c>
      <c r="Y23" s="2118"/>
      <c r="Z23" s="2118"/>
      <c r="AA23" s="2119"/>
    </row>
    <row r="24" spans="1:27" ht="14.1" customHeight="1" x14ac:dyDescent="0.2">
      <c r="A24" s="88" t="s">
        <v>677</v>
      </c>
      <c r="B24" s="49"/>
      <c r="C24" s="49"/>
      <c r="D24" s="49"/>
      <c r="E24" s="49"/>
      <c r="F24" s="49"/>
      <c r="G24" s="49"/>
      <c r="H24" s="61"/>
      <c r="J24" s="2037">
        <f>IF(B5="x",IF(AUDITCHECK!D29="AFR form Incomplete.","",IF(AUDITCHECK!D29="Deficit reduction plan is required.","School District must complete a deficit reduction plan in the 2019-2020 Budget",)),"")</f>
        <v>0</v>
      </c>
      <c r="K24" s="2037"/>
      <c r="L24" s="2037"/>
      <c r="M24" s="2037"/>
      <c r="N24" s="2037"/>
      <c r="O24" s="2037"/>
      <c r="P24" s="2037"/>
      <c r="Q24" s="2037"/>
      <c r="R24" s="2037"/>
      <c r="S24" s="2038"/>
      <c r="T24" s="105" t="s">
        <v>531</v>
      </c>
      <c r="U24" s="106"/>
      <c r="V24" s="106"/>
      <c r="W24" s="106"/>
      <c r="X24" s="107"/>
      <c r="Y24" s="107"/>
      <c r="Z24" s="107"/>
      <c r="AA24" s="108"/>
    </row>
    <row r="25" spans="1:27" ht="14.1" customHeight="1" x14ac:dyDescent="0.2">
      <c r="A25" s="2014">
        <v>60014</v>
      </c>
      <c r="B25" s="2015"/>
      <c r="C25" s="2015"/>
      <c r="D25" s="2015"/>
      <c r="E25" s="2015"/>
      <c r="F25" s="2015"/>
      <c r="G25" s="2015"/>
      <c r="H25" s="2016"/>
      <c r="I25" s="113"/>
      <c r="J25" s="2039"/>
      <c r="K25" s="2039"/>
      <c r="L25" s="2039"/>
      <c r="M25" s="2039"/>
      <c r="N25" s="2039"/>
      <c r="O25" s="2039"/>
      <c r="P25" s="2039"/>
      <c r="Q25" s="2039"/>
      <c r="R25" s="2039"/>
      <c r="S25" s="2040"/>
      <c r="T25" s="2110" t="s">
        <v>2071</v>
      </c>
      <c r="U25" s="2111"/>
      <c r="V25" s="2111"/>
      <c r="W25" s="2111"/>
      <c r="X25" s="2111"/>
      <c r="Y25" s="2111"/>
      <c r="Z25" s="2111"/>
      <c r="AA25" s="211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5" t="s">
        <v>1511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t="s">
        <v>2075</v>
      </c>
      <c r="C29" s="124" t="s">
        <v>820</v>
      </c>
      <c r="D29" s="114"/>
      <c r="E29" s="136"/>
      <c r="F29" s="141" t="s">
        <v>1316</v>
      </c>
      <c r="G29" s="114"/>
      <c r="I29" s="54"/>
      <c r="J29" s="102"/>
      <c r="K29" s="28" t="s">
        <v>576</v>
      </c>
      <c r="L29" s="148" t="s">
        <v>2075</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2075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6"/>
      <c r="Q35" s="2015"/>
      <c r="R35" s="201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0"/>
      <c r="B38" s="2051"/>
      <c r="C38" s="2051"/>
      <c r="D38" s="2051"/>
      <c r="E38" s="2051"/>
      <c r="F38" s="2015"/>
      <c r="G38" s="2015"/>
      <c r="H38" s="2016"/>
      <c r="I38" s="2043"/>
      <c r="J38" s="2044"/>
      <c r="K38" s="2044"/>
      <c r="L38" s="2044"/>
      <c r="M38" s="2044"/>
      <c r="N38" s="2044"/>
      <c r="O38" s="2044"/>
      <c r="P38" s="2045"/>
      <c r="Q38" s="2045"/>
      <c r="R38" s="2045"/>
      <c r="S38" s="2046"/>
      <c r="T38" s="2100"/>
      <c r="U38" s="2044"/>
      <c r="V38" s="2044"/>
      <c r="W38" s="2044"/>
      <c r="X38" s="2045"/>
      <c r="Y38" s="2045"/>
      <c r="Z38" s="2045"/>
      <c r="AA38" s="2046"/>
    </row>
    <row r="39" spans="1:27" ht="12" customHeight="1" x14ac:dyDescent="0.2">
      <c r="A39" s="2020" t="s">
        <v>531</v>
      </c>
      <c r="B39" s="2021"/>
      <c r="C39" s="72"/>
      <c r="D39" s="69"/>
      <c r="E39" s="69"/>
      <c r="F39" s="79"/>
      <c r="G39" s="69"/>
      <c r="H39" s="56"/>
      <c r="I39" s="2020" t="s">
        <v>531</v>
      </c>
      <c r="J39" s="2021"/>
      <c r="K39" s="2021"/>
      <c r="L39" s="2021"/>
      <c r="M39" s="2021"/>
      <c r="N39" s="67"/>
      <c r="O39" s="72"/>
      <c r="P39" s="72"/>
      <c r="Q39" s="78"/>
      <c r="R39" s="72"/>
      <c r="S39" s="56"/>
      <c r="T39" s="72" t="s">
        <v>531</v>
      </c>
      <c r="U39" s="51"/>
      <c r="V39" s="72"/>
      <c r="W39" s="50"/>
      <c r="X39" s="78"/>
      <c r="Y39" s="45"/>
      <c r="Z39" s="45"/>
      <c r="AA39" s="46"/>
    </row>
    <row r="40" spans="1:27" ht="13.5" customHeight="1" x14ac:dyDescent="0.2">
      <c r="A40" s="2028"/>
      <c r="B40" s="2029"/>
      <c r="C40" s="2030"/>
      <c r="D40" s="2030"/>
      <c r="E40" s="2030"/>
      <c r="F40" s="2031"/>
      <c r="G40" s="2031"/>
      <c r="H40" s="2032"/>
      <c r="I40" s="2053"/>
      <c r="J40" s="2054"/>
      <c r="K40" s="2054"/>
      <c r="L40" s="2054"/>
      <c r="M40" s="2054"/>
      <c r="N40" s="2054"/>
      <c r="O40" s="2054"/>
      <c r="P40" s="2054"/>
      <c r="Q40" s="2054"/>
      <c r="R40" s="2054"/>
      <c r="S40" s="2055"/>
      <c r="T40" s="2053"/>
      <c r="U40" s="2116"/>
      <c r="V40" s="2054"/>
      <c r="W40" s="2054"/>
      <c r="X40" s="2054"/>
      <c r="Y40" s="2054"/>
      <c r="Z40" s="2054"/>
      <c r="AA40" s="20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2"/>
      <c r="B42" s="2034"/>
      <c r="C42" s="2035"/>
      <c r="D42" s="2033"/>
      <c r="E42" s="2034"/>
      <c r="F42" s="2034"/>
      <c r="G42" s="2034"/>
      <c r="H42" s="2035"/>
      <c r="I42" s="2017"/>
      <c r="J42" s="2018"/>
      <c r="K42" s="2018"/>
      <c r="L42" s="2018"/>
      <c r="M42" s="2018"/>
      <c r="N42" s="2018"/>
      <c r="O42" s="2019"/>
      <c r="P42" s="2052"/>
      <c r="Q42" s="2018"/>
      <c r="R42" s="2018"/>
      <c r="S42" s="2019"/>
      <c r="T42" s="2017"/>
      <c r="U42" s="2018"/>
      <c r="V42" s="2018"/>
      <c r="W42" s="2019"/>
      <c r="X42" s="2052"/>
      <c r="Y42" s="2018"/>
      <c r="Z42" s="2018"/>
      <c r="AA42" s="201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7"/>
      <c r="B44" s="2048"/>
      <c r="C44" s="2048"/>
      <c r="D44" s="2048"/>
      <c r="E44" s="2048"/>
      <c r="F44" s="2048"/>
      <c r="G44" s="2048"/>
      <c r="H44" s="2049"/>
      <c r="I44" s="2022"/>
      <c r="J44" s="2023"/>
      <c r="K44" s="2023"/>
      <c r="L44" s="2023"/>
      <c r="M44" s="2023"/>
      <c r="N44" s="2023"/>
      <c r="O44" s="2023"/>
      <c r="P44" s="2023"/>
      <c r="Q44" s="2023"/>
      <c r="R44" s="2023"/>
      <c r="S44" s="2024"/>
      <c r="T44" s="2022"/>
      <c r="U44" s="2041"/>
      <c r="V44" s="2041"/>
      <c r="W44" s="2041"/>
      <c r="X44" s="2041"/>
      <c r="Y44" s="2041"/>
      <c r="Z44" s="2023"/>
      <c r="AA44" s="202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22"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8" t="s">
        <v>1611</v>
      </c>
    </row>
    <row r="23" spans="1:5" x14ac:dyDescent="0.2">
      <c r="A23" s="168"/>
      <c r="B23" s="162" t="s">
        <v>1857</v>
      </c>
      <c r="D23" s="167" t="s">
        <v>637</v>
      </c>
      <c r="E23" s="1808"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6" t="s">
        <v>1065</v>
      </c>
      <c r="B35" s="2126"/>
      <c r="C35" s="2126"/>
      <c r="D35" s="2126"/>
      <c r="E35" s="212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3" t="s">
        <v>691</v>
      </c>
      <c r="B40" s="2123"/>
      <c r="C40" s="2123"/>
      <c r="D40" s="2123"/>
      <c r="E40" s="2123"/>
    </row>
    <row r="41" spans="1:5" x14ac:dyDescent="0.2">
      <c r="A41" s="2124" t="s">
        <v>1608</v>
      </c>
      <c r="B41" s="2124"/>
      <c r="C41" s="2124"/>
      <c r="D41" s="2124"/>
      <c r="E41" s="2124"/>
    </row>
    <row r="42" spans="1:5" ht="12.75" customHeight="1" x14ac:dyDescent="0.2">
      <c r="A42" s="2125" t="s">
        <v>1022</v>
      </c>
      <c r="B42" s="2125"/>
      <c r="C42" s="2125"/>
      <c r="D42" s="2125"/>
      <c r="E42" s="212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1"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7" t="s">
        <v>1168</v>
      </c>
      <c r="B2" s="2127"/>
      <c r="C2" s="2127"/>
      <c r="D2" s="2127"/>
      <c r="E2" s="2127"/>
      <c r="F2" s="2127"/>
      <c r="G2" s="2127"/>
      <c r="H2" s="2127"/>
      <c r="I2" s="2127"/>
      <c r="J2" s="212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t="s">
        <v>2075</v>
      </c>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1" t="s">
        <v>1633</v>
      </c>
      <c r="B35" s="2142"/>
      <c r="C35" s="2142"/>
      <c r="D35" s="2142"/>
      <c r="E35" s="2143"/>
      <c r="F35" s="2143"/>
      <c r="G35" s="2143"/>
      <c r="H35" s="2143"/>
      <c r="I35" s="214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1" t="s">
        <v>313</v>
      </c>
      <c r="B47" s="2144"/>
      <c r="C47" s="2144"/>
      <c r="D47" s="2144"/>
      <c r="E47" s="2145"/>
      <c r="F47" s="2145"/>
      <c r="G47" s="2145"/>
      <c r="H47" s="2145"/>
      <c r="I47" s="214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2075</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8"/>
      <c r="C57" s="2149"/>
      <c r="D57" s="2149"/>
      <c r="E57" s="2149"/>
      <c r="F57" s="2149"/>
      <c r="G57" s="2149"/>
      <c r="H57" s="2149"/>
      <c r="I57" s="2149"/>
      <c r="J57" s="2150"/>
    </row>
    <row r="58" spans="1:10" s="181" customFormat="1" x14ac:dyDescent="0.2">
      <c r="A58" s="253"/>
      <c r="B58" s="2151"/>
      <c r="C58" s="2152"/>
      <c r="D58" s="2152"/>
      <c r="E58" s="2152"/>
      <c r="F58" s="2152"/>
      <c r="G58" s="2152"/>
      <c r="H58" s="2152"/>
      <c r="I58" s="2152"/>
      <c r="J58" s="2153"/>
    </row>
    <row r="59" spans="1:10" s="181" customFormat="1" x14ac:dyDescent="0.2">
      <c r="A59" s="253"/>
      <c r="B59" s="2151"/>
      <c r="C59" s="2152"/>
      <c r="D59" s="2152"/>
      <c r="E59" s="2152"/>
      <c r="F59" s="2152"/>
      <c r="G59" s="2152"/>
      <c r="H59" s="2152"/>
      <c r="I59" s="2152"/>
      <c r="J59" s="2153"/>
    </row>
    <row r="60" spans="1:10" s="181" customFormat="1" x14ac:dyDescent="0.2">
      <c r="A60" s="253"/>
      <c r="B60" s="2151"/>
      <c r="C60" s="2152"/>
      <c r="D60" s="2152"/>
      <c r="E60" s="2152"/>
      <c r="F60" s="2152"/>
      <c r="G60" s="2152"/>
      <c r="H60" s="2152"/>
      <c r="I60" s="2152"/>
      <c r="J60" s="2153"/>
    </row>
    <row r="61" spans="1:10" s="181" customFormat="1" x14ac:dyDescent="0.2">
      <c r="A61" s="253"/>
      <c r="B61" s="2151"/>
      <c r="C61" s="2152"/>
      <c r="D61" s="2152"/>
      <c r="E61" s="2152"/>
      <c r="F61" s="2152"/>
      <c r="G61" s="2152"/>
      <c r="H61" s="2152"/>
      <c r="I61" s="2152"/>
      <c r="J61" s="2153"/>
    </row>
    <row r="62" spans="1:10" s="181" customFormat="1" x14ac:dyDescent="0.2">
      <c r="A62" s="253"/>
      <c r="B62" s="2151"/>
      <c r="C62" s="2152"/>
      <c r="D62" s="2152"/>
      <c r="E62" s="2152"/>
      <c r="F62" s="2152"/>
      <c r="G62" s="2152"/>
      <c r="H62" s="2152"/>
      <c r="I62" s="2152"/>
      <c r="J62" s="2153"/>
    </row>
    <row r="63" spans="1:10" s="181" customFormat="1" x14ac:dyDescent="0.2">
      <c r="A63" s="253"/>
      <c r="B63" s="2151"/>
      <c r="C63" s="2152"/>
      <c r="D63" s="2152"/>
      <c r="E63" s="2152"/>
      <c r="F63" s="2152"/>
      <c r="G63" s="2152"/>
      <c r="H63" s="2152"/>
      <c r="I63" s="2152"/>
      <c r="J63" s="2153"/>
    </row>
    <row r="64" spans="1:10" s="181" customFormat="1" x14ac:dyDescent="0.2">
      <c r="A64" s="253"/>
      <c r="B64" s="2151"/>
      <c r="C64" s="2152"/>
      <c r="D64" s="2152"/>
      <c r="E64" s="2152"/>
      <c r="F64" s="2152"/>
      <c r="G64" s="2152"/>
      <c r="H64" s="2152"/>
      <c r="I64" s="2152"/>
      <c r="J64" s="2153"/>
    </row>
    <row r="65" spans="1:10" s="181" customFormat="1" x14ac:dyDescent="0.2">
      <c r="A65" s="253"/>
      <c r="B65" s="2151"/>
      <c r="C65" s="2152"/>
      <c r="D65" s="2152"/>
      <c r="E65" s="2152"/>
      <c r="F65" s="2152"/>
      <c r="G65" s="2152"/>
      <c r="H65" s="2152"/>
      <c r="I65" s="2152"/>
      <c r="J65" s="2153"/>
    </row>
    <row r="66" spans="1:10" s="181" customFormat="1" x14ac:dyDescent="0.2">
      <c r="A66" s="253"/>
      <c r="B66" s="2151"/>
      <c r="C66" s="2152"/>
      <c r="D66" s="2152"/>
      <c r="E66" s="2152"/>
      <c r="F66" s="2152"/>
      <c r="G66" s="2152"/>
      <c r="H66" s="2152"/>
      <c r="I66" s="2152"/>
      <c r="J66" s="2153"/>
    </row>
    <row r="67" spans="1:10" s="181" customFormat="1" ht="9" customHeight="1" x14ac:dyDescent="0.2">
      <c r="A67" s="254"/>
      <c r="B67" s="2154"/>
      <c r="C67" s="2155"/>
      <c r="D67" s="2155"/>
      <c r="E67" s="2155"/>
      <c r="F67" s="2155"/>
      <c r="G67" s="2155"/>
      <c r="H67" s="2155"/>
      <c r="I67" s="2155"/>
      <c r="J67" s="215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1" t="s">
        <v>1323</v>
      </c>
      <c r="B70" s="2144"/>
      <c r="C70" s="2144"/>
      <c r="D70" s="2144"/>
      <c r="E70" s="2145"/>
      <c r="F70" s="2145"/>
      <c r="G70" s="2145"/>
      <c r="H70" s="2145"/>
      <c r="I70" s="214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6" t="s">
        <v>1320</v>
      </c>
      <c r="B83" s="2146"/>
      <c r="C83" s="2146"/>
      <c r="D83" s="214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8"/>
      <c r="C102" s="2129"/>
      <c r="D102" s="2129"/>
      <c r="E102" s="2129"/>
      <c r="F102" s="2129"/>
      <c r="G102" s="2129"/>
      <c r="H102" s="2129"/>
      <c r="I102" s="2130"/>
    </row>
    <row r="103" spans="1:9" s="181" customFormat="1" ht="11.25" customHeight="1" x14ac:dyDescent="0.2">
      <c r="A103" s="316"/>
      <c r="B103" s="2131"/>
      <c r="C103" s="2132"/>
      <c r="D103" s="2132"/>
      <c r="E103" s="2132"/>
      <c r="F103" s="2132"/>
      <c r="G103" s="2132"/>
      <c r="H103" s="2132"/>
      <c r="I103" s="2133"/>
    </row>
    <row r="104" spans="1:9" s="181" customFormat="1" ht="11.25" customHeight="1" x14ac:dyDescent="0.2">
      <c r="A104" s="316"/>
      <c r="B104" s="2131"/>
      <c r="C104" s="2132"/>
      <c r="D104" s="2132"/>
      <c r="E104" s="2132"/>
      <c r="F104" s="2132"/>
      <c r="G104" s="2132"/>
      <c r="H104" s="2132"/>
      <c r="I104" s="2133"/>
    </row>
    <row r="105" spans="1:9" s="181" customFormat="1" x14ac:dyDescent="0.2">
      <c r="A105" s="316"/>
      <c r="B105" s="2131"/>
      <c r="C105" s="2132"/>
      <c r="D105" s="2132"/>
      <c r="E105" s="2132"/>
      <c r="F105" s="2132"/>
      <c r="G105" s="2132"/>
      <c r="H105" s="2132"/>
      <c r="I105" s="2133"/>
    </row>
    <row r="106" spans="1:9" s="181" customFormat="1" ht="11.25" customHeight="1" x14ac:dyDescent="0.2">
      <c r="A106" s="316"/>
      <c r="B106" s="2131"/>
      <c r="C106" s="2132"/>
      <c r="D106" s="2132"/>
      <c r="E106" s="2132"/>
      <c r="F106" s="2132"/>
      <c r="G106" s="2132"/>
      <c r="H106" s="2132"/>
      <c r="I106" s="2133"/>
    </row>
    <row r="107" spans="1:9" s="181" customFormat="1" ht="11.25" customHeight="1" x14ac:dyDescent="0.2">
      <c r="A107" s="316"/>
      <c r="B107" s="2131"/>
      <c r="C107" s="2132"/>
      <c r="D107" s="2132"/>
      <c r="E107" s="2132"/>
      <c r="F107" s="2132"/>
      <c r="G107" s="2132"/>
      <c r="H107" s="2132"/>
      <c r="I107" s="2133"/>
    </row>
    <row r="108" spans="1:9" s="181" customFormat="1" ht="11.25" customHeight="1" x14ac:dyDescent="0.2">
      <c r="A108" s="316"/>
      <c r="B108" s="2131"/>
      <c r="C108" s="2132"/>
      <c r="D108" s="2132"/>
      <c r="E108" s="2132"/>
      <c r="F108" s="2132"/>
      <c r="G108" s="2132"/>
      <c r="H108" s="2132"/>
      <c r="I108" s="2133"/>
    </row>
    <row r="109" spans="1:9" s="181" customFormat="1" ht="11.25" customHeight="1" x14ac:dyDescent="0.2">
      <c r="A109" s="316"/>
      <c r="B109" s="2131"/>
      <c r="C109" s="2132"/>
      <c r="D109" s="2132"/>
      <c r="E109" s="2132"/>
      <c r="F109" s="2132"/>
      <c r="G109" s="2132"/>
      <c r="H109" s="2132"/>
      <c r="I109" s="2133"/>
    </row>
    <row r="110" spans="1:9" s="181" customFormat="1" ht="11.25" customHeight="1" x14ac:dyDescent="0.2">
      <c r="A110" s="316"/>
      <c r="B110" s="2131"/>
      <c r="C110" s="2132"/>
      <c r="D110" s="2132"/>
      <c r="E110" s="2132"/>
      <c r="F110" s="2132"/>
      <c r="G110" s="2132"/>
      <c r="H110" s="2132"/>
      <c r="I110" s="2133"/>
    </row>
    <row r="111" spans="1:9" s="181" customFormat="1" ht="11.25" customHeight="1" x14ac:dyDescent="0.2">
      <c r="A111" s="316"/>
      <c r="B111" s="2131"/>
      <c r="C111" s="2132"/>
      <c r="D111" s="2132"/>
      <c r="E111" s="2132"/>
      <c r="F111" s="2132"/>
      <c r="G111" s="2132"/>
      <c r="H111" s="2132"/>
      <c r="I111" s="2133"/>
    </row>
    <row r="112" spans="1:9" s="181" customFormat="1" ht="11.25" customHeight="1" x14ac:dyDescent="0.2">
      <c r="A112" s="316"/>
      <c r="B112" s="2134"/>
      <c r="C112" s="2135"/>
      <c r="D112" s="2135"/>
      <c r="E112" s="2135"/>
      <c r="F112" s="2135"/>
      <c r="G112" s="2135"/>
      <c r="H112" s="2135"/>
      <c r="I112" s="213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7" t="s">
        <v>2098</v>
      </c>
      <c r="D114" s="213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8" t="s">
        <v>1330</v>
      </c>
      <c r="D117" s="2139"/>
      <c r="E117" s="2140"/>
      <c r="F117" s="2140"/>
      <c r="G117" s="2140"/>
      <c r="H117" s="2140"/>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3"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7" t="s">
        <v>386</v>
      </c>
      <c r="B1" s="2157"/>
      <c r="C1" s="2157"/>
      <c r="D1" s="2157"/>
      <c r="E1" s="2157"/>
      <c r="F1" s="2157"/>
      <c r="G1" s="2157"/>
      <c r="H1" s="2157"/>
      <c r="I1" s="2157"/>
      <c r="J1" s="2157"/>
      <c r="K1" s="2157"/>
      <c r="L1" s="2157"/>
      <c r="M1" s="215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239326731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3.0682999999999998E-2</v>
      </c>
      <c r="E10" s="356" t="s">
        <v>1005</v>
      </c>
      <c r="F10" s="355">
        <v>5.463E-3</v>
      </c>
      <c r="G10" s="356" t="s">
        <v>1005</v>
      </c>
      <c r="H10" s="355">
        <v>2.892E-3</v>
      </c>
      <c r="I10" s="356" t="s">
        <v>1006</v>
      </c>
      <c r="J10" s="1704">
        <f>ROUND(D10+F10+H10,5)</f>
        <v>3.9039999999999998E-2</v>
      </c>
      <c r="K10" s="222"/>
      <c r="L10" s="355">
        <v>2.0699999999999999E-4</v>
      </c>
      <c r="M10" s="222"/>
    </row>
    <row r="11" spans="1:14" ht="7.5" customHeight="1" x14ac:dyDescent="0.2">
      <c r="B11" s="222"/>
      <c r="C11" s="222"/>
      <c r="D11" s="2167" t="str">
        <f>IF(SUM(J10)&lt;=0.0999999,"","Enter the Tax Rates by moving the decimal two places to the left.")</f>
        <v/>
      </c>
      <c r="E11" s="2168"/>
      <c r="F11" s="2168"/>
      <c r="G11" s="2168"/>
      <c r="H11" s="2168"/>
      <c r="I11" s="2168"/>
      <c r="J11" s="216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SUM('Acct Summary 7-8'!C8,'Acct Summary 7-8'!D8,'Acct Summary 7-8'!F8,'Acct Summary 7-8'!I8)</f>
        <v>11417812</v>
      </c>
      <c r="E16" s="356"/>
      <c r="F16" s="1705">
        <f>SUM('Acct Summary 7-8'!C17,'Acct Summary 7-8'!D17,'Acct Summary 7-8'!F17)</f>
        <v>10561854</v>
      </c>
      <c r="G16" s="356"/>
      <c r="H16" s="1705">
        <f>SUM(D16-F16)</f>
        <v>855958</v>
      </c>
      <c r="I16" s="222"/>
      <c r="J16" s="1705">
        <f>SUM('Acct Summary 7-8'!C81,'Acct Summary 7-8'!D81,'Acct Summary 7-8'!F81,'Acct Summary 7-8'!I81)</f>
        <v>11038153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586</v>
      </c>
      <c r="D31" s="237" t="s">
        <v>1072</v>
      </c>
      <c r="E31" s="222"/>
      <c r="F31" s="222"/>
      <c r="G31" s="363"/>
      <c r="H31" s="1707">
        <f>IF(B31="X",(J7*0.069),IF(B32="X",(J7*0.138),"Enter x in a.or b."))</f>
        <v>16513544.439000001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2330000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8"/>
      <c r="C54" s="2159"/>
      <c r="D54" s="2159"/>
      <c r="E54" s="2159"/>
      <c r="F54" s="2159"/>
      <c r="G54" s="2159"/>
      <c r="H54" s="2159"/>
      <c r="I54" s="2159"/>
      <c r="J54" s="2159"/>
      <c r="K54" s="2159"/>
      <c r="L54" s="2160"/>
      <c r="M54" s="380"/>
    </row>
    <row r="55" spans="1:13" ht="12.75" customHeight="1" x14ac:dyDescent="0.2">
      <c r="B55" s="2161"/>
      <c r="C55" s="2162"/>
      <c r="D55" s="2162"/>
      <c r="E55" s="2162"/>
      <c r="F55" s="2162"/>
      <c r="G55" s="2162"/>
      <c r="H55" s="2162"/>
      <c r="I55" s="2162"/>
      <c r="J55" s="2162"/>
      <c r="K55" s="2162"/>
      <c r="L55" s="2163"/>
      <c r="M55" s="380"/>
    </row>
    <row r="56" spans="1:13" ht="12.75" customHeight="1" x14ac:dyDescent="0.2">
      <c r="B56" s="2161"/>
      <c r="C56" s="2162"/>
      <c r="D56" s="2162"/>
      <c r="E56" s="2162"/>
      <c r="F56" s="2162"/>
      <c r="G56" s="2162"/>
      <c r="H56" s="2162"/>
      <c r="I56" s="2162"/>
      <c r="J56" s="2162"/>
      <c r="K56" s="2162"/>
      <c r="L56" s="2163"/>
      <c r="M56" s="222"/>
    </row>
    <row r="57" spans="1:13" ht="12.75" customHeight="1" x14ac:dyDescent="0.2">
      <c r="B57" s="2161"/>
      <c r="C57" s="2162"/>
      <c r="D57" s="2162"/>
      <c r="E57" s="2162"/>
      <c r="F57" s="2162"/>
      <c r="G57" s="2162"/>
      <c r="H57" s="2162"/>
      <c r="I57" s="2162"/>
      <c r="J57" s="2162"/>
      <c r="K57" s="2162"/>
      <c r="L57" s="2163"/>
      <c r="M57" s="222"/>
    </row>
    <row r="58" spans="1:13" x14ac:dyDescent="0.2">
      <c r="B58" s="2164"/>
      <c r="C58" s="2165"/>
      <c r="D58" s="2165"/>
      <c r="E58" s="2165"/>
      <c r="F58" s="2165"/>
      <c r="G58" s="2165"/>
      <c r="H58" s="2165"/>
      <c r="I58" s="2165"/>
      <c r="J58" s="2165"/>
      <c r="K58" s="2165"/>
      <c r="L58" s="216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9"/>
      <c r="D61" s="217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2"/>
      <c r="B1" s="2173"/>
      <c r="C1" s="2173"/>
      <c r="D1" s="384"/>
      <c r="E1" s="384"/>
      <c r="F1" s="384"/>
      <c r="G1" s="384"/>
      <c r="H1" s="384"/>
      <c r="I1" s="384"/>
      <c r="J1" s="384"/>
      <c r="K1" s="384"/>
      <c r="L1" s="384"/>
      <c r="M1" s="384"/>
      <c r="N1" s="384"/>
      <c r="O1" s="2172"/>
      <c r="P1" s="2173"/>
      <c r="Q1" s="2173"/>
    </row>
    <row r="2" spans="1:18" ht="15" x14ac:dyDescent="0.2">
      <c r="A2" s="2176" t="s">
        <v>556</v>
      </c>
      <c r="B2" s="2176"/>
      <c r="C2" s="2176"/>
      <c r="D2" s="2176"/>
      <c r="E2" s="2176"/>
      <c r="F2" s="2176"/>
      <c r="G2" s="2176"/>
      <c r="H2" s="2176"/>
      <c r="I2" s="2176"/>
      <c r="J2" s="2176"/>
      <c r="K2" s="2176"/>
      <c r="L2" s="2176"/>
      <c r="M2" s="2176"/>
      <c r="N2" s="2176"/>
      <c r="O2" s="2176"/>
      <c r="P2" s="2176"/>
      <c r="Q2" s="2176"/>
      <c r="R2" s="2176"/>
    </row>
    <row r="3" spans="1:18" ht="12.75" x14ac:dyDescent="0.2">
      <c r="A3" s="2177" t="s">
        <v>1413</v>
      </c>
      <c r="B3" s="2177"/>
      <c r="C3" s="2177"/>
      <c r="D3" s="2177"/>
      <c r="E3" s="2177"/>
      <c r="F3" s="2177"/>
      <c r="G3" s="2177"/>
      <c r="H3" s="2177"/>
      <c r="I3" s="2177"/>
      <c r="J3" s="2177"/>
      <c r="K3" s="2177"/>
      <c r="L3" s="2177"/>
      <c r="M3" s="2177"/>
      <c r="N3" s="2177"/>
      <c r="O3" s="2177"/>
      <c r="P3" s="2177"/>
      <c r="Q3" s="2177"/>
      <c r="R3" s="2177"/>
    </row>
    <row r="4" spans="1:18" x14ac:dyDescent="0.2">
      <c r="A4" s="2178" t="s">
        <v>1554</v>
      </c>
      <c r="B4" s="2178"/>
      <c r="C4" s="2178"/>
      <c r="D4" s="2178"/>
      <c r="E4" s="2178"/>
      <c r="F4" s="2178"/>
      <c r="G4" s="2178"/>
      <c r="H4" s="2178"/>
      <c r="I4" s="2178"/>
      <c r="J4" s="2178"/>
      <c r="K4" s="2178"/>
      <c r="L4" s="2178"/>
      <c r="M4" s="2178"/>
      <c r="N4" s="2178"/>
      <c r="O4" s="2178"/>
      <c r="P4" s="2178"/>
      <c r="Q4" s="2178"/>
      <c r="R4" s="217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Prairie Grove CSD 46</v>
      </c>
      <c r="E7" s="391"/>
      <c r="G7" s="252"/>
      <c r="H7" s="387"/>
      <c r="I7" s="387"/>
      <c r="J7" s="387"/>
      <c r="K7" s="387"/>
      <c r="L7" s="329"/>
      <c r="M7" s="329"/>
      <c r="N7" s="329"/>
      <c r="O7" s="329"/>
      <c r="P7" s="329"/>
    </row>
    <row r="8" spans="1:18" ht="12.75" x14ac:dyDescent="0.2">
      <c r="A8" s="329"/>
      <c r="B8" s="329"/>
      <c r="C8" s="389" t="s">
        <v>1125</v>
      </c>
      <c r="D8" s="392">
        <f>COVER!A13</f>
        <v>44063046003</v>
      </c>
      <c r="E8" s="393"/>
      <c r="G8" s="329"/>
      <c r="H8" s="329"/>
      <c r="I8" s="329"/>
      <c r="J8" s="329"/>
      <c r="K8" s="329"/>
      <c r="L8" s="329"/>
      <c r="M8" s="329"/>
      <c r="N8" s="329"/>
      <c r="O8" s="329"/>
      <c r="P8" s="329"/>
    </row>
    <row r="9" spans="1:18" ht="12.75" x14ac:dyDescent="0.2">
      <c r="A9" s="329"/>
      <c r="B9" s="329"/>
      <c r="C9" s="389" t="s">
        <v>713</v>
      </c>
      <c r="D9" s="394" t="str">
        <f>COVER!A15</f>
        <v>MCHENRY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11038153</v>
      </c>
      <c r="I12" s="404"/>
      <c r="J12" s="404"/>
      <c r="K12" s="405">
        <f>TRUNC((H12/H13*100000),5)/100000</f>
        <v>1.0212971459</v>
      </c>
      <c r="L12" s="406"/>
      <c r="M12" s="360" t="s">
        <v>1144</v>
      </c>
      <c r="N12" s="360"/>
      <c r="O12" s="407">
        <v>0.35</v>
      </c>
      <c r="P12" s="218"/>
      <c r="Q12" s="218"/>
    </row>
    <row r="13" spans="1:18" s="408" customFormat="1" ht="12.75" x14ac:dyDescent="0.2">
      <c r="A13" s="218"/>
      <c r="B13" s="401"/>
      <c r="C13" s="2174" t="s">
        <v>1324</v>
      </c>
      <c r="D13" s="2175"/>
      <c r="E13" s="218"/>
      <c r="F13" s="409" t="s">
        <v>793</v>
      </c>
      <c r="G13" s="402"/>
      <c r="H13" s="403">
        <f>SUM('Acct Summary 7-8'!C8+'Acct Summary 7-8'!D8+'Acct Summary 7-8'!F8+'Acct Summary 7-8'!I8)+H14</f>
        <v>10807974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-609838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10561854</v>
      </c>
      <c r="I17" s="404"/>
      <c r="J17" s="416"/>
      <c r="K17" s="405">
        <f>TRUNC((H17/H18*100000),5)/100000</f>
        <v>0.97722792440000006</v>
      </c>
      <c r="L17" s="406"/>
      <c r="M17" s="417" t="s">
        <v>1171</v>
      </c>
      <c r="O17" s="418" t="str">
        <f>IF(AND(O16="2", J20 &gt; 2),"1",IF(AND(O16 = "1", J20 &gt; 2),"2",IF(AND(O16="1", J20 &gt;1),"1","0")))</f>
        <v>0</v>
      </c>
      <c r="P17" s="218"/>
    </row>
    <row r="18" spans="1:18" s="408" customFormat="1" ht="11.25" x14ac:dyDescent="0.2">
      <c r="A18" s="218"/>
      <c r="B18" s="401"/>
      <c r="C18" s="2174" t="s">
        <v>1317</v>
      </c>
      <c r="D18" s="2175"/>
      <c r="E18" s="218"/>
      <c r="F18" s="419" t="s">
        <v>794</v>
      </c>
      <c r="G18" s="402"/>
      <c r="H18" s="403">
        <f>SUM('Acct Summary 7-8'!C8+'Acct Summary 7-8'!D8+'Acct Summary 7-8'!F8+'Acct Summary 7-8'!I8)+H19</f>
        <v>10807974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-609838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1" t="s">
        <v>1412</v>
      </c>
      <c r="D24" s="2171"/>
      <c r="E24" s="218"/>
      <c r="F24" s="218" t="s">
        <v>445</v>
      </c>
      <c r="G24" s="402"/>
      <c r="H24" s="403">
        <f>SUM('Assets-Liab 5-6'!C4+'Assets-Liab 5-6'!D4+'Assets-Liab 5-6'!F4+'Assets-Liab 5-6'!I4+'Assets-Liab 5-6'!C5+'Assets-Liab 5-6'!D5+'Assets-Liab 5-6'!F5+'Assets-Liab 5-6'!I5)</f>
        <v>11027694</v>
      </c>
      <c r="I24" s="422"/>
      <c r="J24" s="422"/>
      <c r="K24" s="423">
        <f>TRUNC(((H24/H25*100000)/100000),2)</f>
        <v>375.87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29338.483329999999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7941818.2414999995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2330000</v>
      </c>
      <c r="I32" s="420"/>
      <c r="J32" s="420"/>
      <c r="K32" s="423">
        <f>TRUNC(100-((((H32/H33*100))*100)/100),2)</f>
        <v>85.89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16513544.439000001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21"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1" t="s">
        <v>973</v>
      </c>
      <c r="B3" s="2182"/>
      <c r="C3" s="1531"/>
      <c r="D3" s="1532"/>
      <c r="E3" s="1532"/>
      <c r="F3" s="1532"/>
      <c r="G3" s="1532"/>
      <c r="H3" s="1532"/>
      <c r="I3" s="1532"/>
      <c r="J3" s="1532"/>
      <c r="K3" s="1532"/>
      <c r="L3" s="1532"/>
      <c r="M3" s="1533"/>
      <c r="N3" s="1534"/>
    </row>
    <row r="4" spans="1:14" ht="13.5" customHeight="1" x14ac:dyDescent="0.2">
      <c r="A4" s="463" t="s">
        <v>1651</v>
      </c>
      <c r="B4" s="464"/>
      <c r="C4" s="1905">
        <v>2857515</v>
      </c>
      <c r="D4" s="1906">
        <v>797345</v>
      </c>
      <c r="E4" s="1906">
        <v>2182</v>
      </c>
      <c r="F4" s="1906">
        <v>1065976</v>
      </c>
      <c r="G4" s="1906">
        <v>274008</v>
      </c>
      <c r="H4" s="1906">
        <v>105154</v>
      </c>
      <c r="I4" s="1906">
        <v>368384</v>
      </c>
      <c r="J4" s="1907">
        <v>258972</v>
      </c>
      <c r="K4" s="1986">
        <v>417331</v>
      </c>
      <c r="L4" s="1906">
        <v>30423</v>
      </c>
      <c r="M4" s="467"/>
      <c r="N4" s="468"/>
    </row>
    <row r="5" spans="1:14" x14ac:dyDescent="0.2">
      <c r="A5" s="463" t="s">
        <v>992</v>
      </c>
      <c r="B5" s="469">
        <v>120</v>
      </c>
      <c r="C5" s="1905">
        <v>4691395</v>
      </c>
      <c r="D5" s="1906">
        <v>1247079</v>
      </c>
      <c r="E5" s="1906"/>
      <c r="F5" s="1906"/>
      <c r="G5" s="1906"/>
      <c r="H5" s="1906"/>
      <c r="I5" s="1906"/>
      <c r="J5" s="1907"/>
      <c r="K5" s="1908"/>
      <c r="L5" s="470"/>
      <c r="M5" s="467"/>
      <c r="N5" s="468"/>
    </row>
    <row r="6" spans="1:14" ht="13.5" customHeight="1" x14ac:dyDescent="0.2">
      <c r="A6" s="471" t="s">
        <v>417</v>
      </c>
      <c r="B6" s="469">
        <v>130</v>
      </c>
      <c r="C6" s="1905">
        <v>0</v>
      </c>
      <c r="D6" s="1906">
        <v>0</v>
      </c>
      <c r="E6" s="1906">
        <v>0</v>
      </c>
      <c r="F6" s="1906">
        <v>0</v>
      </c>
      <c r="G6" s="1908">
        <v>0</v>
      </c>
      <c r="H6" s="1908">
        <v>0</v>
      </c>
      <c r="I6" s="1906">
        <v>0</v>
      </c>
      <c r="J6" s="1909">
        <v>0</v>
      </c>
      <c r="K6" s="1908">
        <v>0</v>
      </c>
      <c r="L6" s="472"/>
      <c r="M6" s="467"/>
      <c r="N6" s="468"/>
    </row>
    <row r="7" spans="1:14" ht="13.5" customHeight="1" x14ac:dyDescent="0.2">
      <c r="A7" s="471" t="s">
        <v>418</v>
      </c>
      <c r="B7" s="469">
        <v>140</v>
      </c>
      <c r="C7" s="1910">
        <v>0</v>
      </c>
      <c r="D7" s="1907">
        <v>0</v>
      </c>
      <c r="E7" s="1910">
        <v>0</v>
      </c>
      <c r="F7" s="1907">
        <v>0</v>
      </c>
      <c r="G7" s="1907">
        <v>0</v>
      </c>
      <c r="H7" s="1907">
        <v>0</v>
      </c>
      <c r="I7" s="1907">
        <v>0</v>
      </c>
      <c r="J7" s="1907">
        <v>0</v>
      </c>
      <c r="K7" s="1907">
        <v>0</v>
      </c>
      <c r="L7" s="473"/>
      <c r="M7" s="467"/>
      <c r="N7" s="468"/>
    </row>
    <row r="8" spans="1:14" ht="13.5" customHeight="1" x14ac:dyDescent="0.2">
      <c r="A8" s="471" t="s">
        <v>269</v>
      </c>
      <c r="B8" s="469">
        <v>150</v>
      </c>
      <c r="C8" s="1910">
        <v>0</v>
      </c>
      <c r="D8" s="1907">
        <v>0</v>
      </c>
      <c r="E8" s="1910">
        <v>0</v>
      </c>
      <c r="F8" s="1907">
        <v>0</v>
      </c>
      <c r="G8" s="1911">
        <v>0</v>
      </c>
      <c r="H8" s="1907">
        <v>0</v>
      </c>
      <c r="I8" s="1909">
        <v>0</v>
      </c>
      <c r="J8" s="1909">
        <v>0</v>
      </c>
      <c r="K8" s="1912">
        <v>0</v>
      </c>
      <c r="L8" s="476"/>
      <c r="M8" s="467"/>
      <c r="N8" s="468"/>
    </row>
    <row r="9" spans="1:14" ht="13.5" customHeight="1" x14ac:dyDescent="0.2">
      <c r="A9" s="471" t="s">
        <v>270</v>
      </c>
      <c r="B9" s="469">
        <v>160</v>
      </c>
      <c r="C9" s="1910">
        <v>0</v>
      </c>
      <c r="D9" s="1907">
        <v>30</v>
      </c>
      <c r="E9" s="1910">
        <v>0</v>
      </c>
      <c r="F9" s="1907">
        <v>0</v>
      </c>
      <c r="G9" s="1907">
        <v>0</v>
      </c>
      <c r="H9" s="1911">
        <v>0</v>
      </c>
      <c r="I9" s="1907">
        <v>0</v>
      </c>
      <c r="J9" s="1907">
        <v>0</v>
      </c>
      <c r="K9" s="1907">
        <v>0</v>
      </c>
      <c r="L9" s="466"/>
      <c r="M9" s="467"/>
      <c r="N9" s="468"/>
    </row>
    <row r="10" spans="1:14" ht="13.5" customHeight="1" x14ac:dyDescent="0.2">
      <c r="A10" s="471" t="s">
        <v>991</v>
      </c>
      <c r="B10" s="469">
        <v>170</v>
      </c>
      <c r="C10" s="1905">
        <v>0</v>
      </c>
      <c r="D10" s="1906">
        <v>0</v>
      </c>
      <c r="E10" s="1907">
        <v>0</v>
      </c>
      <c r="F10" s="1906">
        <v>0</v>
      </c>
      <c r="G10" s="1911">
        <v>0</v>
      </c>
      <c r="H10" s="1913">
        <v>0</v>
      </c>
      <c r="I10" s="1907">
        <v>0</v>
      </c>
      <c r="J10" s="1907">
        <v>0</v>
      </c>
      <c r="K10" s="1913">
        <v>0</v>
      </c>
      <c r="L10" s="477"/>
      <c r="M10" s="468"/>
      <c r="N10" s="468"/>
    </row>
    <row r="11" spans="1:14" ht="13.5" customHeight="1" x14ac:dyDescent="0.2">
      <c r="A11" s="471" t="s">
        <v>271</v>
      </c>
      <c r="B11" s="469">
        <v>180</v>
      </c>
      <c r="C11" s="1910">
        <v>0</v>
      </c>
      <c r="D11" s="1907">
        <v>0</v>
      </c>
      <c r="E11" s="1907">
        <v>0</v>
      </c>
      <c r="F11" s="1907">
        <v>0</v>
      </c>
      <c r="G11" s="1907">
        <v>0</v>
      </c>
      <c r="H11" s="1907">
        <v>0</v>
      </c>
      <c r="I11" s="1911">
        <v>0</v>
      </c>
      <c r="J11" s="1911">
        <v>0</v>
      </c>
      <c r="K11" s="1907">
        <v>0</v>
      </c>
      <c r="L11" s="466"/>
      <c r="M11" s="468"/>
      <c r="N11" s="468"/>
    </row>
    <row r="12" spans="1:14" ht="13.5" customHeight="1" x14ac:dyDescent="0.2">
      <c r="A12" s="471" t="s">
        <v>419</v>
      </c>
      <c r="B12" s="469">
        <v>190</v>
      </c>
      <c r="C12" s="1905">
        <v>10717</v>
      </c>
      <c r="D12" s="1906">
        <v>0</v>
      </c>
      <c r="E12" s="1906">
        <v>0</v>
      </c>
      <c r="F12" s="1906">
        <v>0</v>
      </c>
      <c r="G12" s="1906">
        <v>0</v>
      </c>
      <c r="H12" s="1906">
        <v>0</v>
      </c>
      <c r="I12" s="1906">
        <v>0</v>
      </c>
      <c r="J12" s="1907">
        <v>0</v>
      </c>
      <c r="K12" s="1906">
        <v>0</v>
      </c>
      <c r="L12" s="465"/>
      <c r="M12" s="468"/>
      <c r="N12" s="468"/>
    </row>
    <row r="13" spans="1:14" ht="13.5" customHeight="1" thickBot="1" x14ac:dyDescent="0.25">
      <c r="A13" s="1708" t="s">
        <v>644</v>
      </c>
      <c r="B13" s="1681"/>
      <c r="C13" s="1709">
        <f>SUM(C4:C12)</f>
        <v>7559627</v>
      </c>
      <c r="D13" s="1709">
        <f t="shared" ref="D13:L13" si="0">SUM(D4:D12)</f>
        <v>2044454</v>
      </c>
      <c r="E13" s="1709">
        <f t="shared" si="0"/>
        <v>2182</v>
      </c>
      <c r="F13" s="1709">
        <f t="shared" si="0"/>
        <v>1065976</v>
      </c>
      <c r="G13" s="1709">
        <f t="shared" si="0"/>
        <v>274008</v>
      </c>
      <c r="H13" s="1709">
        <f t="shared" si="0"/>
        <v>105154</v>
      </c>
      <c r="I13" s="1709">
        <f t="shared" si="0"/>
        <v>368384</v>
      </c>
      <c r="J13" s="1709">
        <f t="shared" si="0"/>
        <v>258972</v>
      </c>
      <c r="K13" s="1709">
        <f t="shared" si="0"/>
        <v>417331</v>
      </c>
      <c r="L13" s="1709">
        <f t="shared" si="0"/>
        <v>30423</v>
      </c>
      <c r="M13" s="467"/>
      <c r="N13" s="468"/>
    </row>
    <row r="14" spans="1:14" ht="18" customHeight="1" thickTop="1" x14ac:dyDescent="0.2">
      <c r="A14" s="2183" t="s">
        <v>147</v>
      </c>
      <c r="B14" s="2184"/>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07">
        <v>3873232</v>
      </c>
      <c r="N16" s="480"/>
    </row>
    <row r="17" spans="1:14" s="481" customFormat="1" ht="12.75" customHeight="1" x14ac:dyDescent="0.2">
      <c r="A17" s="478" t="s">
        <v>1403</v>
      </c>
      <c r="B17" s="479">
        <v>230</v>
      </c>
      <c r="C17" s="473"/>
      <c r="D17" s="473"/>
      <c r="E17" s="473"/>
      <c r="F17" s="473"/>
      <c r="G17" s="473"/>
      <c r="H17" s="473"/>
      <c r="I17" s="473"/>
      <c r="J17" s="473"/>
      <c r="K17" s="473"/>
      <c r="L17" s="473"/>
      <c r="M17" s="1907">
        <v>11383827</v>
      </c>
      <c r="N17" s="480"/>
    </row>
    <row r="18" spans="1:14" s="481" customFormat="1" ht="12.75" customHeight="1" x14ac:dyDescent="0.2">
      <c r="A18" s="478" t="s">
        <v>1404</v>
      </c>
      <c r="B18" s="479">
        <v>240</v>
      </c>
      <c r="C18" s="473"/>
      <c r="D18" s="473"/>
      <c r="E18" s="473"/>
      <c r="F18" s="473"/>
      <c r="G18" s="473"/>
      <c r="H18" s="473"/>
      <c r="I18" s="473"/>
      <c r="J18" s="473"/>
      <c r="K18" s="473"/>
      <c r="L18" s="473"/>
      <c r="M18" s="1907">
        <v>749493</v>
      </c>
      <c r="N18" s="480"/>
    </row>
    <row r="19" spans="1:14" s="481" customFormat="1" ht="12.75" customHeight="1" x14ac:dyDescent="0.2">
      <c r="A19" s="478" t="s">
        <v>1405</v>
      </c>
      <c r="B19" s="479">
        <v>250</v>
      </c>
      <c r="C19" s="473"/>
      <c r="D19" s="473"/>
      <c r="E19" s="473"/>
      <c r="F19" s="473"/>
      <c r="G19" s="473"/>
      <c r="H19" s="473"/>
      <c r="I19" s="473"/>
      <c r="J19" s="473"/>
      <c r="K19" s="473"/>
      <c r="L19" s="473"/>
      <c r="M19" s="1907">
        <v>1073109</v>
      </c>
      <c r="N19" s="480"/>
    </row>
    <row r="20" spans="1:14" s="481" customFormat="1" ht="12.75" customHeight="1" x14ac:dyDescent="0.2">
      <c r="A20" s="478" t="s">
        <v>1406</v>
      </c>
      <c r="B20" s="479">
        <v>260</v>
      </c>
      <c r="C20" s="473"/>
      <c r="D20" s="473"/>
      <c r="E20" s="473"/>
      <c r="F20" s="473"/>
      <c r="G20" s="473"/>
      <c r="H20" s="473"/>
      <c r="I20" s="473"/>
      <c r="J20" s="473"/>
      <c r="K20" s="473"/>
      <c r="L20" s="473"/>
      <c r="M20" s="1907">
        <v>529060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07">
        <f>+E39</f>
        <v>2182</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2327818</v>
      </c>
    </row>
    <row r="23" spans="1:14" ht="13.5" customHeight="1" thickBot="1" x14ac:dyDescent="0.25">
      <c r="A23" s="1708" t="s">
        <v>643</v>
      </c>
      <c r="B23" s="1713"/>
      <c r="C23" s="467"/>
      <c r="D23" s="467"/>
      <c r="E23" s="467"/>
      <c r="F23" s="467"/>
      <c r="G23" s="467"/>
      <c r="H23" s="467"/>
      <c r="I23" s="467"/>
      <c r="J23" s="467"/>
      <c r="K23" s="467"/>
      <c r="L23" s="467"/>
      <c r="M23" s="1660">
        <f>SUM(M15:M22)</f>
        <v>17608721</v>
      </c>
      <c r="N23" s="1660">
        <f>SUM(N21:N22)</f>
        <v>2330000</v>
      </c>
    </row>
    <row r="24" spans="1:14" ht="18" customHeight="1" thickTop="1" x14ac:dyDescent="0.2">
      <c r="A24" s="2185" t="s">
        <v>598</v>
      </c>
      <c r="B24" s="2186"/>
      <c r="C24" s="1540"/>
      <c r="D24" s="1537"/>
      <c r="E24" s="1537"/>
      <c r="F24" s="1537"/>
      <c r="G24" s="1537"/>
      <c r="H24" s="1537"/>
      <c r="I24" s="1537"/>
      <c r="J24" s="1537"/>
      <c r="K24" s="1537"/>
      <c r="L24" s="1537"/>
      <c r="M24" s="1536"/>
      <c r="N24" s="1541"/>
    </row>
    <row r="25" spans="1:14" x14ac:dyDescent="0.2">
      <c r="A25" s="471" t="s">
        <v>645</v>
      </c>
      <c r="B25" s="469">
        <v>410</v>
      </c>
      <c r="C25" s="474">
        <v>0</v>
      </c>
      <c r="D25" s="474">
        <v>0</v>
      </c>
      <c r="E25" s="474">
        <v>0</v>
      </c>
      <c r="F25" s="474">
        <v>0</v>
      </c>
      <c r="G25" s="474">
        <v>0</v>
      </c>
      <c r="H25" s="1912">
        <v>0</v>
      </c>
      <c r="I25" s="467"/>
      <c r="J25" s="474">
        <v>0</v>
      </c>
      <c r="K25" s="474">
        <v>0</v>
      </c>
      <c r="L25" s="467"/>
      <c r="M25" s="467"/>
      <c r="N25" s="467"/>
    </row>
    <row r="26" spans="1:14" x14ac:dyDescent="0.2">
      <c r="A26" s="471" t="s">
        <v>646</v>
      </c>
      <c r="B26" s="469">
        <v>420</v>
      </c>
      <c r="C26" s="1907">
        <v>0</v>
      </c>
      <c r="D26" s="1907">
        <v>0</v>
      </c>
      <c r="E26" s="1907">
        <v>0</v>
      </c>
      <c r="F26" s="1907">
        <v>0</v>
      </c>
      <c r="G26" s="1907">
        <v>0</v>
      </c>
      <c r="H26" s="1907">
        <v>0</v>
      </c>
      <c r="I26" s="1907">
        <v>0</v>
      </c>
      <c r="J26" s="1909">
        <v>0</v>
      </c>
      <c r="K26" s="1907">
        <v>0</v>
      </c>
      <c r="L26" s="467"/>
      <c r="M26" s="467"/>
      <c r="N26" s="467"/>
    </row>
    <row r="27" spans="1:14" ht="13.5" customHeight="1" x14ac:dyDescent="0.2">
      <c r="A27" s="471" t="s">
        <v>647</v>
      </c>
      <c r="B27" s="469">
        <v>430</v>
      </c>
      <c r="C27" s="1907">
        <v>288</v>
      </c>
      <c r="D27" s="1907">
        <v>0</v>
      </c>
      <c r="E27" s="1907">
        <v>0</v>
      </c>
      <c r="F27" s="1907">
        <v>0</v>
      </c>
      <c r="G27" s="1907">
        <v>0</v>
      </c>
      <c r="H27" s="1907">
        <v>0</v>
      </c>
      <c r="I27" s="1907">
        <v>0</v>
      </c>
      <c r="J27" s="1907">
        <v>0</v>
      </c>
      <c r="K27" s="1907">
        <v>0</v>
      </c>
      <c r="L27" s="467"/>
      <c r="M27" s="467"/>
      <c r="N27" s="467"/>
    </row>
    <row r="28" spans="1:14" ht="13.5" customHeight="1" x14ac:dyDescent="0.2">
      <c r="A28" s="471" t="s">
        <v>648</v>
      </c>
      <c r="B28" s="469">
        <v>440</v>
      </c>
      <c r="C28" s="1907">
        <v>0</v>
      </c>
      <c r="D28" s="1907">
        <v>0</v>
      </c>
      <c r="E28" s="1909">
        <v>0</v>
      </c>
      <c r="F28" s="1907">
        <v>0</v>
      </c>
      <c r="G28" s="1909">
        <v>0</v>
      </c>
      <c r="H28" s="1909">
        <v>0</v>
      </c>
      <c r="I28" s="1907">
        <v>0</v>
      </c>
      <c r="J28" s="1907">
        <v>0</v>
      </c>
      <c r="K28" s="1912">
        <v>0</v>
      </c>
      <c r="L28" s="467"/>
      <c r="M28" s="467"/>
      <c r="N28" s="467"/>
    </row>
    <row r="29" spans="1:14" ht="13.5" customHeight="1" x14ac:dyDescent="0.2">
      <c r="A29" s="471" t="s">
        <v>649</v>
      </c>
      <c r="B29" s="469">
        <v>460</v>
      </c>
      <c r="C29" s="1914">
        <v>0</v>
      </c>
      <c r="D29" s="1915">
        <v>0</v>
      </c>
      <c r="E29" s="1909">
        <v>0</v>
      </c>
      <c r="F29" s="1907">
        <v>0</v>
      </c>
      <c r="G29" s="1909">
        <v>0</v>
      </c>
      <c r="H29" s="1909">
        <v>0</v>
      </c>
      <c r="I29" s="1909">
        <v>0</v>
      </c>
      <c r="J29" s="1909">
        <v>0</v>
      </c>
      <c r="K29" s="1907">
        <v>0</v>
      </c>
      <c r="L29" s="467"/>
      <c r="M29" s="467"/>
      <c r="N29" s="467"/>
    </row>
    <row r="30" spans="1:14" ht="13.5" customHeight="1" x14ac:dyDescent="0.2">
      <c r="A30" s="471" t="s">
        <v>650</v>
      </c>
      <c r="B30" s="469">
        <v>470</v>
      </c>
      <c r="C30" s="1907">
        <v>0</v>
      </c>
      <c r="D30" s="1909">
        <v>0</v>
      </c>
      <c r="E30" s="1907">
        <v>0</v>
      </c>
      <c r="F30" s="1907">
        <v>0</v>
      </c>
      <c r="G30" s="1907">
        <v>0</v>
      </c>
      <c r="H30" s="1907">
        <v>0</v>
      </c>
      <c r="I30" s="1907">
        <v>0</v>
      </c>
      <c r="J30" s="1907">
        <v>0</v>
      </c>
      <c r="K30" s="474">
        <v>0</v>
      </c>
      <c r="L30" s="467"/>
      <c r="M30" s="467"/>
      <c r="N30" s="467"/>
    </row>
    <row r="31" spans="1:14" ht="13.5" customHeight="1" x14ac:dyDescent="0.2">
      <c r="A31" s="471" t="s">
        <v>651</v>
      </c>
      <c r="B31" s="469">
        <v>480</v>
      </c>
      <c r="C31" s="1906">
        <v>0</v>
      </c>
      <c r="D31" s="1907">
        <v>0</v>
      </c>
      <c r="E31" s="1907">
        <v>0</v>
      </c>
      <c r="F31" s="1906">
        <v>0</v>
      </c>
      <c r="G31" s="1907">
        <v>0</v>
      </c>
      <c r="H31" s="1907">
        <v>0</v>
      </c>
      <c r="I31" s="1907">
        <v>0</v>
      </c>
      <c r="J31" s="1907">
        <v>0</v>
      </c>
      <c r="K31" s="1907">
        <v>0</v>
      </c>
      <c r="L31" s="467"/>
      <c r="M31" s="467"/>
      <c r="N31" s="467"/>
    </row>
    <row r="32" spans="1:14" ht="13.5" customHeight="1" x14ac:dyDescent="0.2">
      <c r="A32" s="484" t="s">
        <v>652</v>
      </c>
      <c r="B32" s="485">
        <v>490</v>
      </c>
      <c r="C32" s="1916">
        <v>0</v>
      </c>
      <c r="D32" s="1916">
        <v>0</v>
      </c>
      <c r="E32" s="1909">
        <v>0</v>
      </c>
      <c r="F32" s="1909">
        <v>0</v>
      </c>
      <c r="G32" s="1909">
        <v>0</v>
      </c>
      <c r="H32" s="1909">
        <v>0</v>
      </c>
      <c r="I32" s="1909">
        <v>0</v>
      </c>
      <c r="J32" s="1909">
        <v>0</v>
      </c>
      <c r="K32" s="1912">
        <v>0</v>
      </c>
      <c r="L32" s="467"/>
      <c r="M32" s="467"/>
      <c r="N32" s="467"/>
    </row>
    <row r="33" spans="1:14" ht="13.5" customHeight="1" x14ac:dyDescent="0.2">
      <c r="A33" s="486" t="s">
        <v>303</v>
      </c>
      <c r="B33" s="485">
        <v>493</v>
      </c>
      <c r="C33" s="1907">
        <v>0</v>
      </c>
      <c r="D33" s="1907">
        <v>0</v>
      </c>
      <c r="E33" s="1907">
        <v>0</v>
      </c>
      <c r="F33" s="1907">
        <v>0</v>
      </c>
      <c r="G33" s="1907">
        <v>0</v>
      </c>
      <c r="H33" s="1907">
        <v>0</v>
      </c>
      <c r="I33" s="1907">
        <v>0</v>
      </c>
      <c r="J33" s="1907">
        <v>0</v>
      </c>
      <c r="K33" s="1907">
        <v>0</v>
      </c>
      <c r="L33" s="1907">
        <v>30423</v>
      </c>
      <c r="M33" s="467"/>
      <c r="N33" s="468"/>
    </row>
    <row r="34" spans="1:14" ht="13.5" customHeight="1" thickBot="1" x14ac:dyDescent="0.25">
      <c r="A34" s="1710" t="s">
        <v>654</v>
      </c>
      <c r="B34" s="1711"/>
      <c r="C34" s="1712">
        <f>SUM(C25:C33)</f>
        <v>288</v>
      </c>
      <c r="D34" s="1712">
        <f t="shared" ref="D34:K34" si="1">SUM(D25:D33)</f>
        <v>0</v>
      </c>
      <c r="E34" s="1712">
        <f t="shared" si="1"/>
        <v>0</v>
      </c>
      <c r="F34" s="1712">
        <f t="shared" si="1"/>
        <v>0</v>
      </c>
      <c r="G34" s="1712">
        <f t="shared" si="1"/>
        <v>0</v>
      </c>
      <c r="H34" s="1712">
        <f t="shared" si="1"/>
        <v>0</v>
      </c>
      <c r="I34" s="1712">
        <f t="shared" si="1"/>
        <v>0</v>
      </c>
      <c r="J34" s="1712">
        <f t="shared" si="1"/>
        <v>0</v>
      </c>
      <c r="K34" s="1712">
        <f t="shared" si="1"/>
        <v>0</v>
      </c>
      <c r="L34" s="1693">
        <f>SUM(L33)</f>
        <v>30423</v>
      </c>
      <c r="M34" s="467"/>
      <c r="N34" s="476"/>
    </row>
    <row r="35" spans="1:14" ht="18" customHeight="1" thickTop="1" x14ac:dyDescent="0.2">
      <c r="A35" s="2187" t="s">
        <v>529</v>
      </c>
      <c r="B35" s="2188"/>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2330000</v>
      </c>
    </row>
    <row r="37" spans="1:14" ht="13.5" thickBot="1" x14ac:dyDescent="0.25">
      <c r="A37" s="1708" t="s">
        <v>653</v>
      </c>
      <c r="B37" s="1713"/>
      <c r="C37" s="473"/>
      <c r="D37" s="473"/>
      <c r="E37" s="473"/>
      <c r="F37" s="473"/>
      <c r="G37" s="473"/>
      <c r="H37" s="473"/>
      <c r="I37" s="473"/>
      <c r="J37" s="473"/>
      <c r="K37" s="473"/>
      <c r="L37" s="476"/>
      <c r="M37" s="467"/>
      <c r="N37" s="1660">
        <f>SUM(N36:N36)</f>
        <v>2330000</v>
      </c>
    </row>
    <row r="38" spans="1:14" s="329" customFormat="1" ht="13.5" customHeight="1" thickTop="1" x14ac:dyDescent="0.2">
      <c r="A38" s="489" t="s">
        <v>420</v>
      </c>
      <c r="B38" s="479">
        <v>714</v>
      </c>
      <c r="C38" s="1906"/>
      <c r="D38" s="1906"/>
      <c r="E38" s="1906"/>
      <c r="F38" s="1906"/>
      <c r="G38" s="1906">
        <v>163342</v>
      </c>
      <c r="H38" s="1906"/>
      <c r="I38" s="1906"/>
      <c r="J38" s="1907"/>
      <c r="K38" s="1906"/>
      <c r="L38" s="477"/>
      <c r="M38" s="490"/>
      <c r="N38" s="490"/>
    </row>
    <row r="39" spans="1:14" s="329" customFormat="1" ht="13.5" customHeight="1" x14ac:dyDescent="0.2">
      <c r="A39" s="489" t="s">
        <v>342</v>
      </c>
      <c r="B39" s="479">
        <v>730</v>
      </c>
      <c r="C39" s="1906">
        <v>7559339</v>
      </c>
      <c r="D39" s="1906">
        <v>2044454</v>
      </c>
      <c r="E39" s="1906">
        <v>2182</v>
      </c>
      <c r="F39" s="1906">
        <v>1065976</v>
      </c>
      <c r="G39" s="1906">
        <v>110666</v>
      </c>
      <c r="H39" s="1906">
        <v>105154</v>
      </c>
      <c r="I39" s="1906">
        <v>368384</v>
      </c>
      <c r="J39" s="1907">
        <v>258972</v>
      </c>
      <c r="K39" s="1906">
        <v>417331</v>
      </c>
      <c r="L39" s="1906">
        <v>0</v>
      </c>
      <c r="M39" s="490"/>
      <c r="N39" s="490"/>
    </row>
    <row r="40" spans="1:14" s="329" customFormat="1" ht="13.5" customHeight="1" x14ac:dyDescent="0.2">
      <c r="A40" s="491" t="s">
        <v>148</v>
      </c>
      <c r="B40" s="492"/>
      <c r="C40" s="493"/>
      <c r="D40" s="493"/>
      <c r="E40" s="493"/>
      <c r="F40" s="493"/>
      <c r="G40" s="493"/>
      <c r="H40" s="493"/>
      <c r="I40" s="493"/>
      <c r="J40" s="493"/>
      <c r="K40" s="493"/>
      <c r="L40" s="493"/>
      <c r="M40" s="1917">
        <v>17608721</v>
      </c>
      <c r="N40" s="490"/>
    </row>
    <row r="41" spans="1:14" ht="13.5" customHeight="1" thickBot="1" x14ac:dyDescent="0.25">
      <c r="A41" s="1708" t="s">
        <v>655</v>
      </c>
      <c r="B41" s="1678"/>
      <c r="C41" s="1660">
        <f>(SUM(C34,C37,C38,C39))</f>
        <v>7559627</v>
      </c>
      <c r="D41" s="1660">
        <f t="shared" ref="D41:L41" si="2">SUM(D34,D37,D38:D39)</f>
        <v>2044454</v>
      </c>
      <c r="E41" s="1660">
        <f t="shared" si="2"/>
        <v>2182</v>
      </c>
      <c r="F41" s="1660">
        <f t="shared" si="2"/>
        <v>1065976</v>
      </c>
      <c r="G41" s="1660">
        <f t="shared" si="2"/>
        <v>274008</v>
      </c>
      <c r="H41" s="1660">
        <f t="shared" si="2"/>
        <v>105154</v>
      </c>
      <c r="I41" s="1660">
        <f t="shared" si="2"/>
        <v>368384</v>
      </c>
      <c r="J41" s="1660">
        <f t="shared" si="2"/>
        <v>258972</v>
      </c>
      <c r="K41" s="1660">
        <f t="shared" si="2"/>
        <v>417331</v>
      </c>
      <c r="L41" s="1660">
        <f t="shared" si="2"/>
        <v>30423</v>
      </c>
      <c r="M41" s="1660">
        <f>SUM(M40)</f>
        <v>17608721</v>
      </c>
      <c r="N41" s="1660">
        <f>SUM(N37)</f>
        <v>2330000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9" activePane="bottomLeft" state="frozen"/>
      <selection activeCell="AF22" sqref="AF22"/>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7"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8"/>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9" t="s">
        <v>1175</v>
      </c>
      <c r="B3" s="2210"/>
      <c r="C3" s="1545"/>
      <c r="D3" s="1546"/>
      <c r="E3" s="1546"/>
      <c r="F3" s="1546"/>
      <c r="G3" s="1546"/>
      <c r="H3" s="1546"/>
      <c r="I3" s="1546"/>
      <c r="J3" s="1546"/>
      <c r="K3" s="1547"/>
      <c r="L3" s="499"/>
    </row>
    <row r="4" spans="1:13" ht="15.75" customHeight="1" x14ac:dyDescent="0.2">
      <c r="A4" s="1896" t="s">
        <v>1499</v>
      </c>
      <c r="B4" s="1897">
        <v>1000</v>
      </c>
      <c r="C4" s="1714">
        <f>'Revenues 9-14'!C109</f>
        <v>8452307</v>
      </c>
      <c r="D4" s="1714">
        <f>'Revenues 9-14'!D109</f>
        <v>1311458</v>
      </c>
      <c r="E4" s="1714">
        <f>'Revenues 9-14'!E109</f>
        <v>33</v>
      </c>
      <c r="F4" s="1714">
        <f>'Revenues 9-14'!F109</f>
        <v>680824</v>
      </c>
      <c r="G4" s="1714">
        <f>'Revenues 9-14'!G109</f>
        <v>373055</v>
      </c>
      <c r="H4" s="1714">
        <f>'Revenues 9-14'!H109</f>
        <v>2169</v>
      </c>
      <c r="I4" s="1714">
        <f>'Revenues 9-14'!I109</f>
        <v>63283</v>
      </c>
      <c r="J4" s="1714">
        <f>'Revenues 9-14'!J109</f>
        <v>64282</v>
      </c>
      <c r="K4" s="1714">
        <f>'Revenues 9-14'!K109</f>
        <v>228123</v>
      </c>
      <c r="L4" s="347"/>
    </row>
    <row r="5" spans="1:13" ht="15.75" customHeight="1" x14ac:dyDescent="0.2">
      <c r="A5" s="1548" t="s">
        <v>1500</v>
      </c>
      <c r="B5" s="1549">
        <v>2000</v>
      </c>
      <c r="C5" s="1715">
        <f>'Revenues 9-14'!C114</f>
        <v>0</v>
      </c>
      <c r="D5" s="1715">
        <f>'Revenues 9-14'!D114</f>
        <v>0</v>
      </c>
      <c r="E5" s="501"/>
      <c r="F5" s="1715">
        <f>'Revenues 9-14'!F114</f>
        <v>0</v>
      </c>
      <c r="G5" s="1715">
        <f>'Revenues 9-14'!G114</f>
        <v>0</v>
      </c>
      <c r="H5" s="502" t="s">
        <v>1169</v>
      </c>
      <c r="I5" s="503" t="s">
        <v>1169</v>
      </c>
      <c r="J5" s="504" t="s">
        <v>1169</v>
      </c>
      <c r="K5" s="505" t="s">
        <v>1169</v>
      </c>
      <c r="L5" s="347"/>
    </row>
    <row r="6" spans="1:13" ht="15.75" customHeight="1" x14ac:dyDescent="0.2">
      <c r="A6" s="1548" t="s">
        <v>1501</v>
      </c>
      <c r="B6" s="1550">
        <v>3000</v>
      </c>
      <c r="C6" s="1715">
        <f>'Revenues 9-14'!C170</f>
        <v>461974</v>
      </c>
      <c r="D6" s="1715">
        <f>'Revenues 9-14'!D170</f>
        <v>0</v>
      </c>
      <c r="E6" s="1715">
        <f>'Revenues 9-14'!E170</f>
        <v>0</v>
      </c>
      <c r="F6" s="1715">
        <f>'Revenues 9-14'!F170</f>
        <v>133148</v>
      </c>
      <c r="G6" s="1715">
        <f>'Revenues 9-14'!G170</f>
        <v>0</v>
      </c>
      <c r="H6" s="1715">
        <f>'Revenues 9-14'!H170</f>
        <v>259949</v>
      </c>
      <c r="I6" s="1715">
        <f>'Revenues 9-14'!I170</f>
        <v>0</v>
      </c>
      <c r="J6" s="1715">
        <f>'Revenues 9-14'!J170</f>
        <v>0</v>
      </c>
      <c r="K6" s="1715">
        <f>'Revenues 9-14'!K170</f>
        <v>0</v>
      </c>
      <c r="L6" s="347"/>
      <c r="M6" s="506"/>
    </row>
    <row r="7" spans="1:13" ht="15.75" customHeight="1" x14ac:dyDescent="0.2">
      <c r="A7" s="1548" t="s">
        <v>1502</v>
      </c>
      <c r="B7" s="1550">
        <v>4000</v>
      </c>
      <c r="C7" s="1715">
        <f>'Revenues 9-14'!C267</f>
        <v>314818</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1172</v>
      </c>
      <c r="B8" s="1681"/>
      <c r="C8" s="1660">
        <f>SUM(C4:C7)</f>
        <v>9229099</v>
      </c>
      <c r="D8" s="1660">
        <f t="shared" ref="D8:K8" si="0">SUM(D4:D7)</f>
        <v>1311458</v>
      </c>
      <c r="E8" s="1660">
        <f t="shared" si="0"/>
        <v>33</v>
      </c>
      <c r="F8" s="1660">
        <f t="shared" si="0"/>
        <v>813972</v>
      </c>
      <c r="G8" s="1660">
        <f t="shared" si="0"/>
        <v>373055</v>
      </c>
      <c r="H8" s="1660">
        <f t="shared" si="0"/>
        <v>262118</v>
      </c>
      <c r="I8" s="1660">
        <f t="shared" si="0"/>
        <v>63283</v>
      </c>
      <c r="J8" s="1660">
        <f t="shared" si="0"/>
        <v>64282</v>
      </c>
      <c r="K8" s="1660">
        <f t="shared" si="0"/>
        <v>228123</v>
      </c>
      <c r="L8" s="347"/>
    </row>
    <row r="9" spans="1:13" ht="15.75" thickTop="1" x14ac:dyDescent="0.2">
      <c r="A9" s="507" t="s">
        <v>1653</v>
      </c>
      <c r="B9" s="508">
        <v>3998</v>
      </c>
      <c r="C9" s="477">
        <v>3640945</v>
      </c>
      <c r="D9" s="509">
        <v>0</v>
      </c>
      <c r="E9" s="477">
        <v>0</v>
      </c>
      <c r="F9" s="477">
        <v>0</v>
      </c>
      <c r="G9" s="510">
        <v>0</v>
      </c>
      <c r="H9" s="477">
        <v>0</v>
      </c>
      <c r="I9" s="502" t="s">
        <v>1169</v>
      </c>
      <c r="J9" s="474">
        <v>0</v>
      </c>
      <c r="K9" s="477">
        <v>0</v>
      </c>
      <c r="L9" s="347"/>
    </row>
    <row r="10" spans="1:13" s="512" customFormat="1" ht="13.5" thickBot="1" x14ac:dyDescent="0.25">
      <c r="A10" s="1708" t="s">
        <v>1173</v>
      </c>
      <c r="B10" s="1681"/>
      <c r="C10" s="1660">
        <f>SUM(C8:C9)</f>
        <v>12870044</v>
      </c>
      <c r="D10" s="1660">
        <f t="shared" ref="D10:K10" si="1">SUM(D8:D9)</f>
        <v>1311458</v>
      </c>
      <c r="E10" s="1660">
        <f t="shared" si="1"/>
        <v>33</v>
      </c>
      <c r="F10" s="1660">
        <f t="shared" si="1"/>
        <v>813972</v>
      </c>
      <c r="G10" s="1660">
        <f t="shared" si="1"/>
        <v>373055</v>
      </c>
      <c r="H10" s="1660">
        <f t="shared" si="1"/>
        <v>262118</v>
      </c>
      <c r="I10" s="1660">
        <f t="shared" si="1"/>
        <v>63283</v>
      </c>
      <c r="J10" s="1660">
        <f t="shared" si="1"/>
        <v>64282</v>
      </c>
      <c r="K10" s="1660">
        <f t="shared" si="1"/>
        <v>228123</v>
      </c>
      <c r="L10" s="511"/>
    </row>
    <row r="11" spans="1:13" s="512" customFormat="1" ht="16.7" customHeight="1" thickTop="1" x14ac:dyDescent="0.2">
      <c r="A11" s="2183" t="s">
        <v>1176</v>
      </c>
      <c r="B11" s="2184"/>
      <c r="C11" s="1542"/>
      <c r="D11" s="1543"/>
      <c r="E11" s="1543"/>
      <c r="F11" s="1543"/>
      <c r="G11" s="1543"/>
      <c r="H11" s="1543"/>
      <c r="I11" s="1543"/>
      <c r="J11" s="1543"/>
      <c r="K11" s="1544"/>
      <c r="L11" s="511"/>
    </row>
    <row r="12" spans="1:13" ht="15.75" customHeight="1" x14ac:dyDescent="0.2">
      <c r="A12" s="1548" t="s">
        <v>456</v>
      </c>
      <c r="B12" s="1550">
        <v>1000</v>
      </c>
      <c r="C12" s="1714">
        <f>'Expenditures 15-22'!K33</f>
        <v>6153253</v>
      </c>
      <c r="D12" s="513" t="s">
        <v>1169</v>
      </c>
      <c r="E12" s="467" t="s">
        <v>1169</v>
      </c>
      <c r="F12" s="467" t="s">
        <v>1169</v>
      </c>
      <c r="G12" s="1714">
        <f>'Expenditures 15-22'!K229</f>
        <v>120807</v>
      </c>
      <c r="H12" s="514"/>
      <c r="I12" s="467" t="s">
        <v>1169</v>
      </c>
      <c r="J12" s="467" t="s">
        <v>1169</v>
      </c>
      <c r="K12" s="514" t="s">
        <v>1169</v>
      </c>
      <c r="L12" s="347"/>
    </row>
    <row r="13" spans="1:13" ht="15.75" customHeight="1" x14ac:dyDescent="0.2">
      <c r="A13" s="1548" t="s">
        <v>457</v>
      </c>
      <c r="B13" s="1550">
        <v>2000</v>
      </c>
      <c r="C13" s="1715">
        <f>'Expenditures 15-22'!K74</f>
        <v>2450563</v>
      </c>
      <c r="D13" s="1715">
        <f>'Expenditures 15-22'!K129</f>
        <v>1205490</v>
      </c>
      <c r="E13" s="468" t="s">
        <v>1169</v>
      </c>
      <c r="F13" s="1715">
        <f>'Expenditures 15-22'!K184</f>
        <v>525340</v>
      </c>
      <c r="G13" s="1715">
        <f>'Expenditures 15-22'!K279</f>
        <v>205113</v>
      </c>
      <c r="H13" s="1715">
        <f>'Expenditures 15-22'!K303</f>
        <v>522329</v>
      </c>
      <c r="I13" s="467" t="s">
        <v>1169</v>
      </c>
      <c r="J13" s="1715">
        <f>'Expenditures 15-22'!K330</f>
        <v>116974</v>
      </c>
      <c r="K13" s="1719">
        <f>'Expenditures 15-22'!K352</f>
        <v>0</v>
      </c>
      <c r="L13" s="347"/>
    </row>
    <row r="14" spans="1:13" ht="15.75" customHeight="1" x14ac:dyDescent="0.2">
      <c r="A14" s="1548" t="s">
        <v>449</v>
      </c>
      <c r="B14" s="1550">
        <v>3000</v>
      </c>
      <c r="C14" s="1715">
        <f>'Expenditures 15-22'!K75</f>
        <v>0</v>
      </c>
      <c r="D14" s="1715">
        <f>'Expenditures 15-22'!K130</f>
        <v>0</v>
      </c>
      <c r="E14" s="513" t="s">
        <v>1169</v>
      </c>
      <c r="F14" s="1715">
        <f>'Expenditures 15-22'!K185</f>
        <v>0</v>
      </c>
      <c r="G14" s="1715">
        <f>'Expenditures 15-22'!K280</f>
        <v>0</v>
      </c>
      <c r="H14" s="505"/>
      <c r="I14" s="467" t="s">
        <v>1169</v>
      </c>
      <c r="J14" s="467" t="s">
        <v>1169</v>
      </c>
      <c r="K14" s="505" t="s">
        <v>1169</v>
      </c>
      <c r="L14" s="347"/>
    </row>
    <row r="15" spans="1:13" ht="15.75" customHeight="1" x14ac:dyDescent="0.2">
      <c r="A15" s="1548" t="s">
        <v>107</v>
      </c>
      <c r="B15" s="1550">
        <v>4000</v>
      </c>
      <c r="C15" s="1715">
        <f>'Expenditures 15-22'!K102</f>
        <v>217230</v>
      </c>
      <c r="D15" s="1715">
        <f>'Expenditures 15-22'!K139</f>
        <v>9978</v>
      </c>
      <c r="E15" s="1715">
        <f>'Expenditures 15-22'!K160</f>
        <v>0</v>
      </c>
      <c r="F15" s="1715">
        <f>'Expenditures 15-22'!K196</f>
        <v>0</v>
      </c>
      <c r="G15" s="1715">
        <f>'Expenditures 15-22'!K285</f>
        <v>0</v>
      </c>
      <c r="H15" s="1715">
        <f>'Expenditures 15-22'!K310</f>
        <v>0</v>
      </c>
      <c r="I15" s="467" t="s">
        <v>1169</v>
      </c>
      <c r="J15" s="1807">
        <f>'Expenditures 15-22'!K334</f>
        <v>0</v>
      </c>
      <c r="K15" s="1715">
        <f>'Expenditures 15-22'!K357</f>
        <v>0</v>
      </c>
      <c r="L15" s="347"/>
    </row>
    <row r="16" spans="1:13" ht="15.75" customHeight="1" x14ac:dyDescent="0.2">
      <c r="A16" s="1548" t="s">
        <v>450</v>
      </c>
      <c r="B16" s="1550">
        <v>5000</v>
      </c>
      <c r="C16" s="1715">
        <f>'Expenditures 15-22'!K112</f>
        <v>0</v>
      </c>
      <c r="D16" s="1715">
        <f>'Expenditures 15-22'!K149</f>
        <v>0</v>
      </c>
      <c r="E16" s="1715">
        <f>'Expenditures 15-22'!K172</f>
        <v>612313</v>
      </c>
      <c r="F16" s="1715">
        <f>'Expenditures 15-22'!K208</f>
        <v>0</v>
      </c>
      <c r="G16" s="1715">
        <f>'Expenditures 15-22'!K293</f>
        <v>0</v>
      </c>
      <c r="H16" s="516"/>
      <c r="I16" s="467" t="s">
        <v>1169</v>
      </c>
      <c r="J16" s="1720">
        <f>'Expenditures 15-22'!K340</f>
        <v>0</v>
      </c>
      <c r="K16" s="1715">
        <f>'Expenditures 15-22'!K365</f>
        <v>0</v>
      </c>
      <c r="L16" s="347"/>
    </row>
    <row r="17" spans="1:12" ht="13.5" thickBot="1" x14ac:dyDescent="0.25">
      <c r="A17" s="1680" t="s">
        <v>48</v>
      </c>
      <c r="B17" s="1681"/>
      <c r="C17" s="1660">
        <f t="shared" ref="C17:H17" si="2">SUM(C12:C16)</f>
        <v>8821046</v>
      </c>
      <c r="D17" s="1660">
        <f t="shared" si="2"/>
        <v>1215468</v>
      </c>
      <c r="E17" s="1660">
        <f t="shared" si="2"/>
        <v>612313</v>
      </c>
      <c r="F17" s="1660">
        <f t="shared" si="2"/>
        <v>525340</v>
      </c>
      <c r="G17" s="1660">
        <f t="shared" si="2"/>
        <v>325920</v>
      </c>
      <c r="H17" s="1660">
        <f t="shared" si="2"/>
        <v>522329</v>
      </c>
      <c r="I17" s="467"/>
      <c r="J17" s="1660">
        <f>SUM(J12:J16)</f>
        <v>116974</v>
      </c>
      <c r="K17" s="1660">
        <f>SUM(K12:K16)</f>
        <v>0</v>
      </c>
      <c r="L17" s="347"/>
    </row>
    <row r="18" spans="1:12" ht="15" customHeight="1" thickTop="1" x14ac:dyDescent="0.2">
      <c r="A18" s="1716" t="s">
        <v>1654</v>
      </c>
      <c r="B18" s="1717">
        <v>4180</v>
      </c>
      <c r="C18" s="1714">
        <f t="shared" ref="C18:H18" si="3">C9</f>
        <v>3640945</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505</v>
      </c>
      <c r="B19" s="1681"/>
      <c r="C19" s="1660">
        <f t="shared" ref="C19:H19" si="4">SUM(C17:C18)</f>
        <v>12461991</v>
      </c>
      <c r="D19" s="1660">
        <f t="shared" si="4"/>
        <v>1215468</v>
      </c>
      <c r="E19" s="1660">
        <f t="shared" si="4"/>
        <v>612313</v>
      </c>
      <c r="F19" s="1660">
        <f t="shared" si="4"/>
        <v>525340</v>
      </c>
      <c r="G19" s="1660">
        <f t="shared" si="4"/>
        <v>325920</v>
      </c>
      <c r="H19" s="1660">
        <f t="shared" si="4"/>
        <v>522329</v>
      </c>
      <c r="I19" s="467"/>
      <c r="J19" s="1660">
        <f>SUM(J17:J18)</f>
        <v>116974</v>
      </c>
      <c r="K19" s="1660">
        <f>SUM(K17:K18)</f>
        <v>0</v>
      </c>
      <c r="L19" s="347"/>
    </row>
    <row r="20" spans="1:12" ht="16.5" thickTop="1" thickBot="1" x14ac:dyDescent="0.25">
      <c r="A20" s="2199" t="s">
        <v>1655</v>
      </c>
      <c r="B20" s="2200"/>
      <c r="C20" s="1718">
        <f>C8-C17</f>
        <v>408053</v>
      </c>
      <c r="D20" s="1718">
        <f t="shared" ref="D20:K20" si="5">D8-D17</f>
        <v>95990</v>
      </c>
      <c r="E20" s="1718">
        <f t="shared" si="5"/>
        <v>-612280</v>
      </c>
      <c r="F20" s="1718">
        <f t="shared" si="5"/>
        <v>288632</v>
      </c>
      <c r="G20" s="1718">
        <f t="shared" si="5"/>
        <v>47135</v>
      </c>
      <c r="H20" s="1718">
        <f t="shared" si="5"/>
        <v>-260211</v>
      </c>
      <c r="I20" s="1718">
        <f t="shared" si="5"/>
        <v>63283</v>
      </c>
      <c r="J20" s="1718">
        <f t="shared" si="5"/>
        <v>-52692</v>
      </c>
      <c r="K20" s="1718">
        <f t="shared" si="5"/>
        <v>228123</v>
      </c>
      <c r="L20" s="347"/>
    </row>
    <row r="21" spans="1:12" ht="16.7" customHeight="1" thickTop="1" x14ac:dyDescent="0.2">
      <c r="A21" s="2211" t="s">
        <v>595</v>
      </c>
      <c r="B21" s="2212"/>
      <c r="C21" s="1542"/>
      <c r="D21" s="1543"/>
      <c r="E21" s="1543"/>
      <c r="F21" s="1543"/>
      <c r="G21" s="1543"/>
      <c r="H21" s="1543"/>
      <c r="I21" s="1543"/>
      <c r="J21" s="1543"/>
      <c r="K21" s="1544"/>
      <c r="L21" s="517"/>
    </row>
    <row r="22" spans="1:12" ht="15.75" customHeight="1" collapsed="1" x14ac:dyDescent="0.2">
      <c r="A22" s="2207" t="s">
        <v>596</v>
      </c>
      <c r="B22" s="2208"/>
      <c r="C22" s="473"/>
      <c r="D22" s="473"/>
      <c r="E22" s="473"/>
      <c r="F22" s="473"/>
      <c r="G22" s="473"/>
      <c r="H22" s="473"/>
      <c r="I22" s="473"/>
      <c r="J22" s="473"/>
      <c r="K22" s="473"/>
      <c r="L22" s="347"/>
    </row>
    <row r="23" spans="1:12" s="481" customFormat="1" ht="15.75" customHeight="1" x14ac:dyDescent="0.2">
      <c r="A23" s="2203" t="s">
        <v>293</v>
      </c>
      <c r="B23" s="2204"/>
      <c r="C23" s="476"/>
      <c r="D23" s="473"/>
      <c r="E23" s="473"/>
      <c r="F23" s="473"/>
      <c r="G23" s="473"/>
      <c r="H23" s="473"/>
      <c r="I23" s="473"/>
      <c r="J23" s="473"/>
      <c r="K23" s="473"/>
      <c r="L23" s="517"/>
    </row>
    <row r="24" spans="1:12" s="481" customFormat="1" ht="13.5" customHeight="1" x14ac:dyDescent="0.2">
      <c r="A24" s="1462" t="s">
        <v>1656</v>
      </c>
      <c r="B24" s="518">
        <v>7110</v>
      </c>
      <c r="C24" s="1917"/>
      <c r="D24" s="473"/>
      <c r="E24" s="473"/>
      <c r="F24" s="473"/>
      <c r="G24" s="473"/>
      <c r="H24" s="473"/>
      <c r="I24" s="473"/>
      <c r="J24" s="473"/>
      <c r="K24" s="473"/>
      <c r="L24" s="517"/>
    </row>
    <row r="25" spans="1:12" s="481" customFormat="1" ht="13.5" customHeight="1" x14ac:dyDescent="0.2">
      <c r="A25" s="1462" t="s">
        <v>1657</v>
      </c>
      <c r="B25" s="518">
        <v>7110</v>
      </c>
      <c r="C25" s="1917">
        <v>0</v>
      </c>
      <c r="D25" s="1917">
        <v>0</v>
      </c>
      <c r="E25" s="1917">
        <v>0</v>
      </c>
      <c r="F25" s="1917">
        <v>0</v>
      </c>
      <c r="G25" s="1917">
        <v>0</v>
      </c>
      <c r="H25" s="1917">
        <v>0</v>
      </c>
      <c r="I25" s="473"/>
      <c r="J25" s="1917">
        <v>0</v>
      </c>
      <c r="K25" s="1917">
        <v>0</v>
      </c>
      <c r="L25" s="517"/>
    </row>
    <row r="26" spans="1:12" s="481" customFormat="1" ht="13.5" customHeight="1" x14ac:dyDescent="0.2">
      <c r="A26" s="1462" t="s">
        <v>184</v>
      </c>
      <c r="B26" s="479">
        <v>7120</v>
      </c>
      <c r="C26" s="1917">
        <v>0</v>
      </c>
      <c r="D26" s="1917">
        <v>0</v>
      </c>
      <c r="E26" s="1917">
        <v>0</v>
      </c>
      <c r="F26" s="1917">
        <v>0</v>
      </c>
      <c r="G26" s="1917">
        <v>0</v>
      </c>
      <c r="H26" s="1917">
        <v>0</v>
      </c>
      <c r="I26" s="473"/>
      <c r="J26" s="1917">
        <v>0</v>
      </c>
      <c r="K26" s="1917">
        <v>0</v>
      </c>
      <c r="L26" s="517"/>
    </row>
    <row r="27" spans="1:12" s="481" customFormat="1" ht="13.5" customHeight="1" x14ac:dyDescent="0.2">
      <c r="A27" s="1462" t="s">
        <v>185</v>
      </c>
      <c r="B27" s="479">
        <v>7130</v>
      </c>
      <c r="C27" s="1917">
        <v>300000</v>
      </c>
      <c r="D27" s="1917">
        <v>0</v>
      </c>
      <c r="E27" s="519"/>
      <c r="F27" s="1917">
        <v>0</v>
      </c>
      <c r="G27" s="476"/>
      <c r="H27" s="476"/>
      <c r="I27" s="476"/>
      <c r="J27" s="476"/>
      <c r="K27" s="476"/>
      <c r="L27" s="517"/>
    </row>
    <row r="28" spans="1:12" s="481" customFormat="1" ht="13.5" customHeight="1" x14ac:dyDescent="0.2">
      <c r="A28" s="1462" t="s">
        <v>1398</v>
      </c>
      <c r="B28" s="479">
        <v>7140</v>
      </c>
      <c r="C28" s="1917">
        <v>0</v>
      </c>
      <c r="D28" s="1917">
        <v>0</v>
      </c>
      <c r="E28" s="1917">
        <v>0</v>
      </c>
      <c r="F28" s="1917">
        <v>0</v>
      </c>
      <c r="G28" s="1917">
        <v>0</v>
      </c>
      <c r="H28" s="1917">
        <v>0</v>
      </c>
      <c r="I28" s="1917">
        <v>0</v>
      </c>
      <c r="J28" s="1917">
        <v>0</v>
      </c>
      <c r="K28" s="1917">
        <v>0</v>
      </c>
      <c r="L28" s="517"/>
    </row>
    <row r="29" spans="1:12" s="481" customFormat="1" ht="13.5" customHeight="1" x14ac:dyDescent="0.2">
      <c r="A29" s="1462" t="s">
        <v>294</v>
      </c>
      <c r="B29" s="479">
        <v>7150</v>
      </c>
      <c r="C29" s="472"/>
      <c r="D29" s="1917">
        <v>0</v>
      </c>
      <c r="E29" s="472"/>
      <c r="F29" s="472"/>
      <c r="G29" s="472"/>
      <c r="H29" s="472"/>
      <c r="I29" s="472"/>
      <c r="J29" s="472"/>
      <c r="K29" s="472"/>
      <c r="L29" s="517"/>
    </row>
    <row r="30" spans="1:12" s="481" customFormat="1" ht="26.25" x14ac:dyDescent="0.2">
      <c r="A30" s="1462" t="s">
        <v>1794</v>
      </c>
      <c r="B30" s="520">
        <v>7160</v>
      </c>
      <c r="C30" s="473"/>
      <c r="D30" s="1917">
        <v>0</v>
      </c>
      <c r="E30" s="473"/>
      <c r="F30" s="473"/>
      <c r="G30" s="473"/>
      <c r="H30" s="473"/>
      <c r="I30" s="473"/>
      <c r="J30" s="473"/>
      <c r="K30" s="473"/>
      <c r="L30" s="517"/>
    </row>
    <row r="31" spans="1:12" s="481" customFormat="1" ht="26.25" x14ac:dyDescent="0.2">
      <c r="A31" s="1462" t="s">
        <v>1798</v>
      </c>
      <c r="B31" s="520">
        <v>7170</v>
      </c>
      <c r="C31" s="473"/>
      <c r="D31" s="473"/>
      <c r="E31" s="1918">
        <v>0</v>
      </c>
      <c r="F31" s="473"/>
      <c r="G31" s="473"/>
      <c r="H31" s="473"/>
      <c r="I31" s="473"/>
      <c r="J31" s="473"/>
      <c r="K31" s="473"/>
      <c r="L31" s="517"/>
    </row>
    <row r="32" spans="1:12" s="481" customFormat="1" ht="15.75" customHeight="1" x14ac:dyDescent="0.2">
      <c r="A32" s="2205" t="s">
        <v>981</v>
      </c>
      <c r="B32" s="2206"/>
      <c r="C32" s="473"/>
      <c r="D32" s="473"/>
      <c r="E32" s="472"/>
      <c r="F32" s="473"/>
      <c r="G32" s="473"/>
      <c r="H32" s="473"/>
      <c r="I32" s="473"/>
      <c r="J32" s="473"/>
      <c r="K32" s="473"/>
      <c r="L32" s="517"/>
    </row>
    <row r="33" spans="1:12" s="481" customFormat="1" x14ac:dyDescent="0.2">
      <c r="A33" s="1462" t="s">
        <v>412</v>
      </c>
      <c r="B33" s="518">
        <v>7210</v>
      </c>
      <c r="C33" s="1917">
        <v>0</v>
      </c>
      <c r="D33" s="1917">
        <v>0</v>
      </c>
      <c r="E33" s="1917">
        <v>0</v>
      </c>
      <c r="F33" s="1917">
        <v>0</v>
      </c>
      <c r="G33" s="473"/>
      <c r="H33" s="1917">
        <v>0</v>
      </c>
      <c r="I33" s="1917">
        <v>0</v>
      </c>
      <c r="J33" s="1917">
        <v>0</v>
      </c>
      <c r="K33" s="1917">
        <v>0</v>
      </c>
      <c r="L33" s="517"/>
    </row>
    <row r="34" spans="1:12" s="481" customFormat="1" x14ac:dyDescent="0.2">
      <c r="A34" s="1462" t="s">
        <v>1001</v>
      </c>
      <c r="B34" s="518">
        <v>7220</v>
      </c>
      <c r="C34" s="1917">
        <v>0</v>
      </c>
      <c r="D34" s="1917">
        <v>0</v>
      </c>
      <c r="E34" s="1917">
        <v>0</v>
      </c>
      <c r="F34" s="1917">
        <v>0</v>
      </c>
      <c r="G34" s="473"/>
      <c r="H34" s="474">
        <v>0</v>
      </c>
      <c r="I34" s="474">
        <v>0</v>
      </c>
      <c r="J34" s="474">
        <v>0</v>
      </c>
      <c r="K34" s="474">
        <v>0</v>
      </c>
      <c r="L34" s="517"/>
    </row>
    <row r="35" spans="1:12" s="481" customFormat="1" x14ac:dyDescent="0.2">
      <c r="A35" s="1462" t="s">
        <v>990</v>
      </c>
      <c r="B35" s="518">
        <v>7230</v>
      </c>
      <c r="C35" s="1917">
        <v>0</v>
      </c>
      <c r="D35" s="1917">
        <v>0</v>
      </c>
      <c r="E35" s="1917">
        <v>0</v>
      </c>
      <c r="F35" s="1917">
        <v>0</v>
      </c>
      <c r="G35" s="476"/>
      <c r="H35" s="1917">
        <v>0</v>
      </c>
      <c r="I35" s="1917">
        <v>0</v>
      </c>
      <c r="J35" s="1917">
        <v>0</v>
      </c>
      <c r="K35" s="1917">
        <v>0</v>
      </c>
      <c r="L35" s="517"/>
    </row>
    <row r="36" spans="1:12" s="481" customFormat="1" ht="15" x14ac:dyDescent="0.2">
      <c r="A36" s="1462" t="s">
        <v>1658</v>
      </c>
      <c r="B36" s="518">
        <v>7300</v>
      </c>
      <c r="C36" s="1917">
        <v>0</v>
      </c>
      <c r="D36" s="1917">
        <v>0</v>
      </c>
      <c r="E36" s="1917">
        <v>0</v>
      </c>
      <c r="F36" s="1917">
        <v>0</v>
      </c>
      <c r="G36" s="1917">
        <v>0</v>
      </c>
      <c r="H36" s="1917">
        <v>0</v>
      </c>
      <c r="I36" s="472"/>
      <c r="J36" s="1917">
        <v>0</v>
      </c>
      <c r="K36" s="1917">
        <v>0</v>
      </c>
      <c r="L36" s="517"/>
    </row>
    <row r="37" spans="1:12" s="481" customFormat="1" x14ac:dyDescent="0.2">
      <c r="A37" s="1462" t="s">
        <v>441</v>
      </c>
      <c r="B37" s="518">
        <v>7400</v>
      </c>
      <c r="C37" s="472"/>
      <c r="D37" s="472"/>
      <c r="E37" s="1715">
        <f>SUM(C54:D57,H54:H57)</f>
        <v>0</v>
      </c>
      <c r="F37" s="472"/>
      <c r="G37" s="472"/>
      <c r="H37" s="472"/>
      <c r="I37" s="473"/>
      <c r="J37" s="472"/>
      <c r="K37" s="472"/>
      <c r="L37" s="517"/>
    </row>
    <row r="38" spans="1:12" s="481" customFormat="1" x14ac:dyDescent="0.2">
      <c r="A38" s="1462" t="s">
        <v>442</v>
      </c>
      <c r="B38" s="518">
        <v>7500</v>
      </c>
      <c r="C38" s="473"/>
      <c r="D38" s="473"/>
      <c r="E38" s="1715">
        <f>SUM(C58:D61,H58:H61)</f>
        <v>0</v>
      </c>
      <c r="F38" s="473"/>
      <c r="G38" s="473"/>
      <c r="H38" s="473"/>
      <c r="I38" s="473"/>
      <c r="J38" s="473"/>
      <c r="K38" s="473"/>
      <c r="L38" s="517"/>
    </row>
    <row r="39" spans="1:12" s="481" customFormat="1" x14ac:dyDescent="0.2">
      <c r="A39" s="1462" t="s">
        <v>443</v>
      </c>
      <c r="B39" s="518">
        <v>7600</v>
      </c>
      <c r="C39" s="473"/>
      <c r="D39" s="473"/>
      <c r="E39" s="1715">
        <f>SUM(C62:D65)</f>
        <v>550000</v>
      </c>
      <c r="F39" s="473"/>
      <c r="G39" s="473"/>
      <c r="H39" s="473"/>
      <c r="I39" s="473"/>
      <c r="J39" s="473"/>
      <c r="K39" s="473"/>
      <c r="L39" s="517"/>
    </row>
    <row r="40" spans="1:12" s="481" customFormat="1" ht="13.5" customHeight="1" x14ac:dyDescent="0.2">
      <c r="A40" s="1462" t="s">
        <v>642</v>
      </c>
      <c r="B40" s="479">
        <v>7700</v>
      </c>
      <c r="C40" s="473"/>
      <c r="D40" s="473"/>
      <c r="E40" s="1715">
        <f>SUM(C66:D69)</f>
        <v>59838</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5">
        <f>SUM(C70:D73)</f>
        <v>223049</v>
      </c>
      <c r="I41" s="473"/>
      <c r="J41" s="473"/>
      <c r="K41" s="476"/>
      <c r="L41" s="517"/>
    </row>
    <row r="42" spans="1:12" s="481" customFormat="1" ht="13.5" customHeight="1" x14ac:dyDescent="0.2">
      <c r="A42" s="1462" t="s">
        <v>641</v>
      </c>
      <c r="B42" s="479">
        <v>7900</v>
      </c>
      <c r="C42" s="1917">
        <v>0</v>
      </c>
      <c r="D42" s="1917">
        <v>0</v>
      </c>
      <c r="E42" s="1917">
        <v>0</v>
      </c>
      <c r="F42" s="1917">
        <v>0</v>
      </c>
      <c r="G42" s="1917">
        <v>0</v>
      </c>
      <c r="H42" s="1917">
        <v>0</v>
      </c>
      <c r="I42" s="476"/>
      <c r="J42" s="476"/>
      <c r="K42" s="1917">
        <v>0</v>
      </c>
      <c r="L42" s="517"/>
    </row>
    <row r="43" spans="1:12" s="481" customFormat="1" ht="13.5" customHeight="1" x14ac:dyDescent="0.2">
      <c r="A43" s="1462" t="s">
        <v>373</v>
      </c>
      <c r="B43" s="479">
        <v>7990</v>
      </c>
      <c r="C43" s="1917">
        <v>0</v>
      </c>
      <c r="D43" s="1917">
        <v>0</v>
      </c>
      <c r="E43" s="1917">
        <v>2475</v>
      </c>
      <c r="F43" s="1917">
        <v>0</v>
      </c>
      <c r="G43" s="1917">
        <v>0</v>
      </c>
      <c r="H43" s="1917">
        <v>0</v>
      </c>
      <c r="I43" s="1917">
        <v>0</v>
      </c>
      <c r="J43" s="1917">
        <v>0</v>
      </c>
      <c r="K43" s="1917">
        <v>0</v>
      </c>
      <c r="L43" s="517"/>
    </row>
    <row r="44" spans="1:12" s="481" customFormat="1" ht="13.5" customHeight="1" thickBot="1" x14ac:dyDescent="0.25">
      <c r="A44" s="2213" t="s">
        <v>374</v>
      </c>
      <c r="B44" s="2214"/>
      <c r="C44" s="1675">
        <f>SUM(C24:C43)</f>
        <v>300000</v>
      </c>
      <c r="D44" s="1675">
        <f t="shared" ref="D44:K44" si="6">SUM(D24:D43)</f>
        <v>0</v>
      </c>
      <c r="E44" s="1675">
        <f t="shared" si="6"/>
        <v>612313</v>
      </c>
      <c r="F44" s="1675">
        <f t="shared" si="6"/>
        <v>0</v>
      </c>
      <c r="G44" s="1675">
        <f t="shared" si="6"/>
        <v>0</v>
      </c>
      <c r="H44" s="1675">
        <f t="shared" si="6"/>
        <v>223049</v>
      </c>
      <c r="I44" s="1675">
        <f t="shared" si="6"/>
        <v>0</v>
      </c>
      <c r="J44" s="1675">
        <f t="shared" si="6"/>
        <v>0</v>
      </c>
      <c r="K44" s="1675">
        <f t="shared" si="6"/>
        <v>0</v>
      </c>
      <c r="L44" s="517"/>
    </row>
    <row r="45" spans="1:12" ht="15.75" customHeight="1" thickTop="1" x14ac:dyDescent="0.2">
      <c r="A45" s="2207" t="s">
        <v>108</v>
      </c>
      <c r="B45" s="2208"/>
      <c r="C45" s="521"/>
      <c r="D45" s="521"/>
      <c r="E45" s="521"/>
      <c r="F45" s="521"/>
      <c r="G45" s="521"/>
      <c r="H45" s="521"/>
      <c r="I45" s="521"/>
      <c r="J45" s="521"/>
      <c r="K45" s="521"/>
      <c r="L45" s="347"/>
    </row>
    <row r="46" spans="1:12" s="481" customFormat="1" ht="15.75" customHeight="1" x14ac:dyDescent="0.2">
      <c r="A46" s="2215" t="s">
        <v>109</v>
      </c>
      <c r="B46" s="2216"/>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5">
        <f>SUM(C24,C25:H25,J25:K25)</f>
        <v>0</v>
      </c>
      <c r="J47" s="473"/>
      <c r="K47" s="473"/>
      <c r="L47" s="522"/>
    </row>
    <row r="48" spans="1:12" s="481" customFormat="1" ht="15" x14ac:dyDescent="0.2">
      <c r="A48" s="1463" t="s">
        <v>1660</v>
      </c>
      <c r="B48" s="479">
        <v>8120</v>
      </c>
      <c r="C48" s="476"/>
      <c r="D48" s="476"/>
      <c r="E48" s="473"/>
      <c r="F48" s="476"/>
      <c r="G48" s="473"/>
      <c r="H48" s="473"/>
      <c r="I48" s="1715">
        <f>SUM(C26:H26,J26,K26)</f>
        <v>0</v>
      </c>
      <c r="J48" s="473"/>
      <c r="K48" s="473"/>
      <c r="L48" s="522"/>
    </row>
    <row r="49" spans="1:12" s="481" customFormat="1" x14ac:dyDescent="0.2">
      <c r="A49" s="1463" t="s">
        <v>185</v>
      </c>
      <c r="B49" s="479">
        <v>8130</v>
      </c>
      <c r="C49" s="1917">
        <v>0</v>
      </c>
      <c r="D49" s="1917">
        <v>0</v>
      </c>
      <c r="E49" s="476"/>
      <c r="F49" s="1917">
        <v>300000</v>
      </c>
      <c r="G49" s="476"/>
      <c r="H49" s="476"/>
      <c r="I49" s="473"/>
      <c r="J49" s="476"/>
      <c r="K49" s="473"/>
      <c r="L49" s="517"/>
    </row>
    <row r="50" spans="1:12" s="481" customFormat="1" x14ac:dyDescent="0.2">
      <c r="A50" s="1463" t="s">
        <v>1398</v>
      </c>
      <c r="B50" s="479">
        <v>8140</v>
      </c>
      <c r="C50" s="1917">
        <v>0</v>
      </c>
      <c r="D50" s="1917">
        <v>0</v>
      </c>
      <c r="E50" s="1917">
        <v>0</v>
      </c>
      <c r="F50" s="1917">
        <v>0</v>
      </c>
      <c r="G50" s="1917">
        <v>0</v>
      </c>
      <c r="H50" s="1917">
        <v>0</v>
      </c>
      <c r="I50" s="473"/>
      <c r="J50" s="1917">
        <v>0</v>
      </c>
      <c r="K50" s="473"/>
      <c r="L50" s="517"/>
    </row>
    <row r="51" spans="1:12" s="481" customFormat="1" x14ac:dyDescent="0.2">
      <c r="A51" s="1463" t="s">
        <v>294</v>
      </c>
      <c r="B51" s="479">
        <v>8150</v>
      </c>
      <c r="C51" s="472"/>
      <c r="D51" s="472"/>
      <c r="E51" s="472"/>
      <c r="F51" s="472"/>
      <c r="G51" s="472"/>
      <c r="H51" s="1715">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5">
        <f>D30</f>
        <v>0</v>
      </c>
      <c r="L52" s="517"/>
    </row>
    <row r="53" spans="1:12" s="481" customFormat="1" ht="26.25" x14ac:dyDescent="0.2">
      <c r="A53" s="1463" t="s">
        <v>1796</v>
      </c>
      <c r="B53" s="479">
        <v>8170</v>
      </c>
      <c r="C53" s="476"/>
      <c r="D53" s="476"/>
      <c r="E53" s="473"/>
      <c r="F53" s="473"/>
      <c r="G53" s="473"/>
      <c r="H53" s="476"/>
      <c r="I53" s="473"/>
      <c r="J53" s="473"/>
      <c r="K53" s="1715">
        <f>E31</f>
        <v>0</v>
      </c>
      <c r="L53" s="517"/>
    </row>
    <row r="54" spans="1:12" s="481" customFormat="1" ht="13.5" thickBot="1" x14ac:dyDescent="0.25">
      <c r="A54" s="1463" t="s">
        <v>692</v>
      </c>
      <c r="B54" s="479">
        <v>8410</v>
      </c>
      <c r="C54" s="1919">
        <v>0</v>
      </c>
      <c r="D54" s="1919">
        <v>0</v>
      </c>
      <c r="E54" s="473"/>
      <c r="F54" s="473"/>
      <c r="G54" s="473"/>
      <c r="H54" s="1923">
        <v>0</v>
      </c>
      <c r="I54" s="473"/>
      <c r="J54" s="473"/>
      <c r="K54" s="472"/>
      <c r="L54" s="517"/>
    </row>
    <row r="55" spans="1:12" s="481" customFormat="1" ht="14.25" thickTop="1" thickBot="1" x14ac:dyDescent="0.25">
      <c r="A55" s="1464" t="s">
        <v>693</v>
      </c>
      <c r="B55" s="479">
        <v>8420</v>
      </c>
      <c r="C55" s="1920">
        <v>0</v>
      </c>
      <c r="D55" s="1920">
        <v>0</v>
      </c>
      <c r="E55" s="473"/>
      <c r="F55" s="473"/>
      <c r="G55" s="473"/>
      <c r="H55" s="1923">
        <v>0</v>
      </c>
      <c r="I55" s="473"/>
      <c r="J55" s="473"/>
      <c r="K55" s="473"/>
      <c r="L55" s="517"/>
    </row>
    <row r="56" spans="1:12" s="481" customFormat="1" ht="14.25" thickTop="1" thickBot="1" x14ac:dyDescent="0.25">
      <c r="A56" s="1463" t="s">
        <v>581</v>
      </c>
      <c r="B56" s="479">
        <v>8430</v>
      </c>
      <c r="C56" s="1920">
        <v>0</v>
      </c>
      <c r="D56" s="1920">
        <v>0</v>
      </c>
      <c r="E56" s="473"/>
      <c r="F56" s="473"/>
      <c r="G56" s="473"/>
      <c r="H56" s="1923">
        <v>0</v>
      </c>
      <c r="I56" s="473"/>
      <c r="J56" s="473"/>
      <c r="K56" s="473"/>
      <c r="L56" s="517"/>
    </row>
    <row r="57" spans="1:12" s="481" customFormat="1" ht="14.25" thickTop="1" thickBot="1" x14ac:dyDescent="0.25">
      <c r="A57" s="1464" t="s">
        <v>578</v>
      </c>
      <c r="B57" s="479">
        <v>8440</v>
      </c>
      <c r="C57" s="1920">
        <v>0</v>
      </c>
      <c r="D57" s="1920">
        <v>0</v>
      </c>
      <c r="E57" s="473"/>
      <c r="F57" s="473"/>
      <c r="G57" s="473"/>
      <c r="H57" s="1923">
        <v>0</v>
      </c>
      <c r="I57" s="473"/>
      <c r="J57" s="473"/>
      <c r="K57" s="473"/>
      <c r="L57" s="517"/>
    </row>
    <row r="58" spans="1:12" s="481" customFormat="1" ht="14.25" thickTop="1" thickBot="1" x14ac:dyDescent="0.25">
      <c r="A58" s="1463" t="s">
        <v>579</v>
      </c>
      <c r="B58" s="479">
        <v>8510</v>
      </c>
      <c r="C58" s="1920">
        <v>0</v>
      </c>
      <c r="D58" s="1920">
        <v>0</v>
      </c>
      <c r="E58" s="473"/>
      <c r="F58" s="473"/>
      <c r="G58" s="473"/>
      <c r="H58" s="1923">
        <v>0</v>
      </c>
      <c r="I58" s="473"/>
      <c r="J58" s="473"/>
      <c r="K58" s="473"/>
      <c r="L58" s="517"/>
    </row>
    <row r="59" spans="1:12" s="481" customFormat="1" ht="14.25" thickTop="1" thickBot="1" x14ac:dyDescent="0.25">
      <c r="A59" s="1465" t="s">
        <v>694</v>
      </c>
      <c r="B59" s="479">
        <v>8520</v>
      </c>
      <c r="C59" s="1920">
        <v>0</v>
      </c>
      <c r="D59" s="1920">
        <v>0</v>
      </c>
      <c r="E59" s="473"/>
      <c r="F59" s="473"/>
      <c r="G59" s="473"/>
      <c r="H59" s="1923">
        <v>0</v>
      </c>
      <c r="I59" s="473"/>
      <c r="J59" s="473"/>
      <c r="K59" s="473"/>
      <c r="L59" s="517"/>
    </row>
    <row r="60" spans="1:12" s="481" customFormat="1" ht="14.25" thickTop="1" thickBot="1" x14ac:dyDescent="0.25">
      <c r="A60" s="1463" t="s">
        <v>580</v>
      </c>
      <c r="B60" s="479">
        <v>8530</v>
      </c>
      <c r="C60" s="1920">
        <v>0</v>
      </c>
      <c r="D60" s="1920">
        <v>0</v>
      </c>
      <c r="E60" s="473"/>
      <c r="F60" s="473"/>
      <c r="G60" s="473"/>
      <c r="H60" s="1923">
        <v>0</v>
      </c>
      <c r="I60" s="473"/>
      <c r="J60" s="473"/>
      <c r="K60" s="473"/>
      <c r="L60" s="517"/>
    </row>
    <row r="61" spans="1:12" s="481" customFormat="1" ht="14.25" thickTop="1" thickBot="1" x14ac:dyDescent="0.25">
      <c r="A61" s="1464" t="s">
        <v>743</v>
      </c>
      <c r="B61" s="479">
        <v>8540</v>
      </c>
      <c r="C61" s="1920">
        <v>0</v>
      </c>
      <c r="D61" s="1920">
        <v>0</v>
      </c>
      <c r="E61" s="473"/>
      <c r="F61" s="473"/>
      <c r="G61" s="473"/>
      <c r="H61" s="1923">
        <v>0</v>
      </c>
      <c r="I61" s="473"/>
      <c r="J61" s="473"/>
      <c r="K61" s="473"/>
      <c r="L61" s="517"/>
    </row>
    <row r="62" spans="1:12" s="481" customFormat="1" ht="13.5" customHeight="1" thickTop="1" thickBot="1" x14ac:dyDescent="0.25">
      <c r="A62" s="1463" t="s">
        <v>744</v>
      </c>
      <c r="B62" s="479">
        <v>8610</v>
      </c>
      <c r="C62" s="1920">
        <v>0</v>
      </c>
      <c r="D62" s="1920">
        <v>0</v>
      </c>
      <c r="E62" s="473"/>
      <c r="F62" s="473"/>
      <c r="G62" s="473"/>
      <c r="H62" s="473"/>
      <c r="I62" s="473"/>
      <c r="J62" s="473"/>
      <c r="K62" s="473"/>
      <c r="L62" s="517"/>
    </row>
    <row r="63" spans="1:12" s="481" customFormat="1" ht="14.25" thickTop="1" thickBot="1" x14ac:dyDescent="0.25">
      <c r="A63" s="1464" t="s">
        <v>695</v>
      </c>
      <c r="B63" s="479">
        <v>8620</v>
      </c>
      <c r="C63" s="1920">
        <v>0</v>
      </c>
      <c r="D63" s="1920">
        <v>0</v>
      </c>
      <c r="E63" s="473"/>
      <c r="F63" s="473"/>
      <c r="G63" s="473"/>
      <c r="H63" s="473"/>
      <c r="I63" s="473"/>
      <c r="J63" s="473"/>
      <c r="K63" s="473"/>
      <c r="L63" s="517"/>
    </row>
    <row r="64" spans="1:12" s="481" customFormat="1" ht="13.5" customHeight="1" thickTop="1" thickBot="1" x14ac:dyDescent="0.25">
      <c r="A64" s="1463" t="s">
        <v>745</v>
      </c>
      <c r="B64" s="479">
        <v>8630</v>
      </c>
      <c r="C64" s="1920">
        <v>550000</v>
      </c>
      <c r="D64" s="1920">
        <v>0</v>
      </c>
      <c r="E64" s="473"/>
      <c r="F64" s="473"/>
      <c r="G64" s="473"/>
      <c r="H64" s="473"/>
      <c r="I64" s="473"/>
      <c r="J64" s="473"/>
      <c r="K64" s="473"/>
      <c r="L64" s="517"/>
    </row>
    <row r="65" spans="1:12" s="481" customFormat="1" ht="14.25" thickTop="1" thickBot="1" x14ac:dyDescent="0.25">
      <c r="A65" s="1464" t="s">
        <v>746</v>
      </c>
      <c r="B65" s="479">
        <v>8640</v>
      </c>
      <c r="C65" s="1920">
        <v>0</v>
      </c>
      <c r="D65" s="1920">
        <v>0</v>
      </c>
      <c r="E65" s="473"/>
      <c r="F65" s="473"/>
      <c r="G65" s="473"/>
      <c r="H65" s="473"/>
      <c r="I65" s="473"/>
      <c r="J65" s="473"/>
      <c r="K65" s="473"/>
      <c r="L65" s="517"/>
    </row>
    <row r="66" spans="1:12" s="481" customFormat="1" ht="14.25" thickTop="1" thickBot="1" x14ac:dyDescent="0.25">
      <c r="A66" s="1463" t="s">
        <v>747</v>
      </c>
      <c r="B66" s="479">
        <v>8710</v>
      </c>
      <c r="C66" s="1920">
        <v>0</v>
      </c>
      <c r="D66" s="1920">
        <v>0</v>
      </c>
      <c r="E66" s="473"/>
      <c r="F66" s="473"/>
      <c r="G66" s="473"/>
      <c r="H66" s="473"/>
      <c r="I66" s="473"/>
      <c r="J66" s="473"/>
      <c r="K66" s="473"/>
      <c r="L66" s="517"/>
    </row>
    <row r="67" spans="1:12" s="481" customFormat="1" ht="14.25" thickTop="1" thickBot="1" x14ac:dyDescent="0.25">
      <c r="A67" s="1464" t="s">
        <v>696</v>
      </c>
      <c r="B67" s="479">
        <v>8720</v>
      </c>
      <c r="C67" s="1920">
        <v>0</v>
      </c>
      <c r="D67" s="1920">
        <v>0</v>
      </c>
      <c r="E67" s="473"/>
      <c r="F67" s="473"/>
      <c r="G67" s="473"/>
      <c r="H67" s="473"/>
      <c r="I67" s="473"/>
      <c r="J67" s="473"/>
      <c r="K67" s="473"/>
      <c r="L67" s="517"/>
    </row>
    <row r="68" spans="1:12" s="481" customFormat="1" ht="14.25" thickTop="1" thickBot="1" x14ac:dyDescent="0.25">
      <c r="A68" s="1465" t="s">
        <v>748</v>
      </c>
      <c r="B68" s="479">
        <v>8730</v>
      </c>
      <c r="C68" s="1920">
        <v>59838</v>
      </c>
      <c r="D68" s="1920">
        <v>0</v>
      </c>
      <c r="E68" s="473"/>
      <c r="F68" s="473"/>
      <c r="G68" s="473"/>
      <c r="H68" s="473"/>
      <c r="I68" s="473"/>
      <c r="J68" s="473"/>
      <c r="K68" s="473"/>
      <c r="L68" s="517"/>
    </row>
    <row r="69" spans="1:12" s="481" customFormat="1" ht="14.25" thickTop="1" thickBot="1" x14ac:dyDescent="0.25">
      <c r="A69" s="1464" t="s">
        <v>749</v>
      </c>
      <c r="B69" s="479">
        <v>8740</v>
      </c>
      <c r="C69" s="1920">
        <v>0</v>
      </c>
      <c r="D69" s="1920">
        <v>0</v>
      </c>
      <c r="E69" s="473"/>
      <c r="F69" s="473"/>
      <c r="G69" s="473"/>
      <c r="H69" s="473"/>
      <c r="I69" s="473"/>
      <c r="J69" s="473"/>
      <c r="K69" s="473"/>
      <c r="L69" s="517"/>
    </row>
    <row r="70" spans="1:12" s="481" customFormat="1" ht="14.25" thickTop="1" thickBot="1" x14ac:dyDescent="0.25">
      <c r="A70" s="1463" t="s">
        <v>750</v>
      </c>
      <c r="B70" s="479">
        <v>8810</v>
      </c>
      <c r="C70" s="1920">
        <v>0</v>
      </c>
      <c r="D70" s="1920">
        <v>0</v>
      </c>
      <c r="E70" s="473"/>
      <c r="F70" s="473"/>
      <c r="G70" s="473"/>
      <c r="H70" s="473"/>
      <c r="I70" s="473"/>
      <c r="J70" s="473"/>
      <c r="K70" s="473"/>
      <c r="L70" s="517"/>
    </row>
    <row r="71" spans="1:12" s="481" customFormat="1" ht="14.25" thickTop="1" thickBot="1" x14ac:dyDescent="0.25">
      <c r="A71" s="1463" t="s">
        <v>754</v>
      </c>
      <c r="B71" s="479">
        <v>8820</v>
      </c>
      <c r="C71" s="1920">
        <v>0</v>
      </c>
      <c r="D71" s="1920">
        <v>0</v>
      </c>
      <c r="E71" s="473"/>
      <c r="F71" s="473"/>
      <c r="G71" s="473"/>
      <c r="H71" s="473"/>
      <c r="I71" s="473"/>
      <c r="J71" s="473"/>
      <c r="K71" s="473"/>
      <c r="L71" s="517"/>
    </row>
    <row r="72" spans="1:12" s="481" customFormat="1" ht="14.25" thickTop="1" thickBot="1" x14ac:dyDescent="0.25">
      <c r="A72" s="1463" t="s">
        <v>751</v>
      </c>
      <c r="B72" s="479">
        <v>8830</v>
      </c>
      <c r="C72" s="1920">
        <v>0</v>
      </c>
      <c r="D72" s="1920">
        <v>0</v>
      </c>
      <c r="E72" s="473"/>
      <c r="F72" s="473"/>
      <c r="G72" s="473"/>
      <c r="H72" s="473"/>
      <c r="I72" s="473"/>
      <c r="J72" s="473"/>
      <c r="K72" s="473"/>
      <c r="L72" s="517"/>
    </row>
    <row r="73" spans="1:12" s="481" customFormat="1" ht="14.25" thickTop="1" thickBot="1" x14ac:dyDescent="0.25">
      <c r="A73" s="1463" t="s">
        <v>752</v>
      </c>
      <c r="B73" s="479">
        <v>8840</v>
      </c>
      <c r="C73" s="1920">
        <v>223049</v>
      </c>
      <c r="D73" s="1920">
        <v>0</v>
      </c>
      <c r="E73" s="473"/>
      <c r="F73" s="473"/>
      <c r="G73" s="473"/>
      <c r="H73" s="473"/>
      <c r="I73" s="473"/>
      <c r="J73" s="473"/>
      <c r="K73" s="476"/>
      <c r="L73" s="517"/>
    </row>
    <row r="74" spans="1:12" s="481" customFormat="1" ht="14.25" thickTop="1" thickBot="1" x14ac:dyDescent="0.25">
      <c r="A74" s="1463" t="s">
        <v>375</v>
      </c>
      <c r="B74" s="479">
        <v>8910</v>
      </c>
      <c r="C74" s="1920">
        <v>0</v>
      </c>
      <c r="D74" s="1920">
        <v>0</v>
      </c>
      <c r="E74" s="476"/>
      <c r="F74" s="1923">
        <v>0</v>
      </c>
      <c r="G74" s="1923">
        <v>0</v>
      </c>
      <c r="H74" s="1923">
        <v>0</v>
      </c>
      <c r="I74" s="476"/>
      <c r="J74" s="476"/>
      <c r="K74" s="1923">
        <v>0</v>
      </c>
      <c r="L74" s="517"/>
    </row>
    <row r="75" spans="1:12" s="481" customFormat="1" ht="14.25" thickTop="1" thickBot="1" x14ac:dyDescent="0.25">
      <c r="A75" s="1466" t="s">
        <v>439</v>
      </c>
      <c r="B75" s="479">
        <v>8990</v>
      </c>
      <c r="C75" s="1920">
        <v>2475</v>
      </c>
      <c r="D75" s="1920">
        <v>0</v>
      </c>
      <c r="E75" s="1923">
        <v>0</v>
      </c>
      <c r="F75" s="1924">
        <v>0</v>
      </c>
      <c r="G75" s="1924">
        <v>0</v>
      </c>
      <c r="H75" s="1924">
        <v>0</v>
      </c>
      <c r="I75" s="1923">
        <v>0</v>
      </c>
      <c r="J75" s="1923">
        <v>0</v>
      </c>
      <c r="K75" s="1924">
        <v>0</v>
      </c>
      <c r="L75" s="517"/>
    </row>
    <row r="76" spans="1:12" s="481" customFormat="1" ht="14.25" thickTop="1" thickBot="1" x14ac:dyDescent="0.25">
      <c r="A76" s="2189" t="s">
        <v>440</v>
      </c>
      <c r="B76" s="2190"/>
      <c r="C76" s="1675">
        <f t="shared" ref="C76:K76" si="7">SUM(C47:C75)</f>
        <v>835362</v>
      </c>
      <c r="D76" s="1675">
        <f t="shared" si="7"/>
        <v>0</v>
      </c>
      <c r="E76" s="1675">
        <f t="shared" si="7"/>
        <v>0</v>
      </c>
      <c r="F76" s="1675">
        <f t="shared" si="7"/>
        <v>300000</v>
      </c>
      <c r="G76" s="1675">
        <f t="shared" si="7"/>
        <v>0</v>
      </c>
      <c r="H76" s="1675">
        <f t="shared" si="7"/>
        <v>0</v>
      </c>
      <c r="I76" s="1675">
        <f t="shared" si="7"/>
        <v>0</v>
      </c>
      <c r="J76" s="1675">
        <f t="shared" si="7"/>
        <v>0</v>
      </c>
      <c r="K76" s="1675">
        <f t="shared" si="7"/>
        <v>0</v>
      </c>
      <c r="L76" s="517"/>
    </row>
    <row r="77" spans="1:12" ht="14.25" thickTop="1" thickBot="1" x14ac:dyDescent="0.25">
      <c r="A77" s="2191" t="s">
        <v>1177</v>
      </c>
      <c r="B77" s="2192"/>
      <c r="C77" s="1675">
        <f t="shared" ref="C77:K77" si="8">C44-C76</f>
        <v>-535362</v>
      </c>
      <c r="D77" s="1675">
        <f t="shared" si="8"/>
        <v>0</v>
      </c>
      <c r="E77" s="1675">
        <f t="shared" si="8"/>
        <v>612313</v>
      </c>
      <c r="F77" s="1675">
        <f t="shared" si="8"/>
        <v>-300000</v>
      </c>
      <c r="G77" s="1675">
        <f t="shared" si="8"/>
        <v>0</v>
      </c>
      <c r="H77" s="1675">
        <f t="shared" si="8"/>
        <v>223049</v>
      </c>
      <c r="I77" s="1675">
        <f t="shared" si="8"/>
        <v>0</v>
      </c>
      <c r="J77" s="1675">
        <f t="shared" si="8"/>
        <v>0</v>
      </c>
      <c r="K77" s="1675">
        <f t="shared" si="8"/>
        <v>0</v>
      </c>
      <c r="L77" s="347"/>
    </row>
    <row r="78" spans="1:12" ht="21.75" customHeight="1" thickTop="1" thickBot="1" x14ac:dyDescent="0.25">
      <c r="A78" s="2195" t="s">
        <v>597</v>
      </c>
      <c r="B78" s="2196"/>
      <c r="C78" s="1674">
        <f t="shared" ref="C78:K78" si="9">C20+C77</f>
        <v>-127309</v>
      </c>
      <c r="D78" s="1674">
        <f t="shared" si="9"/>
        <v>95990</v>
      </c>
      <c r="E78" s="1674">
        <f t="shared" si="9"/>
        <v>33</v>
      </c>
      <c r="F78" s="1674">
        <f t="shared" si="9"/>
        <v>-11368</v>
      </c>
      <c r="G78" s="1674">
        <f t="shared" si="9"/>
        <v>47135</v>
      </c>
      <c r="H78" s="1674">
        <f t="shared" si="9"/>
        <v>-37162</v>
      </c>
      <c r="I78" s="1674">
        <f t="shared" si="9"/>
        <v>63283</v>
      </c>
      <c r="J78" s="1674">
        <f t="shared" si="9"/>
        <v>-52692</v>
      </c>
      <c r="K78" s="1674">
        <f t="shared" si="9"/>
        <v>228123</v>
      </c>
      <c r="L78" s="524"/>
    </row>
    <row r="79" spans="1:12" ht="13.5" thickTop="1" x14ac:dyDescent="0.2">
      <c r="A79" s="1467" t="s">
        <v>1949</v>
      </c>
      <c r="B79" s="525"/>
      <c r="C79" s="474">
        <v>7686648</v>
      </c>
      <c r="D79" s="1925">
        <v>1948464</v>
      </c>
      <c r="E79" s="1925">
        <v>2149</v>
      </c>
      <c r="F79" s="1925">
        <v>1077344</v>
      </c>
      <c r="G79" s="1925">
        <v>226873</v>
      </c>
      <c r="H79" s="1925">
        <v>142316</v>
      </c>
      <c r="I79" s="1925">
        <v>305101</v>
      </c>
      <c r="J79" s="1925">
        <v>311664</v>
      </c>
      <c r="K79" s="1925">
        <v>189208</v>
      </c>
      <c r="L79" s="347"/>
    </row>
    <row r="80" spans="1:12" x14ac:dyDescent="0.2">
      <c r="A80" s="2201" t="s">
        <v>1795</v>
      </c>
      <c r="B80" s="2202"/>
      <c r="C80" s="466"/>
      <c r="D80" s="466"/>
      <c r="E80" s="466"/>
      <c r="F80" s="466"/>
      <c r="G80" s="466"/>
      <c r="H80" s="466"/>
      <c r="I80" s="466"/>
      <c r="J80" s="466"/>
      <c r="K80" s="466"/>
      <c r="L80" s="347"/>
    </row>
    <row r="81" spans="1:12" ht="13.5" thickBot="1" x14ac:dyDescent="0.25">
      <c r="A81" s="2193" t="s">
        <v>1950</v>
      </c>
      <c r="B81" s="2194"/>
      <c r="C81" s="1660">
        <f>(SUM(C78:C80))</f>
        <v>7559339</v>
      </c>
      <c r="D81" s="1660">
        <f>SUM(D78:D80)</f>
        <v>2044454</v>
      </c>
      <c r="E81" s="1660">
        <f t="shared" ref="E81:K81" si="10">SUM(E78:E80)</f>
        <v>2182</v>
      </c>
      <c r="F81" s="1660">
        <f t="shared" si="10"/>
        <v>1065976</v>
      </c>
      <c r="G81" s="1660">
        <f t="shared" si="10"/>
        <v>274008</v>
      </c>
      <c r="H81" s="1660">
        <f t="shared" si="10"/>
        <v>105154</v>
      </c>
      <c r="I81" s="1660">
        <f t="shared" si="10"/>
        <v>368384</v>
      </c>
      <c r="J81" s="1660">
        <f t="shared" si="10"/>
        <v>258972</v>
      </c>
      <c r="K81" s="1660">
        <f t="shared" si="10"/>
        <v>417331</v>
      </c>
      <c r="L81" s="347"/>
    </row>
    <row r="82" spans="1:12" ht="0.75" customHeight="1" thickTop="1" thickBot="1" x14ac:dyDescent="0.25">
      <c r="A82" s="526" t="s">
        <v>343</v>
      </c>
      <c r="B82" s="527"/>
      <c r="C82" s="528">
        <f>(C81-C79)</f>
        <v>-127309</v>
      </c>
      <c r="D82" s="528">
        <f t="shared" ref="D82:K82" si="11">(D81-D79)</f>
        <v>95990</v>
      </c>
      <c r="E82" s="528">
        <f t="shared" si="11"/>
        <v>33</v>
      </c>
      <c r="F82" s="528">
        <f t="shared" si="11"/>
        <v>-11368</v>
      </c>
      <c r="G82" s="528">
        <f t="shared" si="11"/>
        <v>47135</v>
      </c>
      <c r="H82" s="528">
        <f t="shared" si="11"/>
        <v>-37162</v>
      </c>
      <c r="I82" s="528">
        <f t="shared" si="11"/>
        <v>63283</v>
      </c>
      <c r="J82" s="528">
        <f t="shared" si="11"/>
        <v>-52692</v>
      </c>
      <c r="K82" s="528">
        <f t="shared" si="11"/>
        <v>228123</v>
      </c>
    </row>
    <row r="83" spans="1:12" ht="14.25" hidden="1" thickTop="1" thickBot="1" x14ac:dyDescent="0.25">
      <c r="A83" s="529" t="s">
        <v>344</v>
      </c>
      <c r="B83" s="464"/>
      <c r="C83" s="530">
        <f>C82/C81</f>
        <v>-1.6841287313613004E-2</v>
      </c>
      <c r="D83" s="530">
        <f t="shared" ref="D83:K83" si="12">D82/D81</f>
        <v>4.6951410987970385E-2</v>
      </c>
      <c r="E83" s="530">
        <f t="shared" si="12"/>
        <v>1.5123739688359304E-2</v>
      </c>
      <c r="F83" s="530">
        <f t="shared" si="12"/>
        <v>-1.0664405202368533E-2</v>
      </c>
      <c r="G83" s="530">
        <f t="shared" si="12"/>
        <v>0.17202052494817668</v>
      </c>
      <c r="H83" s="530">
        <f t="shared" si="12"/>
        <v>-0.35340548148429923</v>
      </c>
      <c r="I83" s="530">
        <f t="shared" si="12"/>
        <v>0.17178541956219598</v>
      </c>
      <c r="J83" s="530">
        <f t="shared" si="12"/>
        <v>-0.20346601176961215</v>
      </c>
      <c r="K83" s="530">
        <f t="shared" si="12"/>
        <v>0.54662366323134393</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activeCell="AF22" sqref="AF22"/>
      <selection pane="bottomLeft" activeCell="C5" sqref="C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7" t="s">
        <v>1802</v>
      </c>
      <c r="B1" s="452"/>
      <c r="C1" s="453" t="s">
        <v>425</v>
      </c>
      <c r="D1" s="453" t="s">
        <v>426</v>
      </c>
      <c r="E1" s="453" t="s">
        <v>427</v>
      </c>
      <c r="F1" s="453" t="s">
        <v>428</v>
      </c>
      <c r="G1" s="453" t="s">
        <v>429</v>
      </c>
      <c r="H1" s="453" t="s">
        <v>430</v>
      </c>
      <c r="I1" s="453" t="s">
        <v>431</v>
      </c>
      <c r="J1" s="453" t="s">
        <v>432</v>
      </c>
      <c r="K1" s="453" t="s">
        <v>756</v>
      </c>
    </row>
    <row r="2" spans="1:12" ht="36" x14ac:dyDescent="0.2">
      <c r="A2" s="2198"/>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477">
        <v>7049761</v>
      </c>
      <c r="D5" s="477">
        <v>1246065</v>
      </c>
      <c r="E5" s="1921">
        <v>0</v>
      </c>
      <c r="F5" s="1929">
        <v>664396</v>
      </c>
      <c r="G5" s="1927">
        <v>143953</v>
      </c>
      <c r="H5" s="1927">
        <v>0</v>
      </c>
      <c r="I5" s="1927">
        <v>58471</v>
      </c>
      <c r="J5" s="1931">
        <v>59690</v>
      </c>
      <c r="K5" s="1930">
        <v>225238</v>
      </c>
    </row>
    <row r="6" spans="1:12" ht="15" x14ac:dyDescent="0.2">
      <c r="A6" s="463" t="s">
        <v>1662</v>
      </c>
      <c r="B6" s="469">
        <v>1130</v>
      </c>
      <c r="C6" s="1921">
        <v>0</v>
      </c>
      <c r="D6" s="1921">
        <v>0</v>
      </c>
      <c r="E6" s="472"/>
      <c r="F6" s="472"/>
      <c r="G6" s="467"/>
      <c r="H6" s="467"/>
      <c r="I6" s="467"/>
      <c r="J6" s="467"/>
      <c r="K6" s="467"/>
    </row>
    <row r="7" spans="1:12" x14ac:dyDescent="0.2">
      <c r="A7" s="463" t="s">
        <v>110</v>
      </c>
      <c r="B7" s="538">
        <v>1140</v>
      </c>
      <c r="C7" s="1921">
        <v>806764</v>
      </c>
      <c r="D7" s="1921">
        <v>0</v>
      </c>
      <c r="E7" s="467"/>
      <c r="F7" s="1928">
        <v>0</v>
      </c>
      <c r="G7" s="1928">
        <v>0</v>
      </c>
      <c r="H7" s="1928">
        <v>0</v>
      </c>
      <c r="I7" s="467"/>
      <c r="J7" s="467"/>
      <c r="K7" s="467"/>
    </row>
    <row r="8" spans="1:12" x14ac:dyDescent="0.2">
      <c r="A8" s="463" t="s">
        <v>413</v>
      </c>
      <c r="B8" s="469">
        <v>1150</v>
      </c>
      <c r="C8" s="472"/>
      <c r="D8" s="472"/>
      <c r="E8" s="473"/>
      <c r="F8" s="473"/>
      <c r="G8" s="477">
        <v>205645</v>
      </c>
      <c r="H8" s="467"/>
      <c r="I8" s="467"/>
      <c r="J8" s="467"/>
      <c r="K8" s="467"/>
    </row>
    <row r="9" spans="1:12" x14ac:dyDescent="0.2">
      <c r="A9" s="471" t="s">
        <v>111</v>
      </c>
      <c r="B9" s="469">
        <v>1160</v>
      </c>
      <c r="C9" s="467"/>
      <c r="D9" s="1922">
        <v>0</v>
      </c>
      <c r="E9" s="1928">
        <v>0</v>
      </c>
      <c r="F9" s="468"/>
      <c r="G9" s="472"/>
      <c r="H9" s="1928">
        <v>0</v>
      </c>
      <c r="I9" s="467"/>
      <c r="J9" s="467"/>
      <c r="K9" s="467"/>
    </row>
    <row r="10" spans="1:12" x14ac:dyDescent="0.2">
      <c r="A10" s="471" t="s">
        <v>112</v>
      </c>
      <c r="B10" s="469">
        <v>1170</v>
      </c>
      <c r="C10" s="1922">
        <v>0</v>
      </c>
      <c r="D10" s="519"/>
      <c r="E10" s="519"/>
      <c r="F10" s="468"/>
      <c r="G10" s="467"/>
      <c r="H10" s="467"/>
      <c r="I10" s="467"/>
      <c r="J10" s="467"/>
      <c r="K10" s="467"/>
    </row>
    <row r="11" spans="1:12" x14ac:dyDescent="0.2">
      <c r="A11" s="471" t="s">
        <v>414</v>
      </c>
      <c r="B11" s="539">
        <v>1190</v>
      </c>
      <c r="C11" s="1926">
        <v>0</v>
      </c>
      <c r="D11" s="1921">
        <v>0</v>
      </c>
      <c r="E11" s="1927">
        <v>0</v>
      </c>
      <c r="F11" s="1927">
        <v>0</v>
      </c>
      <c r="G11" s="1927">
        <v>0</v>
      </c>
      <c r="H11" s="1927">
        <v>0</v>
      </c>
      <c r="I11" s="1927">
        <v>0</v>
      </c>
      <c r="J11" s="1931">
        <v>0</v>
      </c>
      <c r="K11" s="1930">
        <v>0</v>
      </c>
      <c r="L11" s="540"/>
    </row>
    <row r="12" spans="1:12" ht="12.75" customHeight="1" thickBot="1" x14ac:dyDescent="0.25">
      <c r="A12" s="1677" t="s">
        <v>29</v>
      </c>
      <c r="B12" s="1678"/>
      <c r="C12" s="1679">
        <f t="shared" ref="C12:K12" si="0">SUM(C5:C11)</f>
        <v>7856525</v>
      </c>
      <c r="D12" s="1679">
        <f t="shared" si="0"/>
        <v>1246065</v>
      </c>
      <c r="E12" s="1679">
        <f t="shared" si="0"/>
        <v>0</v>
      </c>
      <c r="F12" s="1679">
        <f t="shared" si="0"/>
        <v>664396</v>
      </c>
      <c r="G12" s="1679">
        <f t="shared" si="0"/>
        <v>349598</v>
      </c>
      <c r="H12" s="1679">
        <f t="shared" si="0"/>
        <v>0</v>
      </c>
      <c r="I12" s="1679">
        <f t="shared" si="0"/>
        <v>58471</v>
      </c>
      <c r="J12" s="1679">
        <f t="shared" si="0"/>
        <v>59690</v>
      </c>
      <c r="K12" s="1660">
        <f t="shared" si="0"/>
        <v>225238</v>
      </c>
    </row>
    <row r="13" spans="1:12" ht="15.75" customHeight="1" thickTop="1" x14ac:dyDescent="0.2">
      <c r="A13" s="1564" t="s">
        <v>451</v>
      </c>
      <c r="B13" s="1565">
        <v>1200</v>
      </c>
      <c r="C13" s="541"/>
      <c r="D13" s="541"/>
      <c r="E13" s="541"/>
      <c r="F13" s="541"/>
      <c r="G13" s="541"/>
      <c r="H13" s="541"/>
      <c r="I13" s="541"/>
      <c r="J13" s="541"/>
      <c r="K13" s="467"/>
    </row>
    <row r="14" spans="1:12" x14ac:dyDescent="0.2">
      <c r="A14" s="463" t="s">
        <v>3</v>
      </c>
      <c r="B14" s="469">
        <v>1210</v>
      </c>
      <c r="C14" s="1935">
        <v>0</v>
      </c>
      <c r="D14" s="1930">
        <v>0</v>
      </c>
      <c r="E14" s="1930">
        <v>0</v>
      </c>
      <c r="F14" s="1930">
        <v>0</v>
      </c>
      <c r="G14" s="1930">
        <v>0</v>
      </c>
      <c r="H14" s="1930">
        <v>0</v>
      </c>
      <c r="I14" s="1930">
        <v>0</v>
      </c>
      <c r="J14" s="1931">
        <v>0</v>
      </c>
      <c r="K14" s="1930">
        <v>0</v>
      </c>
    </row>
    <row r="15" spans="1:12" ht="12.75" customHeight="1" x14ac:dyDescent="0.2">
      <c r="A15" s="463" t="s">
        <v>95</v>
      </c>
      <c r="B15" s="469">
        <v>1220</v>
      </c>
      <c r="C15" s="1935">
        <v>0</v>
      </c>
      <c r="D15" s="1930">
        <v>0</v>
      </c>
      <c r="E15" s="1930">
        <v>0</v>
      </c>
      <c r="F15" s="1930">
        <v>0</v>
      </c>
      <c r="G15" s="1930">
        <v>0</v>
      </c>
      <c r="H15" s="1930">
        <v>0</v>
      </c>
      <c r="I15" s="1930">
        <v>0</v>
      </c>
      <c r="J15" s="1931">
        <v>0</v>
      </c>
      <c r="K15" s="1930">
        <v>0</v>
      </c>
    </row>
    <row r="16" spans="1:12" ht="15" customHeight="1" x14ac:dyDescent="0.2">
      <c r="A16" s="463" t="s">
        <v>1663</v>
      </c>
      <c r="B16" s="538">
        <v>1230</v>
      </c>
      <c r="C16" s="1935">
        <v>162583</v>
      </c>
      <c r="D16" s="1930">
        <v>0</v>
      </c>
      <c r="E16" s="1930">
        <v>0</v>
      </c>
      <c r="F16" s="1930">
        <v>0</v>
      </c>
      <c r="G16" s="1930">
        <v>20000</v>
      </c>
      <c r="H16" s="1930">
        <v>0</v>
      </c>
      <c r="I16" s="1930">
        <v>0</v>
      </c>
      <c r="J16" s="1931">
        <v>0</v>
      </c>
      <c r="K16" s="1930">
        <v>0</v>
      </c>
    </row>
    <row r="17" spans="1:11" ht="12.75" customHeight="1" x14ac:dyDescent="0.2">
      <c r="A17" s="463" t="s">
        <v>807</v>
      </c>
      <c r="B17" s="469">
        <v>1290</v>
      </c>
      <c r="C17" s="1935">
        <v>0</v>
      </c>
      <c r="D17" s="1930">
        <v>0</v>
      </c>
      <c r="E17" s="1930">
        <v>0</v>
      </c>
      <c r="F17" s="1930">
        <v>0</v>
      </c>
      <c r="G17" s="1930">
        <v>0</v>
      </c>
      <c r="H17" s="1930">
        <v>0</v>
      </c>
      <c r="I17" s="1930">
        <v>0</v>
      </c>
      <c r="J17" s="1931">
        <v>0</v>
      </c>
      <c r="K17" s="1930">
        <v>0</v>
      </c>
    </row>
    <row r="18" spans="1:11" ht="12.75" customHeight="1" thickBot="1" x14ac:dyDescent="0.25">
      <c r="A18" s="1680" t="s">
        <v>537</v>
      </c>
      <c r="B18" s="1681"/>
      <c r="C18" s="1682">
        <f>SUM(C14:C17)</f>
        <v>162583</v>
      </c>
      <c r="D18" s="1682">
        <f t="shared" ref="D18:K18" si="1">SUM(D14:D17)</f>
        <v>0</v>
      </c>
      <c r="E18" s="1682">
        <f t="shared" si="1"/>
        <v>0</v>
      </c>
      <c r="F18" s="1682">
        <f t="shared" si="1"/>
        <v>0</v>
      </c>
      <c r="G18" s="1682">
        <f t="shared" si="1"/>
        <v>20000</v>
      </c>
      <c r="H18" s="1682">
        <f t="shared" si="1"/>
        <v>0</v>
      </c>
      <c r="I18" s="1682">
        <f t="shared" si="1"/>
        <v>0</v>
      </c>
      <c r="J18" s="1682">
        <f t="shared" si="1"/>
        <v>0</v>
      </c>
      <c r="K18" s="1683">
        <f t="shared"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69">
        <v>1311</v>
      </c>
      <c r="C20" s="1930">
        <v>0</v>
      </c>
      <c r="D20" s="467"/>
      <c r="E20" s="467"/>
      <c r="F20" s="467"/>
      <c r="G20" s="467"/>
      <c r="H20" s="467"/>
      <c r="I20" s="467"/>
      <c r="J20" s="467"/>
      <c r="K20" s="467"/>
    </row>
    <row r="21" spans="1:11" ht="12.75" customHeight="1" x14ac:dyDescent="0.2">
      <c r="A21" s="463" t="s">
        <v>832</v>
      </c>
      <c r="B21" s="469">
        <v>1312</v>
      </c>
      <c r="C21" s="1935">
        <v>0</v>
      </c>
      <c r="D21" s="467"/>
      <c r="E21" s="467"/>
      <c r="F21" s="467"/>
      <c r="G21" s="467"/>
      <c r="H21" s="467"/>
      <c r="I21" s="467"/>
      <c r="J21" s="467"/>
      <c r="K21" s="467"/>
    </row>
    <row r="22" spans="1:11" ht="12.75" customHeight="1" x14ac:dyDescent="0.2">
      <c r="A22" s="463" t="s">
        <v>1074</v>
      </c>
      <c r="B22" s="469">
        <v>1313</v>
      </c>
      <c r="C22" s="1935">
        <v>0</v>
      </c>
      <c r="D22" s="467"/>
      <c r="E22" s="467"/>
      <c r="F22" s="467"/>
      <c r="G22" s="467"/>
      <c r="H22" s="467"/>
      <c r="I22" s="467"/>
      <c r="J22" s="467"/>
      <c r="K22" s="467"/>
    </row>
    <row r="23" spans="1:11" ht="12.75" customHeight="1" x14ac:dyDescent="0.2">
      <c r="A23" s="463" t="s">
        <v>1075</v>
      </c>
      <c r="B23" s="469">
        <v>1314</v>
      </c>
      <c r="C23" s="1934">
        <v>0</v>
      </c>
      <c r="D23" s="467"/>
      <c r="E23" s="467"/>
      <c r="F23" s="467"/>
      <c r="G23" s="467"/>
      <c r="H23" s="467"/>
      <c r="I23" s="467"/>
      <c r="J23" s="467"/>
      <c r="K23" s="467"/>
    </row>
    <row r="24" spans="1:11" ht="12.75" customHeight="1" x14ac:dyDescent="0.2">
      <c r="A24" s="463" t="s">
        <v>1027</v>
      </c>
      <c r="B24" s="469">
        <v>1321</v>
      </c>
      <c r="C24" s="1935">
        <v>1380</v>
      </c>
      <c r="D24" s="467"/>
      <c r="E24" s="467"/>
      <c r="F24" s="467"/>
      <c r="G24" s="467"/>
      <c r="H24" s="467"/>
      <c r="I24" s="467"/>
      <c r="J24" s="467"/>
      <c r="K24" s="467"/>
    </row>
    <row r="25" spans="1:11" ht="12.75" customHeight="1" x14ac:dyDescent="0.2">
      <c r="A25" s="463" t="s">
        <v>833</v>
      </c>
      <c r="B25" s="469">
        <v>1322</v>
      </c>
      <c r="C25" s="1935">
        <v>0</v>
      </c>
      <c r="D25" s="467"/>
      <c r="E25" s="467"/>
      <c r="F25" s="467"/>
      <c r="G25" s="467"/>
      <c r="H25" s="467"/>
      <c r="I25" s="467"/>
      <c r="J25" s="467"/>
      <c r="K25" s="467"/>
    </row>
    <row r="26" spans="1:11" ht="12.75" customHeight="1" x14ac:dyDescent="0.2">
      <c r="A26" s="463" t="s">
        <v>1101</v>
      </c>
      <c r="B26" s="469">
        <v>1323</v>
      </c>
      <c r="C26" s="1935">
        <v>0</v>
      </c>
      <c r="D26" s="467"/>
      <c r="E26" s="467"/>
      <c r="F26" s="467"/>
      <c r="G26" s="467"/>
      <c r="H26" s="467"/>
      <c r="I26" s="467"/>
      <c r="J26" s="467"/>
      <c r="K26" s="467"/>
    </row>
    <row r="27" spans="1:11" ht="12.75" customHeight="1" x14ac:dyDescent="0.2">
      <c r="A27" s="463" t="s">
        <v>1023</v>
      </c>
      <c r="B27" s="469">
        <v>1324</v>
      </c>
      <c r="C27" s="1934">
        <v>0</v>
      </c>
      <c r="D27" s="467"/>
      <c r="E27" s="467"/>
      <c r="F27" s="467"/>
      <c r="G27" s="467"/>
      <c r="H27" s="467"/>
      <c r="I27" s="467"/>
      <c r="J27" s="467"/>
      <c r="K27" s="467"/>
    </row>
    <row r="28" spans="1:11" ht="12.75" customHeight="1" x14ac:dyDescent="0.2">
      <c r="A28" s="463" t="s">
        <v>1024</v>
      </c>
      <c r="B28" s="469">
        <v>1331</v>
      </c>
      <c r="C28" s="1935">
        <v>0</v>
      </c>
      <c r="D28" s="467"/>
      <c r="E28" s="467"/>
      <c r="F28" s="467"/>
      <c r="G28" s="467"/>
      <c r="H28" s="467"/>
      <c r="I28" s="467"/>
      <c r="J28" s="467"/>
      <c r="K28" s="467"/>
    </row>
    <row r="29" spans="1:11" ht="12.75" customHeight="1" x14ac:dyDescent="0.2">
      <c r="A29" s="463" t="s">
        <v>834</v>
      </c>
      <c r="B29" s="469">
        <v>1332</v>
      </c>
      <c r="C29" s="1935">
        <v>0</v>
      </c>
      <c r="D29" s="467"/>
      <c r="E29" s="467"/>
      <c r="F29" s="467"/>
      <c r="G29" s="467"/>
      <c r="H29" s="467"/>
      <c r="I29" s="467"/>
      <c r="J29" s="467"/>
      <c r="K29" s="467"/>
    </row>
    <row r="30" spans="1:11" ht="12.75" customHeight="1" x14ac:dyDescent="0.2">
      <c r="A30" s="463" t="s">
        <v>1026</v>
      </c>
      <c r="B30" s="469">
        <v>1333</v>
      </c>
      <c r="C30" s="1935">
        <v>0</v>
      </c>
      <c r="D30" s="467"/>
      <c r="E30" s="467"/>
      <c r="F30" s="467"/>
      <c r="G30" s="467"/>
      <c r="H30" s="467"/>
      <c r="I30" s="467"/>
      <c r="J30" s="467"/>
      <c r="K30" s="467"/>
    </row>
    <row r="31" spans="1:11" ht="12.75" customHeight="1" x14ac:dyDescent="0.2">
      <c r="A31" s="463" t="s">
        <v>1025</v>
      </c>
      <c r="B31" s="469">
        <v>1334</v>
      </c>
      <c r="C31" s="1934">
        <v>0</v>
      </c>
      <c r="D31" s="467"/>
      <c r="E31" s="467"/>
      <c r="F31" s="467"/>
      <c r="G31" s="467"/>
      <c r="H31" s="467"/>
      <c r="I31" s="467"/>
      <c r="J31" s="467"/>
      <c r="K31" s="467"/>
    </row>
    <row r="32" spans="1:11" ht="12.75" customHeight="1" x14ac:dyDescent="0.2">
      <c r="A32" s="463" t="s">
        <v>494</v>
      </c>
      <c r="B32" s="469">
        <v>1341</v>
      </c>
      <c r="C32" s="1935">
        <v>0</v>
      </c>
      <c r="D32" s="467"/>
      <c r="E32" s="467"/>
      <c r="F32" s="467"/>
      <c r="G32" s="467"/>
      <c r="H32" s="467"/>
      <c r="I32" s="467"/>
      <c r="J32" s="467"/>
      <c r="K32" s="467"/>
    </row>
    <row r="33" spans="1:11" ht="12.75" customHeight="1" x14ac:dyDescent="0.2">
      <c r="A33" s="463" t="s">
        <v>835</v>
      </c>
      <c r="B33" s="469">
        <v>1342</v>
      </c>
      <c r="C33" s="1935">
        <v>0</v>
      </c>
      <c r="D33" s="467"/>
      <c r="E33" s="467"/>
      <c r="F33" s="467"/>
      <c r="G33" s="467"/>
      <c r="H33" s="467"/>
      <c r="I33" s="467"/>
      <c r="J33" s="467"/>
      <c r="K33" s="467"/>
    </row>
    <row r="34" spans="1:11" ht="12.75" customHeight="1" x14ac:dyDescent="0.2">
      <c r="A34" s="463" t="s">
        <v>495</v>
      </c>
      <c r="B34" s="469">
        <v>1343</v>
      </c>
      <c r="C34" s="1935">
        <v>0</v>
      </c>
      <c r="D34" s="467"/>
      <c r="E34" s="467"/>
      <c r="F34" s="467"/>
      <c r="G34" s="467"/>
      <c r="H34" s="467"/>
      <c r="I34" s="467"/>
      <c r="J34" s="467"/>
      <c r="K34" s="467"/>
    </row>
    <row r="35" spans="1:11" ht="12.75" customHeight="1" x14ac:dyDescent="0.2">
      <c r="A35" s="463" t="s">
        <v>493</v>
      </c>
      <c r="B35" s="469">
        <v>1344</v>
      </c>
      <c r="C35" s="1934">
        <v>0</v>
      </c>
      <c r="D35" s="467"/>
      <c r="E35" s="467"/>
      <c r="F35" s="467"/>
      <c r="G35" s="467"/>
      <c r="H35" s="467"/>
      <c r="I35" s="467"/>
      <c r="J35" s="467"/>
      <c r="K35" s="467"/>
    </row>
    <row r="36" spans="1:11" ht="12.75" customHeight="1" x14ac:dyDescent="0.2">
      <c r="A36" s="463" t="s">
        <v>831</v>
      </c>
      <c r="B36" s="469">
        <v>1351</v>
      </c>
      <c r="C36" s="1935">
        <v>0</v>
      </c>
      <c r="D36" s="467"/>
      <c r="E36" s="467"/>
      <c r="F36" s="467"/>
      <c r="G36" s="467"/>
      <c r="H36" s="467"/>
      <c r="I36" s="467"/>
      <c r="J36" s="467"/>
      <c r="K36" s="467"/>
    </row>
    <row r="37" spans="1:11" ht="12.75" customHeight="1" x14ac:dyDescent="0.2">
      <c r="A37" s="463" t="s">
        <v>836</v>
      </c>
      <c r="B37" s="469">
        <v>1352</v>
      </c>
      <c r="C37" s="1935">
        <v>0</v>
      </c>
      <c r="D37" s="467"/>
      <c r="E37" s="467"/>
      <c r="F37" s="467"/>
      <c r="G37" s="467"/>
      <c r="H37" s="467"/>
      <c r="I37" s="467"/>
      <c r="J37" s="467"/>
      <c r="K37" s="467"/>
    </row>
    <row r="38" spans="1:11" ht="12.75" customHeight="1" x14ac:dyDescent="0.2">
      <c r="A38" s="463" t="s">
        <v>593</v>
      </c>
      <c r="B38" s="469">
        <v>1353</v>
      </c>
      <c r="C38" s="1935">
        <v>0</v>
      </c>
      <c r="D38" s="467"/>
      <c r="E38" s="467"/>
      <c r="F38" s="467"/>
      <c r="G38" s="467"/>
      <c r="H38" s="467"/>
      <c r="I38" s="467"/>
      <c r="J38" s="467"/>
      <c r="K38" s="467"/>
    </row>
    <row r="39" spans="1:11" ht="12.75" customHeight="1" x14ac:dyDescent="0.2">
      <c r="A39" s="1468" t="s">
        <v>594</v>
      </c>
      <c r="B39" s="544">
        <v>1354</v>
      </c>
      <c r="C39" s="1934">
        <v>0</v>
      </c>
      <c r="D39" s="467"/>
      <c r="E39" s="467"/>
      <c r="F39" s="467"/>
      <c r="G39" s="467"/>
      <c r="H39" s="467"/>
      <c r="I39" s="467"/>
      <c r="J39" s="467"/>
      <c r="K39" s="467"/>
    </row>
    <row r="40" spans="1:11" ht="12.75" customHeight="1" thickBot="1" x14ac:dyDescent="0.25">
      <c r="A40" s="1680" t="s">
        <v>538</v>
      </c>
      <c r="B40" s="1681"/>
      <c r="C40" s="1660">
        <f>SUM(C20:C39)</f>
        <v>1380</v>
      </c>
      <c r="D40" s="467"/>
      <c r="E40" s="467"/>
      <c r="F40" s="467"/>
      <c r="G40" s="467"/>
      <c r="H40" s="467"/>
      <c r="I40" s="467"/>
      <c r="J40" s="467"/>
      <c r="K40" s="467"/>
    </row>
    <row r="41" spans="1:11" ht="15.75" customHeight="1" thickTop="1" x14ac:dyDescent="0.2">
      <c r="A41" s="1564" t="s">
        <v>274</v>
      </c>
      <c r="B41" s="1565">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0">
        <v>0</v>
      </c>
      <c r="G43" s="467"/>
      <c r="H43" s="467"/>
      <c r="I43" s="467"/>
      <c r="J43" s="467"/>
      <c r="K43" s="467"/>
    </row>
    <row r="44" spans="1:11" ht="12.75" customHeight="1" x14ac:dyDescent="0.2">
      <c r="A44" s="463" t="s">
        <v>384</v>
      </c>
      <c r="B44" s="469">
        <v>1413</v>
      </c>
      <c r="C44" s="467"/>
      <c r="D44" s="467"/>
      <c r="E44" s="467"/>
      <c r="F44" s="1930">
        <v>0</v>
      </c>
      <c r="G44" s="467"/>
      <c r="H44" s="467"/>
      <c r="I44" s="467"/>
      <c r="J44" s="467"/>
      <c r="K44" s="467"/>
    </row>
    <row r="45" spans="1:11" ht="12.75" customHeight="1" x14ac:dyDescent="0.2">
      <c r="A45" s="463" t="s">
        <v>240</v>
      </c>
      <c r="B45" s="469">
        <v>1415</v>
      </c>
      <c r="C45" s="467"/>
      <c r="D45" s="467"/>
      <c r="E45" s="467"/>
      <c r="F45" s="1930">
        <v>0</v>
      </c>
      <c r="G45" s="467"/>
      <c r="H45" s="467"/>
      <c r="I45" s="467"/>
      <c r="J45" s="467"/>
      <c r="K45" s="467"/>
    </row>
    <row r="46" spans="1:11" ht="12.75" customHeight="1" x14ac:dyDescent="0.2">
      <c r="A46" s="463" t="s">
        <v>1174</v>
      </c>
      <c r="B46" s="469">
        <v>1416</v>
      </c>
      <c r="C46" s="467"/>
      <c r="D46" s="467"/>
      <c r="E46" s="467"/>
      <c r="F46" s="1931">
        <v>0</v>
      </c>
      <c r="G46" s="467"/>
      <c r="H46" s="467"/>
      <c r="I46" s="467"/>
      <c r="J46" s="467"/>
      <c r="K46" s="467"/>
    </row>
    <row r="47" spans="1:11" ht="12.75" customHeight="1" x14ac:dyDescent="0.2">
      <c r="A47" s="463" t="s">
        <v>57</v>
      </c>
      <c r="B47" s="469">
        <v>1421</v>
      </c>
      <c r="C47" s="467"/>
      <c r="D47" s="467"/>
      <c r="E47" s="467"/>
      <c r="F47" s="1930">
        <v>0</v>
      </c>
      <c r="G47" s="467"/>
      <c r="H47" s="467"/>
      <c r="I47" s="467"/>
      <c r="J47" s="467"/>
      <c r="K47" s="467"/>
    </row>
    <row r="48" spans="1:11" ht="12.75" customHeight="1" x14ac:dyDescent="0.2">
      <c r="A48" s="463" t="s">
        <v>838</v>
      </c>
      <c r="B48" s="469">
        <v>1422</v>
      </c>
      <c r="C48" s="467"/>
      <c r="D48" s="467"/>
      <c r="E48" s="467"/>
      <c r="F48" s="1930">
        <v>0</v>
      </c>
      <c r="G48" s="467"/>
      <c r="H48" s="467"/>
      <c r="I48" s="467"/>
      <c r="J48" s="467"/>
      <c r="K48" s="467"/>
    </row>
    <row r="49" spans="1:11" ht="12.75" customHeight="1" x14ac:dyDescent="0.2">
      <c r="A49" s="463" t="s">
        <v>58</v>
      </c>
      <c r="B49" s="469">
        <v>1423</v>
      </c>
      <c r="C49" s="467"/>
      <c r="D49" s="467"/>
      <c r="E49" s="467"/>
      <c r="F49" s="1930">
        <v>0</v>
      </c>
      <c r="G49" s="467"/>
      <c r="H49" s="467"/>
      <c r="I49" s="467"/>
      <c r="J49" s="467"/>
      <c r="K49" s="467"/>
    </row>
    <row r="50" spans="1:11" ht="12.75" customHeight="1" x14ac:dyDescent="0.2">
      <c r="A50" s="463" t="s">
        <v>59</v>
      </c>
      <c r="B50" s="469">
        <v>1424</v>
      </c>
      <c r="C50" s="467"/>
      <c r="D50" s="467"/>
      <c r="E50" s="467"/>
      <c r="F50" s="1931">
        <v>0</v>
      </c>
      <c r="G50" s="467"/>
      <c r="H50" s="467"/>
      <c r="I50" s="467"/>
      <c r="J50" s="467"/>
      <c r="K50" s="467"/>
    </row>
    <row r="51" spans="1:11" ht="12.75" customHeight="1" x14ac:dyDescent="0.2">
      <c r="A51" s="1469" t="s">
        <v>60</v>
      </c>
      <c r="B51" s="545">
        <v>1431</v>
      </c>
      <c r="C51" s="467"/>
      <c r="D51" s="467"/>
      <c r="E51" s="467"/>
      <c r="F51" s="1930">
        <v>0</v>
      </c>
      <c r="G51" s="467"/>
      <c r="H51" s="467"/>
      <c r="I51" s="467"/>
      <c r="J51" s="467"/>
      <c r="K51" s="467"/>
    </row>
    <row r="52" spans="1:11" ht="12.75" customHeight="1" x14ac:dyDescent="0.2">
      <c r="A52" s="1469" t="s">
        <v>1106</v>
      </c>
      <c r="B52" s="545">
        <v>1432</v>
      </c>
      <c r="C52" s="467"/>
      <c r="D52" s="467"/>
      <c r="E52" s="467"/>
      <c r="F52" s="1930">
        <v>0</v>
      </c>
      <c r="G52" s="467"/>
      <c r="H52" s="467"/>
      <c r="I52" s="467"/>
      <c r="J52" s="467"/>
      <c r="K52" s="467"/>
    </row>
    <row r="53" spans="1:11" ht="12.75" customHeight="1" x14ac:dyDescent="0.2">
      <c r="A53" s="1469" t="s">
        <v>61</v>
      </c>
      <c r="B53" s="545">
        <v>1433</v>
      </c>
      <c r="C53" s="467"/>
      <c r="D53" s="467"/>
      <c r="E53" s="467"/>
      <c r="F53" s="1930">
        <v>0</v>
      </c>
      <c r="G53" s="467"/>
      <c r="H53" s="467"/>
      <c r="I53" s="467"/>
      <c r="J53" s="467"/>
      <c r="K53" s="467"/>
    </row>
    <row r="54" spans="1:11" ht="12.75" customHeight="1" x14ac:dyDescent="0.2">
      <c r="A54" s="1469" t="s">
        <v>62</v>
      </c>
      <c r="B54" s="545">
        <v>1434</v>
      </c>
      <c r="C54" s="467"/>
      <c r="D54" s="467"/>
      <c r="E54" s="467"/>
      <c r="F54" s="1931">
        <v>0</v>
      </c>
      <c r="G54" s="467"/>
      <c r="H54" s="467"/>
      <c r="I54" s="467"/>
      <c r="J54" s="467"/>
      <c r="K54" s="467"/>
    </row>
    <row r="55" spans="1:11" ht="12.75" customHeight="1" x14ac:dyDescent="0.2">
      <c r="A55" s="1469" t="s">
        <v>63</v>
      </c>
      <c r="B55" s="545">
        <v>1441</v>
      </c>
      <c r="C55" s="467"/>
      <c r="D55" s="467"/>
      <c r="E55" s="467"/>
      <c r="F55" s="1930">
        <v>0</v>
      </c>
      <c r="G55" s="467"/>
      <c r="H55" s="467"/>
      <c r="I55" s="467"/>
      <c r="J55" s="467"/>
      <c r="K55" s="467"/>
    </row>
    <row r="56" spans="1:11" ht="12.75" customHeight="1" x14ac:dyDescent="0.2">
      <c r="A56" s="1469" t="s">
        <v>1107</v>
      </c>
      <c r="B56" s="545">
        <v>1442</v>
      </c>
      <c r="C56" s="467"/>
      <c r="D56" s="467"/>
      <c r="E56" s="467"/>
      <c r="F56" s="1930">
        <v>0</v>
      </c>
      <c r="G56" s="467"/>
      <c r="H56" s="467"/>
      <c r="I56" s="467"/>
      <c r="J56" s="467"/>
      <c r="K56" s="467"/>
    </row>
    <row r="57" spans="1:11" ht="12.75" customHeight="1" x14ac:dyDescent="0.2">
      <c r="A57" s="1469" t="s">
        <v>489</v>
      </c>
      <c r="B57" s="545">
        <v>1443</v>
      </c>
      <c r="C57" s="467"/>
      <c r="D57" s="467"/>
      <c r="E57" s="467"/>
      <c r="F57" s="1930">
        <v>0</v>
      </c>
      <c r="G57" s="467"/>
      <c r="H57" s="467"/>
      <c r="I57" s="467"/>
      <c r="J57" s="467"/>
      <c r="K57" s="467"/>
    </row>
    <row r="58" spans="1:11" ht="12.75" customHeight="1" x14ac:dyDescent="0.2">
      <c r="A58" s="1469" t="s">
        <v>65</v>
      </c>
      <c r="B58" s="545">
        <v>1444</v>
      </c>
      <c r="C58" s="467"/>
      <c r="D58" s="467"/>
      <c r="E58" s="467"/>
      <c r="F58" s="1930">
        <v>0</v>
      </c>
      <c r="G58" s="467"/>
      <c r="H58" s="467"/>
      <c r="I58" s="467"/>
      <c r="J58" s="467"/>
      <c r="K58" s="467"/>
    </row>
    <row r="59" spans="1:11" ht="12.75" customHeight="1" x14ac:dyDescent="0.2">
      <c r="A59" s="1469" t="s">
        <v>878</v>
      </c>
      <c r="B59" s="545">
        <v>1451</v>
      </c>
      <c r="C59" s="467"/>
      <c r="D59" s="467"/>
      <c r="E59" s="467"/>
      <c r="F59" s="1930">
        <v>0</v>
      </c>
      <c r="G59" s="467"/>
      <c r="H59" s="467"/>
      <c r="I59" s="467"/>
      <c r="J59" s="467"/>
      <c r="K59" s="467"/>
    </row>
    <row r="60" spans="1:11" ht="12.75" customHeight="1" x14ac:dyDescent="0.2">
      <c r="A60" s="1469" t="s">
        <v>1108</v>
      </c>
      <c r="B60" s="545">
        <v>1452</v>
      </c>
      <c r="C60" s="467"/>
      <c r="D60" s="467"/>
      <c r="E60" s="467"/>
      <c r="F60" s="1930">
        <v>0</v>
      </c>
      <c r="G60" s="467"/>
      <c r="H60" s="467"/>
      <c r="I60" s="467"/>
      <c r="J60" s="467"/>
      <c r="K60" s="467"/>
    </row>
    <row r="61" spans="1:11" ht="12.75" customHeight="1" x14ac:dyDescent="0.2">
      <c r="A61" s="551" t="s">
        <v>879</v>
      </c>
      <c r="B61" s="545">
        <v>1453</v>
      </c>
      <c r="C61" s="467"/>
      <c r="D61" s="467"/>
      <c r="E61" s="467"/>
      <c r="F61" s="1930">
        <v>0</v>
      </c>
      <c r="G61" s="467"/>
      <c r="H61" s="467"/>
      <c r="I61" s="467"/>
      <c r="J61" s="467"/>
      <c r="K61" s="467"/>
    </row>
    <row r="62" spans="1:11" ht="12.75" customHeight="1" x14ac:dyDescent="0.2">
      <c r="A62" s="1470" t="s">
        <v>880</v>
      </c>
      <c r="B62" s="546">
        <v>1454</v>
      </c>
      <c r="C62" s="467"/>
      <c r="D62" s="467"/>
      <c r="E62" s="467"/>
      <c r="F62" s="1931">
        <v>0</v>
      </c>
      <c r="G62" s="467"/>
      <c r="H62" s="467"/>
      <c r="I62" s="467"/>
      <c r="J62" s="467"/>
      <c r="K62" s="467"/>
    </row>
    <row r="63" spans="1:11" ht="12.75" customHeight="1" thickBot="1" x14ac:dyDescent="0.25">
      <c r="A63" s="1680" t="s">
        <v>485</v>
      </c>
      <c r="B63" s="1681"/>
      <c r="C63" s="467"/>
      <c r="D63" s="467"/>
      <c r="E63" s="467"/>
      <c r="F63" s="1660">
        <f>SUM(F42:F62)</f>
        <v>0</v>
      </c>
      <c r="G63" s="467"/>
      <c r="H63" s="467"/>
      <c r="I63" s="467"/>
      <c r="J63" s="467"/>
      <c r="K63" s="467"/>
    </row>
    <row r="64" spans="1:11" ht="15.75" customHeight="1" thickTop="1" x14ac:dyDescent="0.2">
      <c r="A64" s="1564" t="s">
        <v>454</v>
      </c>
      <c r="B64" s="1565">
        <v>1500</v>
      </c>
      <c r="C64" s="467"/>
      <c r="D64" s="467"/>
      <c r="E64" s="467"/>
      <c r="F64" s="467"/>
      <c r="G64" s="467"/>
      <c r="H64" s="467"/>
      <c r="I64" s="467"/>
      <c r="J64" s="467"/>
      <c r="K64" s="467"/>
    </row>
    <row r="65" spans="1:11" ht="12.75" customHeight="1" x14ac:dyDescent="0.2">
      <c r="A65" s="463" t="s">
        <v>547</v>
      </c>
      <c r="B65" s="469">
        <v>1510</v>
      </c>
      <c r="C65" s="1930">
        <v>138802</v>
      </c>
      <c r="D65" s="1930">
        <v>29706</v>
      </c>
      <c r="E65" s="1930">
        <v>33</v>
      </c>
      <c r="F65" s="1931">
        <v>16428</v>
      </c>
      <c r="G65" s="1930">
        <v>3457</v>
      </c>
      <c r="H65" s="1930">
        <v>2169</v>
      </c>
      <c r="I65" s="1930">
        <v>4812</v>
      </c>
      <c r="J65" s="1931">
        <v>4592</v>
      </c>
      <c r="K65" s="1930">
        <v>2885</v>
      </c>
    </row>
    <row r="66" spans="1:11" ht="12.75" customHeight="1" x14ac:dyDescent="0.2">
      <c r="A66" s="463" t="s">
        <v>679</v>
      </c>
      <c r="B66" s="469">
        <v>1520</v>
      </c>
      <c r="C66" s="1930">
        <v>0</v>
      </c>
      <c r="D66" s="1930">
        <v>0</v>
      </c>
      <c r="E66" s="1930">
        <v>0</v>
      </c>
      <c r="F66" s="1930">
        <v>0</v>
      </c>
      <c r="G66" s="1930">
        <v>0</v>
      </c>
      <c r="H66" s="1930">
        <v>0</v>
      </c>
      <c r="I66" s="1930">
        <v>0</v>
      </c>
      <c r="J66" s="1931">
        <v>0</v>
      </c>
      <c r="K66" s="1930">
        <v>0</v>
      </c>
    </row>
    <row r="67" spans="1:11" ht="12.75" customHeight="1" thickBot="1" x14ac:dyDescent="0.25">
      <c r="A67" s="1680" t="s">
        <v>486</v>
      </c>
      <c r="B67" s="1681"/>
      <c r="C67" s="1660">
        <f>SUM(C65:C66)</f>
        <v>138802</v>
      </c>
      <c r="D67" s="1660">
        <f t="shared" ref="D67:K67" si="2">SUM(D65:D66)</f>
        <v>29706</v>
      </c>
      <c r="E67" s="1660">
        <f t="shared" si="2"/>
        <v>33</v>
      </c>
      <c r="F67" s="1660">
        <f t="shared" si="2"/>
        <v>16428</v>
      </c>
      <c r="G67" s="1660">
        <f t="shared" si="2"/>
        <v>3457</v>
      </c>
      <c r="H67" s="1660">
        <f t="shared" si="2"/>
        <v>2169</v>
      </c>
      <c r="I67" s="1660">
        <f t="shared" si="2"/>
        <v>4812</v>
      </c>
      <c r="J67" s="1660">
        <f t="shared" si="2"/>
        <v>4592</v>
      </c>
      <c r="K67" s="1660">
        <f t="shared" si="2"/>
        <v>2885</v>
      </c>
    </row>
    <row r="68" spans="1:11" ht="15.75" customHeight="1" thickTop="1" x14ac:dyDescent="0.2">
      <c r="A68" s="1564" t="s">
        <v>455</v>
      </c>
      <c r="B68" s="1566">
        <v>1600</v>
      </c>
      <c r="C68" s="541"/>
      <c r="D68" s="467"/>
      <c r="E68" s="467"/>
      <c r="F68" s="467"/>
      <c r="G68" s="467"/>
      <c r="H68" s="467"/>
      <c r="I68" s="467"/>
      <c r="J68" s="467"/>
      <c r="K68" s="467"/>
    </row>
    <row r="69" spans="1:11" ht="12.75" customHeight="1" x14ac:dyDescent="0.2">
      <c r="A69" s="463" t="s">
        <v>666</v>
      </c>
      <c r="B69" s="469">
        <v>1611</v>
      </c>
      <c r="C69" s="1930">
        <v>68864</v>
      </c>
      <c r="D69" s="467"/>
      <c r="E69" s="467"/>
      <c r="F69" s="467"/>
      <c r="G69" s="467"/>
      <c r="H69" s="467"/>
      <c r="I69" s="467"/>
      <c r="J69" s="467"/>
      <c r="K69" s="467"/>
    </row>
    <row r="70" spans="1:11" ht="12.75" customHeight="1" x14ac:dyDescent="0.2">
      <c r="A70" s="463" t="s">
        <v>997</v>
      </c>
      <c r="B70" s="469">
        <v>1612</v>
      </c>
      <c r="C70" s="1935">
        <v>0</v>
      </c>
      <c r="D70" s="467"/>
      <c r="E70" s="467"/>
      <c r="F70" s="467"/>
      <c r="G70" s="467"/>
      <c r="H70" s="467"/>
      <c r="I70" s="467"/>
      <c r="J70" s="467"/>
      <c r="K70" s="467"/>
    </row>
    <row r="71" spans="1:11" ht="12.75" customHeight="1" x14ac:dyDescent="0.2">
      <c r="A71" s="463" t="s">
        <v>273</v>
      </c>
      <c r="B71" s="469">
        <v>1613</v>
      </c>
      <c r="C71" s="1935">
        <v>18756</v>
      </c>
      <c r="D71" s="467"/>
      <c r="E71" s="467"/>
      <c r="F71" s="467"/>
      <c r="G71" s="467"/>
      <c r="H71" s="467"/>
      <c r="I71" s="467"/>
      <c r="J71" s="467"/>
      <c r="K71" s="467"/>
    </row>
    <row r="72" spans="1:11" ht="12.75" customHeight="1" x14ac:dyDescent="0.2">
      <c r="A72" s="463" t="s">
        <v>24</v>
      </c>
      <c r="B72" s="469">
        <v>1614</v>
      </c>
      <c r="C72" s="1935">
        <v>0</v>
      </c>
      <c r="D72" s="467"/>
      <c r="E72" s="467"/>
      <c r="F72" s="467"/>
      <c r="G72" s="467"/>
      <c r="H72" s="467"/>
      <c r="I72" s="467"/>
      <c r="J72" s="467"/>
      <c r="K72" s="467"/>
    </row>
    <row r="73" spans="1:11" ht="12.75" customHeight="1" x14ac:dyDescent="0.2">
      <c r="A73" s="463" t="s">
        <v>998</v>
      </c>
      <c r="B73" s="469">
        <v>1620</v>
      </c>
      <c r="C73" s="1935">
        <v>38</v>
      </c>
      <c r="D73" s="467"/>
      <c r="E73" s="467"/>
      <c r="F73" s="467"/>
      <c r="G73" s="467"/>
      <c r="H73" s="467"/>
      <c r="I73" s="467"/>
      <c r="J73" s="467"/>
      <c r="K73" s="467"/>
    </row>
    <row r="74" spans="1:11" ht="12.75" customHeight="1" x14ac:dyDescent="0.2">
      <c r="A74" s="463" t="s">
        <v>25</v>
      </c>
      <c r="B74" s="469">
        <v>1690</v>
      </c>
      <c r="C74" s="1935">
        <v>1450</v>
      </c>
      <c r="D74" s="467"/>
      <c r="E74" s="467"/>
      <c r="F74" s="467"/>
      <c r="G74" s="467"/>
      <c r="H74" s="467"/>
      <c r="I74" s="467"/>
      <c r="J74" s="467"/>
      <c r="K74" s="467"/>
    </row>
    <row r="75" spans="1:11" ht="12.75" customHeight="1" thickBot="1" x14ac:dyDescent="0.25">
      <c r="A75" s="1680" t="s">
        <v>548</v>
      </c>
      <c r="B75" s="1681"/>
      <c r="C75" s="1660">
        <f>SUM(C69:C74)</f>
        <v>89108</v>
      </c>
      <c r="D75" s="467"/>
      <c r="E75" s="467"/>
      <c r="F75" s="467"/>
      <c r="G75" s="467"/>
      <c r="H75" s="467"/>
      <c r="I75" s="467"/>
      <c r="J75" s="467"/>
      <c r="K75" s="467"/>
    </row>
    <row r="76" spans="1:11" ht="15.75" customHeight="1" thickTop="1" x14ac:dyDescent="0.2">
      <c r="A76" s="1564" t="s">
        <v>881</v>
      </c>
      <c r="B76" s="1566">
        <v>1700</v>
      </c>
      <c r="C76" s="541"/>
      <c r="D76" s="467"/>
      <c r="E76" s="467"/>
      <c r="F76" s="467"/>
      <c r="G76" s="467"/>
      <c r="H76" s="467"/>
      <c r="I76" s="467"/>
      <c r="J76" s="467"/>
      <c r="K76" s="467"/>
    </row>
    <row r="77" spans="1:11" ht="12.75" customHeight="1" x14ac:dyDescent="0.2">
      <c r="A77" s="463" t="s">
        <v>549</v>
      </c>
      <c r="B77" s="469">
        <v>1711</v>
      </c>
      <c r="C77" s="509">
        <v>0</v>
      </c>
      <c r="D77" s="1930">
        <v>0</v>
      </c>
      <c r="E77" s="467"/>
      <c r="F77" s="467"/>
      <c r="G77" s="467"/>
      <c r="H77" s="467"/>
      <c r="I77" s="467"/>
      <c r="J77" s="467"/>
      <c r="K77" s="467"/>
    </row>
    <row r="78" spans="1:11" ht="12.75" customHeight="1" x14ac:dyDescent="0.2">
      <c r="A78" s="463" t="s">
        <v>76</v>
      </c>
      <c r="B78" s="469">
        <v>1719</v>
      </c>
      <c r="C78" s="1935">
        <v>0</v>
      </c>
      <c r="D78" s="1930">
        <v>0</v>
      </c>
      <c r="E78" s="467"/>
      <c r="F78" s="467"/>
      <c r="G78" s="467"/>
      <c r="H78" s="467"/>
      <c r="I78" s="467"/>
      <c r="J78" s="467"/>
      <c r="K78" s="467"/>
    </row>
    <row r="79" spans="1:11" ht="12.75" customHeight="1" x14ac:dyDescent="0.2">
      <c r="A79" s="463" t="s">
        <v>550</v>
      </c>
      <c r="B79" s="469">
        <v>1720</v>
      </c>
      <c r="C79" s="1935">
        <v>33832</v>
      </c>
      <c r="D79" s="1930">
        <v>0</v>
      </c>
      <c r="E79" s="467"/>
      <c r="F79" s="467"/>
      <c r="G79" s="467"/>
      <c r="H79" s="467"/>
      <c r="I79" s="467"/>
      <c r="J79" s="467"/>
      <c r="K79" s="467"/>
    </row>
    <row r="80" spans="1:11" ht="12.75" customHeight="1" x14ac:dyDescent="0.2">
      <c r="A80" s="463" t="s">
        <v>551</v>
      </c>
      <c r="B80" s="469">
        <v>1730</v>
      </c>
      <c r="C80" s="1935">
        <v>230</v>
      </c>
      <c r="D80" s="1930">
        <v>0</v>
      </c>
      <c r="E80" s="467"/>
      <c r="F80" s="467"/>
      <c r="G80" s="467"/>
      <c r="H80" s="467"/>
      <c r="I80" s="467"/>
      <c r="J80" s="467"/>
      <c r="K80" s="467"/>
    </row>
    <row r="81" spans="1:11" ht="12.75" customHeight="1" x14ac:dyDescent="0.2">
      <c r="A81" s="463" t="s">
        <v>26</v>
      </c>
      <c r="B81" s="469">
        <v>1790</v>
      </c>
      <c r="C81" s="1935">
        <v>11275</v>
      </c>
      <c r="D81" s="1930">
        <v>0</v>
      </c>
      <c r="E81" s="467"/>
      <c r="F81" s="467"/>
      <c r="G81" s="467"/>
      <c r="H81" s="467"/>
      <c r="I81" s="467"/>
      <c r="J81" s="467"/>
      <c r="K81" s="467"/>
    </row>
    <row r="82" spans="1:11" ht="12.75" customHeight="1" thickBot="1" x14ac:dyDescent="0.25">
      <c r="A82" s="1680" t="s">
        <v>241</v>
      </c>
      <c r="B82" s="1681"/>
      <c r="C82" s="1679">
        <f>SUM(C77:C81)</f>
        <v>45337</v>
      </c>
      <c r="D82" s="1660">
        <f>SUM(D77:D81)</f>
        <v>0</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552</v>
      </c>
      <c r="B84" s="469">
        <v>1811</v>
      </c>
      <c r="C84" s="1930">
        <v>0</v>
      </c>
      <c r="D84" s="467"/>
      <c r="E84" s="467"/>
      <c r="F84" s="467"/>
      <c r="G84" s="467"/>
      <c r="H84" s="467"/>
      <c r="I84" s="467"/>
      <c r="J84" s="467"/>
      <c r="K84" s="467"/>
    </row>
    <row r="85" spans="1:11" ht="12.75" customHeight="1" x14ac:dyDescent="0.2">
      <c r="A85" s="463" t="s">
        <v>553</v>
      </c>
      <c r="B85" s="469">
        <v>1812</v>
      </c>
      <c r="C85" s="1935">
        <v>0</v>
      </c>
      <c r="D85" s="467"/>
      <c r="E85" s="467"/>
      <c r="F85" s="467"/>
      <c r="G85" s="467"/>
      <c r="H85" s="467"/>
      <c r="I85" s="467"/>
      <c r="J85" s="467"/>
      <c r="K85" s="467"/>
    </row>
    <row r="86" spans="1:11" ht="12.75" customHeight="1" x14ac:dyDescent="0.2">
      <c r="A86" s="463" t="s">
        <v>999</v>
      </c>
      <c r="B86" s="469">
        <v>1813</v>
      </c>
      <c r="C86" s="1935">
        <v>0</v>
      </c>
      <c r="D86" s="467"/>
      <c r="E86" s="467"/>
      <c r="F86" s="467"/>
      <c r="G86" s="467"/>
      <c r="H86" s="467"/>
      <c r="I86" s="467"/>
      <c r="J86" s="467"/>
      <c r="K86" s="467"/>
    </row>
    <row r="87" spans="1:11" ht="12.75" customHeight="1" x14ac:dyDescent="0.2">
      <c r="A87" s="463" t="s">
        <v>77</v>
      </c>
      <c r="B87" s="469">
        <v>1819</v>
      </c>
      <c r="C87" s="1935">
        <v>0</v>
      </c>
      <c r="D87" s="467"/>
      <c r="E87" s="467"/>
      <c r="F87" s="467"/>
      <c r="G87" s="467"/>
      <c r="H87" s="467"/>
      <c r="I87" s="467"/>
      <c r="J87" s="467"/>
      <c r="K87" s="467"/>
    </row>
    <row r="88" spans="1:11" ht="12.75" customHeight="1" x14ac:dyDescent="0.2">
      <c r="A88" s="463" t="s">
        <v>554</v>
      </c>
      <c r="B88" s="469">
        <v>1821</v>
      </c>
      <c r="C88" s="1935">
        <v>71303</v>
      </c>
      <c r="D88" s="467"/>
      <c r="E88" s="467"/>
      <c r="F88" s="467"/>
      <c r="G88" s="467"/>
      <c r="H88" s="467"/>
      <c r="I88" s="467"/>
      <c r="J88" s="467"/>
      <c r="K88" s="467"/>
    </row>
    <row r="89" spans="1:11" ht="12.75" customHeight="1" x14ac:dyDescent="0.2">
      <c r="A89" s="463" t="s">
        <v>714</v>
      </c>
      <c r="B89" s="469">
        <v>1822</v>
      </c>
      <c r="C89" s="1935">
        <v>0</v>
      </c>
      <c r="D89" s="467"/>
      <c r="E89" s="467"/>
      <c r="F89" s="467"/>
      <c r="G89" s="467"/>
      <c r="H89" s="467"/>
      <c r="I89" s="467"/>
      <c r="J89" s="467"/>
      <c r="K89" s="467"/>
    </row>
    <row r="90" spans="1:11" ht="12.75" customHeight="1" x14ac:dyDescent="0.2">
      <c r="A90" s="463" t="s">
        <v>139</v>
      </c>
      <c r="B90" s="469">
        <v>1823</v>
      </c>
      <c r="C90" s="1935">
        <v>0</v>
      </c>
      <c r="D90" s="467"/>
      <c r="E90" s="467"/>
      <c r="F90" s="467"/>
      <c r="G90" s="467"/>
      <c r="H90" s="467"/>
      <c r="I90" s="467"/>
      <c r="J90" s="467"/>
      <c r="K90" s="467"/>
    </row>
    <row r="91" spans="1:11" ht="12.75" customHeight="1" x14ac:dyDescent="0.2">
      <c r="A91" s="463" t="s">
        <v>27</v>
      </c>
      <c r="B91" s="469">
        <v>1829</v>
      </c>
      <c r="C91" s="1935">
        <v>0</v>
      </c>
      <c r="D91" s="467"/>
      <c r="E91" s="467"/>
      <c r="F91" s="467"/>
      <c r="G91" s="467"/>
      <c r="H91" s="467"/>
      <c r="I91" s="467"/>
      <c r="J91" s="467"/>
      <c r="K91" s="467"/>
    </row>
    <row r="92" spans="1:11" ht="12.75" customHeight="1" x14ac:dyDescent="0.2">
      <c r="A92" s="463" t="s">
        <v>762</v>
      </c>
      <c r="B92" s="469">
        <v>1890</v>
      </c>
      <c r="C92" s="1935">
        <v>0</v>
      </c>
      <c r="D92" s="467"/>
      <c r="E92" s="467"/>
      <c r="F92" s="467"/>
      <c r="G92" s="467"/>
      <c r="H92" s="467"/>
      <c r="I92" s="467"/>
      <c r="J92" s="467"/>
      <c r="K92" s="467"/>
    </row>
    <row r="93" spans="1:11" ht="12.75" customHeight="1" thickBot="1" x14ac:dyDescent="0.25">
      <c r="A93" s="1680" t="s">
        <v>243</v>
      </c>
      <c r="B93" s="1681"/>
      <c r="C93" s="1660">
        <f>SUM(C84:C92)</f>
        <v>71303</v>
      </c>
      <c r="D93" s="467"/>
      <c r="E93" s="467"/>
      <c r="F93" s="467"/>
      <c r="G93" s="467"/>
      <c r="H93" s="467"/>
      <c r="I93" s="467"/>
      <c r="J93" s="467"/>
      <c r="K93" s="467"/>
    </row>
    <row r="94" spans="1:11" ht="15.75" customHeight="1" thickTop="1" x14ac:dyDescent="0.2">
      <c r="A94" s="1564" t="s">
        <v>1137</v>
      </c>
      <c r="B94" s="1566">
        <v>1900</v>
      </c>
      <c r="C94" s="541"/>
      <c r="D94" s="514"/>
      <c r="E94" s="467"/>
      <c r="F94" s="467"/>
      <c r="G94" s="467"/>
      <c r="H94" s="467"/>
      <c r="I94" s="467"/>
      <c r="J94" s="467"/>
      <c r="K94" s="467"/>
    </row>
    <row r="95" spans="1:11" ht="12.75" customHeight="1" x14ac:dyDescent="0.2">
      <c r="A95" s="463" t="s">
        <v>1064</v>
      </c>
      <c r="B95" s="469">
        <v>1910</v>
      </c>
      <c r="C95" s="1930">
        <v>0</v>
      </c>
      <c r="D95" s="1935">
        <v>18804</v>
      </c>
      <c r="E95" s="514"/>
      <c r="F95" s="514"/>
      <c r="G95" s="514"/>
      <c r="H95" s="514"/>
      <c r="I95" s="514"/>
      <c r="J95" s="514"/>
      <c r="K95" s="514"/>
    </row>
    <row r="96" spans="1:11" ht="12.75" customHeight="1" x14ac:dyDescent="0.2">
      <c r="A96" s="463" t="s">
        <v>391</v>
      </c>
      <c r="B96" s="469">
        <v>1920</v>
      </c>
      <c r="C96" s="1935">
        <v>0</v>
      </c>
      <c r="D96" s="1935">
        <v>12191</v>
      </c>
      <c r="E96" s="1933">
        <v>0</v>
      </c>
      <c r="F96" s="474">
        <v>0</v>
      </c>
      <c r="G96" s="474">
        <v>0</v>
      </c>
      <c r="H96" s="474">
        <v>0</v>
      </c>
      <c r="I96" s="474">
        <v>0</v>
      </c>
      <c r="J96" s="474">
        <v>0</v>
      </c>
      <c r="K96" s="474">
        <v>0</v>
      </c>
    </row>
    <row r="97" spans="1:12" ht="12.75" customHeight="1" x14ac:dyDescent="0.2">
      <c r="A97" s="1468" t="s">
        <v>244</v>
      </c>
      <c r="B97" s="547">
        <v>1930</v>
      </c>
      <c r="C97" s="1934">
        <v>0</v>
      </c>
      <c r="D97" s="1931">
        <v>0</v>
      </c>
      <c r="E97" s="1932">
        <v>0</v>
      </c>
      <c r="F97" s="1931">
        <v>0</v>
      </c>
      <c r="G97" s="1937">
        <v>0</v>
      </c>
      <c r="H97" s="1937">
        <v>0</v>
      </c>
      <c r="I97" s="1937">
        <v>0</v>
      </c>
      <c r="J97" s="1937">
        <v>0</v>
      </c>
      <c r="K97" s="1937">
        <v>0</v>
      </c>
    </row>
    <row r="98" spans="1:12" ht="12.75" customHeight="1" x14ac:dyDescent="0.2">
      <c r="A98" s="463" t="s">
        <v>189</v>
      </c>
      <c r="B98" s="469">
        <v>1940</v>
      </c>
      <c r="C98" s="1934">
        <v>0</v>
      </c>
      <c r="D98" s="1930">
        <v>0</v>
      </c>
      <c r="E98" s="505"/>
      <c r="F98" s="1930">
        <v>0</v>
      </c>
      <c r="G98" s="505"/>
      <c r="H98" s="505"/>
      <c r="I98" s="503"/>
      <c r="J98" s="505"/>
      <c r="K98" s="505"/>
    </row>
    <row r="99" spans="1:12" ht="12.75" customHeight="1" x14ac:dyDescent="0.2">
      <c r="A99" s="463" t="s">
        <v>821</v>
      </c>
      <c r="B99" s="469">
        <v>1950</v>
      </c>
      <c r="C99" s="1934">
        <v>0</v>
      </c>
      <c r="D99" s="1930">
        <v>0</v>
      </c>
      <c r="E99" s="1930">
        <v>0</v>
      </c>
      <c r="F99" s="1930">
        <v>0</v>
      </c>
      <c r="G99" s="1936">
        <v>0</v>
      </c>
      <c r="H99" s="1936">
        <v>0</v>
      </c>
      <c r="I99" s="467"/>
      <c r="J99" s="1937">
        <v>0</v>
      </c>
      <c r="K99" s="1936">
        <v>0</v>
      </c>
    </row>
    <row r="100" spans="1:12" ht="12.75" customHeight="1" x14ac:dyDescent="0.2">
      <c r="A100" s="463" t="s">
        <v>245</v>
      </c>
      <c r="B100" s="469">
        <v>1960</v>
      </c>
      <c r="C100" s="1934">
        <v>0</v>
      </c>
      <c r="D100" s="1934">
        <v>0</v>
      </c>
      <c r="E100" s="1934">
        <v>0</v>
      </c>
      <c r="F100" s="1934">
        <v>0</v>
      </c>
      <c r="G100" s="1938">
        <v>0</v>
      </c>
      <c r="H100" s="1938">
        <v>0</v>
      </c>
      <c r="I100" s="1937">
        <v>0</v>
      </c>
      <c r="J100" s="1938">
        <v>0</v>
      </c>
      <c r="K100" s="1937">
        <v>0</v>
      </c>
    </row>
    <row r="101" spans="1:12" ht="12.75" customHeight="1" x14ac:dyDescent="0.2">
      <c r="A101" s="463" t="s">
        <v>246</v>
      </c>
      <c r="B101" s="469">
        <v>1970</v>
      </c>
      <c r="C101" s="1934">
        <v>0</v>
      </c>
      <c r="D101" s="519"/>
      <c r="E101" s="476"/>
      <c r="F101" s="519"/>
      <c r="G101" s="472"/>
      <c r="H101" s="519"/>
      <c r="I101" s="467"/>
      <c r="J101" s="472"/>
      <c r="K101" s="472"/>
    </row>
    <row r="102" spans="1:12" ht="12.75" customHeight="1" x14ac:dyDescent="0.2">
      <c r="A102" s="463" t="s">
        <v>247</v>
      </c>
      <c r="B102" s="469">
        <v>1980</v>
      </c>
      <c r="C102" s="1934">
        <v>0</v>
      </c>
      <c r="D102" s="1934">
        <v>0</v>
      </c>
      <c r="E102" s="1934">
        <v>0</v>
      </c>
      <c r="F102" s="1938">
        <v>0</v>
      </c>
      <c r="G102" s="1938">
        <v>0</v>
      </c>
      <c r="H102" s="1938">
        <v>0</v>
      </c>
      <c r="I102" s="1937">
        <v>0</v>
      </c>
      <c r="J102" s="1938">
        <v>0</v>
      </c>
      <c r="K102" s="1937">
        <v>0</v>
      </c>
    </row>
    <row r="103" spans="1:12" ht="12.75" customHeight="1" x14ac:dyDescent="0.2">
      <c r="A103" s="463" t="s">
        <v>345</v>
      </c>
      <c r="B103" s="469">
        <v>1983</v>
      </c>
      <c r="C103" s="467"/>
      <c r="D103" s="467"/>
      <c r="E103" s="548">
        <v>0</v>
      </c>
      <c r="F103" s="467"/>
      <c r="G103" s="467"/>
      <c r="H103" s="1938">
        <v>0</v>
      </c>
      <c r="I103" s="467"/>
      <c r="J103" s="503"/>
      <c r="K103" s="503"/>
    </row>
    <row r="104" spans="1:12" ht="12.75" customHeight="1" x14ac:dyDescent="0.2">
      <c r="A104" s="463" t="s">
        <v>830</v>
      </c>
      <c r="B104" s="469">
        <v>1991</v>
      </c>
      <c r="C104" s="1934">
        <v>70864</v>
      </c>
      <c r="D104" s="1930">
        <v>0</v>
      </c>
      <c r="E104" s="477">
        <v>0</v>
      </c>
      <c r="F104" s="1937">
        <v>0</v>
      </c>
      <c r="G104" s="1937">
        <v>0</v>
      </c>
      <c r="H104" s="1936">
        <v>0</v>
      </c>
      <c r="I104" s="467"/>
      <c r="J104" s="467"/>
      <c r="K104" s="467"/>
    </row>
    <row r="105" spans="1:12" ht="12.75" customHeight="1" x14ac:dyDescent="0.2">
      <c r="A105" s="463" t="s">
        <v>822</v>
      </c>
      <c r="B105" s="469">
        <v>1992</v>
      </c>
      <c r="C105" s="1930">
        <v>0</v>
      </c>
      <c r="D105" s="549"/>
      <c r="E105" s="467"/>
      <c r="F105" s="467"/>
      <c r="G105" s="467"/>
      <c r="H105" s="503"/>
      <c r="I105" s="467"/>
      <c r="J105" s="467"/>
      <c r="K105" s="467"/>
    </row>
    <row r="106" spans="1:12" ht="12.75" customHeight="1" x14ac:dyDescent="0.2">
      <c r="A106" s="463" t="s">
        <v>1430</v>
      </c>
      <c r="B106" s="469">
        <v>1993</v>
      </c>
      <c r="C106" s="1930">
        <v>0</v>
      </c>
      <c r="D106" s="1934">
        <v>0</v>
      </c>
      <c r="E106" s="1931">
        <v>0</v>
      </c>
      <c r="F106" s="1937">
        <v>0</v>
      </c>
      <c r="G106" s="1937">
        <v>0</v>
      </c>
      <c r="H106" s="1937">
        <v>0</v>
      </c>
      <c r="I106" s="514"/>
      <c r="J106" s="1937">
        <v>0</v>
      </c>
      <c r="K106" s="1937">
        <v>0</v>
      </c>
    </row>
    <row r="107" spans="1:12" ht="12.75" customHeight="1" x14ac:dyDescent="0.2">
      <c r="A107" s="463" t="s">
        <v>78</v>
      </c>
      <c r="B107" s="469">
        <v>1999</v>
      </c>
      <c r="C107" s="1935">
        <v>16405</v>
      </c>
      <c r="D107" s="1930">
        <v>4692</v>
      </c>
      <c r="E107" s="1930">
        <v>0</v>
      </c>
      <c r="F107" s="1936">
        <v>0</v>
      </c>
      <c r="G107" s="1936">
        <v>0</v>
      </c>
      <c r="H107" s="1936">
        <v>0</v>
      </c>
      <c r="I107" s="1936">
        <v>0</v>
      </c>
      <c r="J107" s="1937">
        <v>0</v>
      </c>
      <c r="K107" s="1936">
        <v>0</v>
      </c>
    </row>
    <row r="108" spans="1:12" ht="12.75" customHeight="1" thickBot="1" x14ac:dyDescent="0.25">
      <c r="A108" s="1680" t="s">
        <v>487</v>
      </c>
      <c r="B108" s="1684"/>
      <c r="C108" s="1679">
        <f>SUM(C95:C107)</f>
        <v>87269</v>
      </c>
      <c r="D108" s="1679">
        <f t="shared" ref="D108:K108" si="3">SUM(D95:D107)</f>
        <v>35687</v>
      </c>
      <c r="E108" s="1679">
        <f t="shared" si="3"/>
        <v>0</v>
      </c>
      <c r="F108" s="1679">
        <f t="shared" si="3"/>
        <v>0</v>
      </c>
      <c r="G108" s="1679">
        <f t="shared" si="3"/>
        <v>0</v>
      </c>
      <c r="H108" s="1679">
        <f t="shared" si="3"/>
        <v>0</v>
      </c>
      <c r="I108" s="1679">
        <f t="shared" si="3"/>
        <v>0</v>
      </c>
      <c r="J108" s="1679">
        <f t="shared" si="3"/>
        <v>0</v>
      </c>
      <c r="K108" s="1660">
        <f t="shared" si="3"/>
        <v>0</v>
      </c>
    </row>
    <row r="109" spans="1:12" ht="14.25" thickTop="1" thickBot="1" x14ac:dyDescent="0.25">
      <c r="A109" s="1685" t="s">
        <v>248</v>
      </c>
      <c r="B109" s="1686" t="s">
        <v>570</v>
      </c>
      <c r="C109" s="1687">
        <f t="shared" ref="C109:K109" si="4">SUM(C12,C18,C40,C63,C67,C75,C82,C93,C108,)</f>
        <v>8452307</v>
      </c>
      <c r="D109" s="1687">
        <f t="shared" si="4"/>
        <v>1311458</v>
      </c>
      <c r="E109" s="1687">
        <f t="shared" si="4"/>
        <v>33</v>
      </c>
      <c r="F109" s="1687">
        <f t="shared" si="4"/>
        <v>680824</v>
      </c>
      <c r="G109" s="1687">
        <f t="shared" si="4"/>
        <v>373055</v>
      </c>
      <c r="H109" s="1687">
        <f t="shared" si="4"/>
        <v>2169</v>
      </c>
      <c r="I109" s="1687">
        <f t="shared" si="4"/>
        <v>63283</v>
      </c>
      <c r="J109" s="1687">
        <f t="shared" si="4"/>
        <v>64282</v>
      </c>
      <c r="K109" s="1674">
        <f t="shared" si="4"/>
        <v>228123</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39">
        <v>0</v>
      </c>
      <c r="D112" s="1936">
        <v>0</v>
      </c>
      <c r="E112" s="549"/>
      <c r="F112" s="1936">
        <v>0</v>
      </c>
      <c r="G112" s="1936">
        <v>0</v>
      </c>
      <c r="H112" s="549"/>
      <c r="I112" s="467"/>
      <c r="J112" s="467"/>
      <c r="K112" s="467"/>
      <c r="L112" s="540"/>
    </row>
    <row r="113" spans="1:11" ht="12.75" customHeight="1" x14ac:dyDescent="0.2">
      <c r="A113" s="463" t="s">
        <v>28</v>
      </c>
      <c r="B113" s="469">
        <v>2300</v>
      </c>
      <c r="C113" s="1939">
        <v>0</v>
      </c>
      <c r="D113" s="1936">
        <v>0</v>
      </c>
      <c r="E113" s="549"/>
      <c r="F113" s="1936">
        <v>0</v>
      </c>
      <c r="G113" s="1936">
        <v>0</v>
      </c>
      <c r="H113" s="549"/>
      <c r="I113" s="467"/>
      <c r="J113" s="467"/>
      <c r="K113" s="467"/>
    </row>
    <row r="114" spans="1:11" ht="13.5" thickBot="1" x14ac:dyDescent="0.25">
      <c r="A114" s="1688" t="s">
        <v>806</v>
      </c>
      <c r="B114" s="1689" t="s">
        <v>569</v>
      </c>
      <c r="C114" s="1690">
        <f>SUM(C111:C113)</f>
        <v>0</v>
      </c>
      <c r="D114" s="1690">
        <f>SUM(D111:D113)</f>
        <v>0</v>
      </c>
      <c r="E114" s="549" t="s">
        <v>1169</v>
      </c>
      <c r="F114" s="1690">
        <f>SUM(F111:F113)</f>
        <v>0</v>
      </c>
      <c r="G114" s="1690">
        <f>SUM(G111:G113)</f>
        <v>0</v>
      </c>
      <c r="H114" s="549"/>
      <c r="I114" s="467"/>
      <c r="J114" s="467"/>
      <c r="K114" s="467"/>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9"/>
      <c r="F116" s="514"/>
      <c r="G116" s="514"/>
      <c r="H116" s="549"/>
      <c r="I116" s="467"/>
      <c r="J116" s="514"/>
      <c r="K116" s="514"/>
    </row>
    <row r="117" spans="1:11" ht="12.75" customHeight="1" x14ac:dyDescent="0.2">
      <c r="A117" s="463" t="s">
        <v>1667</v>
      </c>
      <c r="B117" s="550">
        <v>3001</v>
      </c>
      <c r="C117" s="509">
        <v>454930</v>
      </c>
      <c r="D117" s="477">
        <v>0</v>
      </c>
      <c r="E117" s="1936">
        <v>0</v>
      </c>
      <c r="F117" s="477">
        <v>0</v>
      </c>
      <c r="G117" s="477">
        <v>0</v>
      </c>
      <c r="H117" s="1936">
        <v>259949</v>
      </c>
      <c r="I117" s="467"/>
      <c r="J117" s="1937">
        <v>0</v>
      </c>
      <c r="K117" s="1936">
        <v>0</v>
      </c>
    </row>
    <row r="118" spans="1:11" ht="12.75" customHeight="1" x14ac:dyDescent="0.2">
      <c r="A118" s="463" t="s">
        <v>1799</v>
      </c>
      <c r="B118" s="550">
        <v>3002</v>
      </c>
      <c r="C118" s="1939">
        <v>0</v>
      </c>
      <c r="D118" s="1936">
        <v>0</v>
      </c>
      <c r="E118" s="1936">
        <v>0</v>
      </c>
      <c r="F118" s="1936">
        <v>0</v>
      </c>
      <c r="G118" s="1936">
        <v>0</v>
      </c>
      <c r="H118" s="1936">
        <v>0</v>
      </c>
      <c r="I118" s="467"/>
      <c r="J118" s="1937">
        <v>0</v>
      </c>
      <c r="K118" s="1936">
        <v>0</v>
      </c>
    </row>
    <row r="119" spans="1:11" ht="12.75" customHeight="1" x14ac:dyDescent="0.2">
      <c r="A119" s="463" t="s">
        <v>1800</v>
      </c>
      <c r="B119" s="550">
        <v>3005</v>
      </c>
      <c r="C119" s="1939">
        <v>0</v>
      </c>
      <c r="D119" s="1936">
        <v>0</v>
      </c>
      <c r="E119" s="1936">
        <v>0</v>
      </c>
      <c r="F119" s="1936">
        <v>0</v>
      </c>
      <c r="G119" s="1936">
        <v>0</v>
      </c>
      <c r="H119" s="1936">
        <v>0</v>
      </c>
      <c r="I119" s="467"/>
      <c r="J119" s="1937">
        <v>0</v>
      </c>
      <c r="K119" s="1936">
        <v>0</v>
      </c>
    </row>
    <row r="120" spans="1:11" ht="12.75" customHeight="1" x14ac:dyDescent="0.2">
      <c r="A120" s="1898" t="s">
        <v>1936</v>
      </c>
      <c r="B120" s="550">
        <v>3030</v>
      </c>
      <c r="C120" s="1939">
        <v>0</v>
      </c>
      <c r="D120" s="1936">
        <v>0</v>
      </c>
      <c r="E120" s="1936">
        <v>0</v>
      </c>
      <c r="F120" s="1936">
        <v>0</v>
      </c>
      <c r="G120" s="1936">
        <v>0</v>
      </c>
      <c r="H120" s="1936">
        <v>0</v>
      </c>
      <c r="I120" s="467"/>
      <c r="J120" s="466">
        <v>0</v>
      </c>
      <c r="K120" s="465">
        <v>0</v>
      </c>
    </row>
    <row r="121" spans="1:11" x14ac:dyDescent="0.2">
      <c r="A121" s="1469" t="s">
        <v>1801</v>
      </c>
      <c r="B121" s="552">
        <v>3099</v>
      </c>
      <c r="C121" s="1939">
        <v>0</v>
      </c>
      <c r="D121" s="1936">
        <v>0</v>
      </c>
      <c r="E121" s="1936">
        <v>0</v>
      </c>
      <c r="F121" s="1936">
        <v>0</v>
      </c>
      <c r="G121" s="1936">
        <v>0</v>
      </c>
      <c r="H121" s="1936">
        <v>0</v>
      </c>
      <c r="I121" s="467"/>
      <c r="J121" s="1937">
        <v>0</v>
      </c>
      <c r="K121" s="1936">
        <v>0</v>
      </c>
    </row>
    <row r="122" spans="1:11" ht="12.6" customHeight="1" thickBot="1" x14ac:dyDescent="0.25">
      <c r="A122" s="1680" t="s">
        <v>488</v>
      </c>
      <c r="B122" s="1691"/>
      <c r="C122" s="1679">
        <f t="shared" ref="C122:H122" si="5">SUM(C117:C121)</f>
        <v>454930</v>
      </c>
      <c r="D122" s="1679">
        <f t="shared" si="5"/>
        <v>0</v>
      </c>
      <c r="E122" s="1679">
        <f t="shared" si="5"/>
        <v>0</v>
      </c>
      <c r="F122" s="1679">
        <f t="shared" si="5"/>
        <v>0</v>
      </c>
      <c r="G122" s="1679">
        <f t="shared" si="5"/>
        <v>0</v>
      </c>
      <c r="H122" s="1679">
        <f t="shared" si="5"/>
        <v>259949</v>
      </c>
      <c r="I122" s="467"/>
      <c r="J122" s="1679">
        <f>SUM(J117:J121)</f>
        <v>0</v>
      </c>
      <c r="K122" s="1660">
        <f>SUM(K117:K121)</f>
        <v>0</v>
      </c>
    </row>
    <row r="123" spans="1:11" ht="15.75" customHeight="1" thickTop="1" x14ac:dyDescent="0.2">
      <c r="A123" s="1564" t="s">
        <v>1490</v>
      </c>
      <c r="B123" s="1569"/>
      <c r="C123" s="553"/>
      <c r="D123" s="502"/>
      <c r="E123" s="467"/>
      <c r="F123" s="554"/>
      <c r="G123" s="467"/>
      <c r="H123" s="467"/>
      <c r="I123" s="467"/>
      <c r="J123" s="467"/>
      <c r="K123" s="467"/>
    </row>
    <row r="124" spans="1:11" ht="15" customHeight="1" x14ac:dyDescent="0.2">
      <c r="A124" s="1570" t="s">
        <v>667</v>
      </c>
      <c r="B124" s="1571"/>
      <c r="C124" s="514"/>
      <c r="D124" s="502"/>
      <c r="E124" s="467"/>
      <c r="F124" s="514"/>
      <c r="G124" s="467"/>
      <c r="H124" s="467"/>
      <c r="I124" s="467"/>
      <c r="J124" s="467"/>
      <c r="K124" s="467"/>
    </row>
    <row r="125" spans="1:11" ht="12.75" customHeight="1" x14ac:dyDescent="0.2">
      <c r="A125" s="463" t="s">
        <v>866</v>
      </c>
      <c r="B125" s="555">
        <v>3100</v>
      </c>
      <c r="C125" s="477">
        <v>0</v>
      </c>
      <c r="D125" s="549"/>
      <c r="E125" s="467"/>
      <c r="F125" s="1948">
        <v>0</v>
      </c>
      <c r="G125" s="467"/>
      <c r="H125" s="467"/>
      <c r="I125" s="467"/>
      <c r="J125" s="467"/>
      <c r="K125" s="467"/>
    </row>
    <row r="126" spans="1:11" ht="12.75" customHeight="1" x14ac:dyDescent="0.2">
      <c r="A126" s="463" t="s">
        <v>1446</v>
      </c>
      <c r="B126" s="550">
        <v>3105</v>
      </c>
      <c r="C126" s="1936">
        <v>3725</v>
      </c>
      <c r="D126" s="549"/>
      <c r="E126" s="467"/>
      <c r="F126" s="1940">
        <v>0</v>
      </c>
      <c r="G126" s="467"/>
      <c r="H126" s="467"/>
      <c r="I126" s="467"/>
      <c r="J126" s="467"/>
      <c r="K126" s="467"/>
    </row>
    <row r="127" spans="1:11" ht="12.75" customHeight="1" x14ac:dyDescent="0.2">
      <c r="A127" s="463" t="s">
        <v>867</v>
      </c>
      <c r="B127" s="550">
        <v>3110</v>
      </c>
      <c r="C127" s="1939">
        <v>1922</v>
      </c>
      <c r="D127" s="1940">
        <v>0</v>
      </c>
      <c r="E127" s="467"/>
      <c r="F127" s="1940">
        <v>0</v>
      </c>
      <c r="G127" s="467"/>
      <c r="H127" s="467"/>
      <c r="I127" s="467"/>
      <c r="J127" s="467"/>
      <c r="K127" s="467"/>
    </row>
    <row r="128" spans="1:11" ht="12.75" customHeight="1" x14ac:dyDescent="0.2">
      <c r="A128" s="463" t="s">
        <v>105</v>
      </c>
      <c r="B128" s="550">
        <v>3120</v>
      </c>
      <c r="C128" s="1936">
        <v>0</v>
      </c>
      <c r="D128" s="549"/>
      <c r="E128" s="467"/>
      <c r="F128" s="1940">
        <v>0</v>
      </c>
      <c r="G128" s="467"/>
      <c r="H128" s="467"/>
      <c r="I128" s="467"/>
      <c r="J128" s="467"/>
      <c r="K128" s="467"/>
    </row>
    <row r="129" spans="1:11" ht="12.75" customHeight="1" x14ac:dyDescent="0.2">
      <c r="A129" s="463" t="s">
        <v>1447</v>
      </c>
      <c r="B129" s="550">
        <v>3130</v>
      </c>
      <c r="C129" s="1936">
        <v>0</v>
      </c>
      <c r="D129" s="549"/>
      <c r="E129" s="467"/>
      <c r="F129" s="1940">
        <v>0</v>
      </c>
      <c r="G129" s="467"/>
      <c r="H129" s="467"/>
      <c r="I129" s="467"/>
      <c r="J129" s="467"/>
      <c r="K129" s="467"/>
    </row>
    <row r="130" spans="1:11" ht="12.75" customHeight="1" x14ac:dyDescent="0.2">
      <c r="A130" s="463" t="s">
        <v>137</v>
      </c>
      <c r="B130" s="550">
        <v>3145</v>
      </c>
      <c r="C130" s="1936">
        <v>0</v>
      </c>
      <c r="D130" s="549"/>
      <c r="E130" s="467"/>
      <c r="F130" s="1940">
        <v>0</v>
      </c>
      <c r="G130" s="467"/>
      <c r="H130" s="467"/>
      <c r="I130" s="467"/>
      <c r="J130" s="467"/>
      <c r="K130" s="467"/>
    </row>
    <row r="131" spans="1:11" ht="12.75" customHeight="1" x14ac:dyDescent="0.2">
      <c r="A131" s="463" t="s">
        <v>66</v>
      </c>
      <c r="B131" s="550">
        <v>3199</v>
      </c>
      <c r="C131" s="1939">
        <v>0</v>
      </c>
      <c r="D131" s="1941">
        <v>0</v>
      </c>
      <c r="E131" s="467"/>
      <c r="F131" s="1940">
        <v>0</v>
      </c>
      <c r="G131" s="467"/>
      <c r="H131" s="467"/>
      <c r="I131" s="467"/>
      <c r="J131" s="467"/>
      <c r="K131" s="467"/>
    </row>
    <row r="132" spans="1:11" ht="12.75" customHeight="1" thickBot="1" x14ac:dyDescent="0.25">
      <c r="A132" s="1680" t="s">
        <v>1032</v>
      </c>
      <c r="B132" s="1692"/>
      <c r="C132" s="1679">
        <f>SUM(C125:C131)</f>
        <v>5647</v>
      </c>
      <c r="D132" s="1679">
        <f>SUM(D125:D131)</f>
        <v>0</v>
      </c>
      <c r="E132" s="468" t="s">
        <v>1169</v>
      </c>
      <c r="F132" s="1679">
        <f>SUM(F125:F131)</f>
        <v>0</v>
      </c>
      <c r="G132" s="467" t="s">
        <v>1169</v>
      </c>
      <c r="H132" s="467" t="s">
        <v>1169</v>
      </c>
      <c r="I132" s="467" t="s">
        <v>1169</v>
      </c>
      <c r="J132" s="467" t="s">
        <v>1169</v>
      </c>
      <c r="K132" s="467" t="s">
        <v>1169</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599</v>
      </c>
      <c r="B134" s="550">
        <v>3200</v>
      </c>
      <c r="C134" s="1949">
        <v>0</v>
      </c>
      <c r="D134" s="1940">
        <v>0</v>
      </c>
      <c r="E134" s="549"/>
      <c r="F134" s="467"/>
      <c r="G134" s="1940">
        <v>0</v>
      </c>
      <c r="H134" s="467"/>
      <c r="I134" s="467"/>
      <c r="J134" s="467"/>
      <c r="K134" s="467"/>
    </row>
    <row r="135" spans="1:11" ht="12.75" customHeight="1" x14ac:dyDescent="0.2">
      <c r="A135" s="463" t="s">
        <v>669</v>
      </c>
      <c r="B135" s="550">
        <v>3220</v>
      </c>
      <c r="C135" s="1949">
        <v>0</v>
      </c>
      <c r="D135" s="1940">
        <v>0</v>
      </c>
      <c r="E135" s="549"/>
      <c r="F135" s="467"/>
      <c r="G135" s="1941">
        <v>0</v>
      </c>
      <c r="H135" s="467"/>
      <c r="I135" s="467"/>
      <c r="J135" s="467"/>
      <c r="K135" s="467"/>
    </row>
    <row r="136" spans="1:11" ht="12.75" customHeight="1" x14ac:dyDescent="0.2">
      <c r="A136" s="463" t="s">
        <v>249</v>
      </c>
      <c r="B136" s="550">
        <v>3225</v>
      </c>
      <c r="C136" s="1949">
        <v>0</v>
      </c>
      <c r="D136" s="1940">
        <v>0</v>
      </c>
      <c r="E136" s="549"/>
      <c r="F136" s="467"/>
      <c r="G136" s="1941">
        <v>0</v>
      </c>
      <c r="H136" s="467"/>
      <c r="I136" s="467"/>
      <c r="J136" s="467"/>
      <c r="K136" s="467"/>
    </row>
    <row r="137" spans="1:11" ht="12.75" customHeight="1" x14ac:dyDescent="0.2">
      <c r="A137" s="463" t="s">
        <v>600</v>
      </c>
      <c r="B137" s="550">
        <v>3235</v>
      </c>
      <c r="C137" s="1944">
        <v>0</v>
      </c>
      <c r="D137" s="1941">
        <v>0</v>
      </c>
      <c r="E137" s="549"/>
      <c r="F137" s="467"/>
      <c r="G137" s="1941">
        <v>0</v>
      </c>
      <c r="H137" s="467"/>
      <c r="I137" s="467"/>
      <c r="J137" s="467"/>
      <c r="K137" s="467"/>
    </row>
    <row r="138" spans="1:11" ht="12.75" customHeight="1" x14ac:dyDescent="0.2">
      <c r="A138" s="463" t="s">
        <v>601</v>
      </c>
      <c r="B138" s="550">
        <v>3240</v>
      </c>
      <c r="C138" s="1944">
        <v>0</v>
      </c>
      <c r="D138" s="1941">
        <v>0</v>
      </c>
      <c r="E138" s="549"/>
      <c r="F138" s="467"/>
      <c r="G138" s="1941">
        <v>0</v>
      </c>
      <c r="H138" s="467"/>
      <c r="I138" s="467"/>
      <c r="J138" s="467"/>
      <c r="K138" s="467"/>
    </row>
    <row r="139" spans="1:11" ht="12.75" customHeight="1" x14ac:dyDescent="0.2">
      <c r="A139" s="463" t="s">
        <v>602</v>
      </c>
      <c r="B139" s="550">
        <v>3270</v>
      </c>
      <c r="C139" s="1944">
        <v>0</v>
      </c>
      <c r="D139" s="1941">
        <v>0</v>
      </c>
      <c r="E139" s="549"/>
      <c r="F139" s="467"/>
      <c r="G139" s="1941">
        <v>0</v>
      </c>
      <c r="H139" s="467"/>
      <c r="I139" s="467"/>
      <c r="J139" s="467"/>
      <c r="K139" s="467"/>
    </row>
    <row r="140" spans="1:11" ht="12.75" customHeight="1" x14ac:dyDescent="0.2">
      <c r="A140" s="463" t="s">
        <v>67</v>
      </c>
      <c r="B140" s="550">
        <v>3299</v>
      </c>
      <c r="C140" s="1949">
        <v>0</v>
      </c>
      <c r="D140" s="1940">
        <v>0</v>
      </c>
      <c r="E140" s="549"/>
      <c r="F140" s="473"/>
      <c r="G140" s="1941">
        <v>0</v>
      </c>
      <c r="H140" s="467"/>
      <c r="I140" s="467"/>
      <c r="J140" s="467"/>
      <c r="K140" s="467"/>
    </row>
    <row r="141" spans="1:11" ht="12.75" customHeight="1" thickBot="1" x14ac:dyDescent="0.25">
      <c r="A141" s="1680" t="s">
        <v>603</v>
      </c>
      <c r="B141" s="1692"/>
      <c r="C141" s="1679">
        <f>SUM(C134:C140)</f>
        <v>0</v>
      </c>
      <c r="D141" s="1679">
        <f>SUM(D134:D140)</f>
        <v>0</v>
      </c>
      <c r="E141" s="549" t="s">
        <v>1169</v>
      </c>
      <c r="F141" s="473"/>
      <c r="G141" s="1679">
        <f>SUM(G134:G140)</f>
        <v>0</v>
      </c>
      <c r="H141" s="467" t="s">
        <v>1169</v>
      </c>
      <c r="I141" s="467" t="s">
        <v>1169</v>
      </c>
      <c r="J141" s="467" t="s">
        <v>1169</v>
      </c>
      <c r="K141" s="467" t="s">
        <v>1169</v>
      </c>
    </row>
    <row r="142" spans="1:11" ht="15.75" customHeight="1" thickTop="1" x14ac:dyDescent="0.2">
      <c r="A142" s="1572" t="s">
        <v>670</v>
      </c>
      <c r="B142" s="1573"/>
      <c r="C142" s="541"/>
      <c r="D142" s="554"/>
      <c r="E142" s="549"/>
      <c r="F142" s="541"/>
      <c r="G142" s="541"/>
      <c r="H142" s="467"/>
      <c r="I142" s="467"/>
      <c r="J142" s="467"/>
      <c r="K142" s="467"/>
    </row>
    <row r="143" spans="1:11" ht="12.75" customHeight="1" x14ac:dyDescent="0.2">
      <c r="A143" s="463" t="s">
        <v>604</v>
      </c>
      <c r="B143" s="550">
        <v>3305</v>
      </c>
      <c r="C143" s="1940">
        <v>0</v>
      </c>
      <c r="D143" s="467"/>
      <c r="E143" s="549"/>
      <c r="F143" s="467"/>
      <c r="G143" s="1940">
        <v>0</v>
      </c>
      <c r="H143" s="467"/>
      <c r="I143" s="467"/>
      <c r="J143" s="467"/>
      <c r="K143" s="467"/>
    </row>
    <row r="144" spans="1:11" ht="12.75" customHeight="1" x14ac:dyDescent="0.2">
      <c r="A144" s="463" t="s">
        <v>347</v>
      </c>
      <c r="B144" s="550">
        <v>3310</v>
      </c>
      <c r="C144" s="1949">
        <v>0</v>
      </c>
      <c r="D144" s="467"/>
      <c r="E144" s="549"/>
      <c r="F144" s="467"/>
      <c r="G144" s="1940">
        <v>0</v>
      </c>
      <c r="H144" s="467"/>
      <c r="I144" s="467"/>
      <c r="J144" s="467"/>
      <c r="K144" s="467"/>
    </row>
    <row r="145" spans="1:11" s="202" customFormat="1" ht="13.5" thickBot="1" x14ac:dyDescent="0.25">
      <c r="A145" s="1680" t="s">
        <v>396</v>
      </c>
      <c r="B145" s="1692"/>
      <c r="C145" s="1660">
        <f>SUM(C143:C144)</f>
        <v>0</v>
      </c>
      <c r="D145" s="467"/>
      <c r="E145" s="502"/>
      <c r="F145" s="467"/>
      <c r="G145" s="1693">
        <f>SUM(G143:G144)</f>
        <v>0</v>
      </c>
      <c r="H145" s="467"/>
      <c r="I145" s="467"/>
      <c r="J145" s="467"/>
      <c r="K145" s="467"/>
    </row>
    <row r="146" spans="1:11" s="202" customFormat="1" ht="12.75" customHeight="1" thickTop="1" x14ac:dyDescent="0.2">
      <c r="A146" s="1471" t="s">
        <v>1056</v>
      </c>
      <c r="B146" s="556">
        <v>3360</v>
      </c>
      <c r="C146" s="1943">
        <v>647</v>
      </c>
      <c r="D146" s="557"/>
      <c r="E146" s="502"/>
      <c r="F146" s="467"/>
      <c r="G146" s="558"/>
      <c r="H146" s="467"/>
      <c r="I146" s="467"/>
      <c r="J146" s="467"/>
      <c r="K146" s="467"/>
    </row>
    <row r="147" spans="1:11" ht="12.75" customHeight="1" thickBot="1" x14ac:dyDescent="0.25">
      <c r="A147" s="1472" t="s">
        <v>922</v>
      </c>
      <c r="B147" s="559">
        <v>3365</v>
      </c>
      <c r="C147" s="1950">
        <v>0</v>
      </c>
      <c r="D147" s="1947">
        <v>0</v>
      </c>
      <c r="E147" s="549"/>
      <c r="F147" s="467"/>
      <c r="G147" s="1947">
        <v>0</v>
      </c>
      <c r="H147" s="467"/>
      <c r="I147" s="467"/>
      <c r="J147" s="467"/>
      <c r="K147" s="467"/>
    </row>
    <row r="148" spans="1:11" ht="12.75" customHeight="1" thickTop="1" thickBot="1" x14ac:dyDescent="0.25">
      <c r="A148" s="1473" t="s">
        <v>138</v>
      </c>
      <c r="B148" s="560">
        <v>3370</v>
      </c>
      <c r="C148" s="1950">
        <v>0</v>
      </c>
      <c r="D148" s="1950">
        <v>0</v>
      </c>
      <c r="E148" s="502"/>
      <c r="F148" s="467"/>
      <c r="G148" s="467"/>
      <c r="H148" s="467"/>
      <c r="I148" s="467"/>
      <c r="J148" s="467"/>
      <c r="K148" s="467"/>
    </row>
    <row r="149" spans="1:11" ht="12.75" customHeight="1" thickTop="1" thickBot="1" x14ac:dyDescent="0.25">
      <c r="A149" s="1473" t="s">
        <v>767</v>
      </c>
      <c r="B149" s="560">
        <v>3410</v>
      </c>
      <c r="C149" s="1951">
        <v>0</v>
      </c>
      <c r="D149" s="1952">
        <v>0</v>
      </c>
      <c r="E149" s="1953">
        <v>0</v>
      </c>
      <c r="F149" s="1945">
        <v>0</v>
      </c>
      <c r="G149" s="1945">
        <v>0</v>
      </c>
      <c r="H149" s="1945">
        <v>0</v>
      </c>
      <c r="I149" s="1945">
        <v>0</v>
      </c>
      <c r="J149" s="1945">
        <v>0</v>
      </c>
      <c r="K149" s="1945">
        <v>0</v>
      </c>
    </row>
    <row r="150" spans="1:11" ht="12.75" customHeight="1" thickTop="1" thickBot="1" x14ac:dyDescent="0.25">
      <c r="A150" s="1473" t="s">
        <v>68</v>
      </c>
      <c r="B150" s="560">
        <v>3499</v>
      </c>
      <c r="C150" s="1951">
        <v>0</v>
      </c>
      <c r="D150" s="1952">
        <v>0</v>
      </c>
      <c r="E150" s="1947">
        <v>0</v>
      </c>
      <c r="F150" s="1947">
        <v>0</v>
      </c>
      <c r="G150" s="1947">
        <v>0</v>
      </c>
      <c r="H150" s="1947">
        <v>0</v>
      </c>
      <c r="I150" s="1947">
        <v>0</v>
      </c>
      <c r="J150" s="1947">
        <v>0</v>
      </c>
      <c r="K150" s="1947">
        <v>0</v>
      </c>
    </row>
    <row r="151" spans="1:11" ht="15.75" customHeight="1" thickTop="1" x14ac:dyDescent="0.2">
      <c r="A151" s="1572" t="s">
        <v>453</v>
      </c>
      <c r="B151" s="1574"/>
      <c r="C151" s="541"/>
      <c r="D151" s="467"/>
      <c r="E151" s="549"/>
      <c r="F151" s="467"/>
      <c r="G151" s="467"/>
      <c r="H151" s="467"/>
      <c r="I151" s="467"/>
      <c r="J151" s="467"/>
      <c r="K151" s="467"/>
    </row>
    <row r="152" spans="1:11" ht="12.75" customHeight="1" x14ac:dyDescent="0.2">
      <c r="A152" s="463" t="s">
        <v>1448</v>
      </c>
      <c r="B152" s="550">
        <v>3500</v>
      </c>
      <c r="C152" s="1949">
        <v>0</v>
      </c>
      <c r="D152" s="1940">
        <v>0</v>
      </c>
      <c r="E152" s="549"/>
      <c r="F152" s="1940">
        <v>42617</v>
      </c>
      <c r="G152" s="1941">
        <v>0</v>
      </c>
      <c r="H152" s="467"/>
      <c r="I152" s="467"/>
      <c r="J152" s="467"/>
      <c r="K152" s="467"/>
    </row>
    <row r="153" spans="1:11" ht="12.75" customHeight="1" x14ac:dyDescent="0.2">
      <c r="A153" s="463" t="s">
        <v>1057</v>
      </c>
      <c r="B153" s="550">
        <v>3510</v>
      </c>
      <c r="C153" s="1949">
        <v>0</v>
      </c>
      <c r="D153" s="1940">
        <v>0</v>
      </c>
      <c r="E153" s="549"/>
      <c r="F153" s="1940">
        <v>90531</v>
      </c>
      <c r="G153" s="1941">
        <v>0</v>
      </c>
      <c r="H153" s="467"/>
      <c r="I153" s="467"/>
      <c r="J153" s="467"/>
      <c r="K153" s="467"/>
    </row>
    <row r="154" spans="1:11" ht="12.75" customHeight="1" x14ac:dyDescent="0.2">
      <c r="A154" s="463" t="s">
        <v>69</v>
      </c>
      <c r="B154" s="550">
        <v>3599</v>
      </c>
      <c r="C154" s="1949">
        <v>0</v>
      </c>
      <c r="D154" s="1940">
        <v>0</v>
      </c>
      <c r="E154" s="549"/>
      <c r="F154" s="1940">
        <v>0</v>
      </c>
      <c r="G154" s="1941">
        <v>0</v>
      </c>
      <c r="H154" s="467"/>
      <c r="I154" s="467"/>
      <c r="J154" s="467"/>
      <c r="K154" s="467"/>
    </row>
    <row r="155" spans="1:11" ht="12.75" customHeight="1" thickBot="1" x14ac:dyDescent="0.25">
      <c r="A155" s="1680" t="s">
        <v>94</v>
      </c>
      <c r="B155" s="1692"/>
      <c r="C155" s="1679">
        <f>SUM(C152:C154)</f>
        <v>0</v>
      </c>
      <c r="D155" s="1679">
        <f>SUM(D152:D154)</f>
        <v>0</v>
      </c>
      <c r="E155" s="549"/>
      <c r="F155" s="1679">
        <f>SUM(F152:F154)</f>
        <v>133148</v>
      </c>
      <c r="G155" s="1679">
        <f>SUM(G152:G154)</f>
        <v>0</v>
      </c>
      <c r="H155" s="467"/>
      <c r="I155" s="467"/>
      <c r="J155" s="467"/>
      <c r="K155" s="467"/>
    </row>
    <row r="156" spans="1:11" ht="12.75" customHeight="1" thickTop="1" thickBot="1" x14ac:dyDescent="0.25">
      <c r="A156" s="1473" t="s">
        <v>380</v>
      </c>
      <c r="B156" s="560">
        <v>3610</v>
      </c>
      <c r="C156" s="1952">
        <v>0</v>
      </c>
      <c r="D156" s="467"/>
      <c r="E156" s="502"/>
      <c r="F156" s="467"/>
      <c r="G156" s="467"/>
      <c r="H156" s="467"/>
      <c r="I156" s="467"/>
      <c r="J156" s="467"/>
      <c r="K156" s="467"/>
    </row>
    <row r="157" spans="1:11" ht="12.75" customHeight="1" thickTop="1" thickBot="1" x14ac:dyDescent="0.25">
      <c r="A157" s="1473" t="s">
        <v>50</v>
      </c>
      <c r="B157" s="560">
        <v>3660</v>
      </c>
      <c r="C157" s="1950">
        <v>0</v>
      </c>
      <c r="D157" s="1954">
        <v>0</v>
      </c>
      <c r="E157" s="549"/>
      <c r="F157" s="1954">
        <v>0</v>
      </c>
      <c r="G157" s="1954">
        <v>0</v>
      </c>
      <c r="H157" s="467"/>
      <c r="I157" s="467"/>
      <c r="J157" s="467"/>
      <c r="K157" s="467"/>
    </row>
    <row r="158" spans="1:11" ht="12.75" customHeight="1" thickTop="1" thickBot="1" x14ac:dyDescent="0.25">
      <c r="A158" s="1473" t="s">
        <v>1000</v>
      </c>
      <c r="B158" s="560">
        <v>3695</v>
      </c>
      <c r="C158" s="1952">
        <v>0</v>
      </c>
      <c r="D158" s="467"/>
      <c r="E158" s="549"/>
      <c r="F158" s="1952">
        <v>0</v>
      </c>
      <c r="G158" s="1952">
        <v>0</v>
      </c>
      <c r="H158" s="467"/>
      <c r="I158" s="467"/>
      <c r="J158" s="467"/>
      <c r="K158" s="467"/>
    </row>
    <row r="159" spans="1:11" ht="12.75" customHeight="1" thickTop="1" thickBot="1" x14ac:dyDescent="0.25">
      <c r="A159" s="1473" t="s">
        <v>1051</v>
      </c>
      <c r="B159" s="560">
        <v>3705</v>
      </c>
      <c r="C159" s="1952">
        <v>0</v>
      </c>
      <c r="D159" s="1954">
        <v>0</v>
      </c>
      <c r="E159" s="549"/>
      <c r="F159" s="1952">
        <v>0</v>
      </c>
      <c r="G159" s="1952">
        <v>0</v>
      </c>
      <c r="H159" s="467"/>
      <c r="I159" s="467"/>
      <c r="J159" s="467"/>
      <c r="K159" s="467"/>
    </row>
    <row r="160" spans="1:11" ht="12.75" customHeight="1" thickTop="1" thickBot="1" x14ac:dyDescent="0.25">
      <c r="A160" s="1473" t="s">
        <v>39</v>
      </c>
      <c r="B160" s="560">
        <v>3766</v>
      </c>
      <c r="C160" s="1952">
        <v>0</v>
      </c>
      <c r="D160" s="1954">
        <v>0</v>
      </c>
      <c r="E160" s="549"/>
      <c r="F160" s="1952">
        <v>0</v>
      </c>
      <c r="G160" s="1946">
        <v>0</v>
      </c>
      <c r="H160" s="467"/>
      <c r="I160" s="467"/>
      <c r="J160" s="467"/>
      <c r="K160" s="467"/>
    </row>
    <row r="161" spans="1:11" ht="12.75" customHeight="1" thickTop="1" thickBot="1" x14ac:dyDescent="0.25">
      <c r="A161" s="1473" t="s">
        <v>985</v>
      </c>
      <c r="B161" s="560">
        <v>3767</v>
      </c>
      <c r="C161" s="1952">
        <v>0</v>
      </c>
      <c r="D161" s="1946">
        <v>0</v>
      </c>
      <c r="E161" s="549"/>
      <c r="F161" s="1946">
        <v>0</v>
      </c>
      <c r="G161" s="1946">
        <v>0</v>
      </c>
      <c r="H161" s="467"/>
      <c r="I161" s="467"/>
      <c r="J161" s="467"/>
      <c r="K161" s="467"/>
    </row>
    <row r="162" spans="1:11" ht="12.75" customHeight="1" thickTop="1" thickBot="1" x14ac:dyDescent="0.25">
      <c r="A162" s="1473" t="s">
        <v>986</v>
      </c>
      <c r="B162" s="560">
        <v>3775</v>
      </c>
      <c r="C162" s="1952">
        <v>0</v>
      </c>
      <c r="D162" s="1950">
        <v>0</v>
      </c>
      <c r="E162" s="1945">
        <v>0</v>
      </c>
      <c r="F162" s="1950">
        <v>0</v>
      </c>
      <c r="G162" s="1947">
        <v>0</v>
      </c>
      <c r="H162" s="1945">
        <v>0</v>
      </c>
      <c r="I162" s="467"/>
      <c r="J162" s="467"/>
      <c r="K162" s="1945">
        <v>0</v>
      </c>
    </row>
    <row r="163" spans="1:11" ht="12.75" customHeight="1" thickTop="1" thickBot="1" x14ac:dyDescent="0.25">
      <c r="A163" s="1473" t="s">
        <v>1449</v>
      </c>
      <c r="B163" s="560">
        <v>3780</v>
      </c>
      <c r="C163" s="1946">
        <v>0</v>
      </c>
      <c r="D163" s="1945">
        <v>0</v>
      </c>
      <c r="E163" s="1946">
        <v>0</v>
      </c>
      <c r="F163" s="1946">
        <v>0</v>
      </c>
      <c r="G163" s="1946">
        <v>0</v>
      </c>
      <c r="H163" s="1946">
        <v>0</v>
      </c>
      <c r="I163" s="467"/>
      <c r="J163" s="467"/>
      <c r="K163" s="1946">
        <v>0</v>
      </c>
    </row>
    <row r="164" spans="1:11" ht="12.75" customHeight="1" thickTop="1" thickBot="1" x14ac:dyDescent="0.25">
      <c r="A164" s="1473" t="s">
        <v>858</v>
      </c>
      <c r="B164" s="560">
        <v>3815</v>
      </c>
      <c r="C164" s="1952">
        <v>0</v>
      </c>
      <c r="D164" s="467"/>
      <c r="E164" s="549"/>
      <c r="F164" s="1952">
        <v>0</v>
      </c>
      <c r="G164" s="467"/>
      <c r="H164" s="467"/>
      <c r="I164" s="467"/>
      <c r="J164" s="467"/>
      <c r="K164" s="467"/>
    </row>
    <row r="165" spans="1:11" ht="12.75" customHeight="1" thickTop="1" thickBot="1" x14ac:dyDescent="0.25">
      <c r="A165" s="1473" t="s">
        <v>397</v>
      </c>
      <c r="B165" s="560">
        <v>3825</v>
      </c>
      <c r="C165" s="1952">
        <v>0</v>
      </c>
      <c r="D165" s="467"/>
      <c r="E165" s="549"/>
      <c r="F165" s="1952">
        <v>0</v>
      </c>
      <c r="G165" s="467"/>
      <c r="H165" s="467"/>
      <c r="I165" s="467"/>
      <c r="J165" s="467"/>
      <c r="K165" s="467"/>
    </row>
    <row r="166" spans="1:11" ht="12.75" customHeight="1" thickTop="1" thickBot="1" x14ac:dyDescent="0.25">
      <c r="A166" s="1473" t="s">
        <v>348</v>
      </c>
      <c r="B166" s="560">
        <v>3920</v>
      </c>
      <c r="C166" s="554"/>
      <c r="D166" s="1954">
        <v>0</v>
      </c>
      <c r="E166" s="467"/>
      <c r="F166" s="554"/>
      <c r="G166" s="467"/>
      <c r="H166" s="1945">
        <v>0</v>
      </c>
      <c r="I166" s="467"/>
      <c r="J166" s="467"/>
      <c r="K166" s="467"/>
    </row>
    <row r="167" spans="1:11" ht="12.75" customHeight="1" thickTop="1" thickBot="1" x14ac:dyDescent="0.25">
      <c r="A167" s="1473" t="s">
        <v>349</v>
      </c>
      <c r="B167" s="560">
        <v>3925</v>
      </c>
      <c r="C167" s="514"/>
      <c r="D167" s="1952">
        <v>0</v>
      </c>
      <c r="E167" s="514"/>
      <c r="F167" s="514"/>
      <c r="G167" s="467"/>
      <c r="H167" s="1946">
        <v>0</v>
      </c>
      <c r="I167" s="467"/>
      <c r="J167" s="467"/>
      <c r="K167" s="1945">
        <v>0</v>
      </c>
    </row>
    <row r="168" spans="1:11" ht="14.25" thickTop="1" thickBot="1" x14ac:dyDescent="0.25">
      <c r="A168" s="1473" t="s">
        <v>70</v>
      </c>
      <c r="B168" s="560">
        <v>3999</v>
      </c>
      <c r="C168" s="1955">
        <v>750</v>
      </c>
      <c r="D168" s="1956">
        <v>0</v>
      </c>
      <c r="E168" s="1956">
        <v>0</v>
      </c>
      <c r="F168" s="1956">
        <v>0</v>
      </c>
      <c r="G168" s="1957">
        <v>0</v>
      </c>
      <c r="H168" s="1958">
        <v>0</v>
      </c>
      <c r="I168" s="1957">
        <v>0</v>
      </c>
      <c r="J168" s="1957">
        <v>0</v>
      </c>
      <c r="K168" s="1958">
        <v>0</v>
      </c>
    </row>
    <row r="169" spans="1:11" ht="12.75" customHeight="1" thickTop="1" thickBot="1" x14ac:dyDescent="0.25">
      <c r="A169" s="2217" t="s">
        <v>398</v>
      </c>
      <c r="B169" s="2218"/>
      <c r="C169" s="1694">
        <f t="shared" ref="C169:K169" si="6">SUM(C132,C141,C145,C146:C150,C155,C156:C167,C168)</f>
        <v>7044</v>
      </c>
      <c r="D169" s="1694">
        <f t="shared" si="6"/>
        <v>0</v>
      </c>
      <c r="E169" s="1694">
        <f t="shared" si="6"/>
        <v>0</v>
      </c>
      <c r="F169" s="1694">
        <f t="shared" si="6"/>
        <v>133148</v>
      </c>
      <c r="G169" s="1694">
        <f t="shared" si="6"/>
        <v>0</v>
      </c>
      <c r="H169" s="1694">
        <f t="shared" si="6"/>
        <v>0</v>
      </c>
      <c r="I169" s="1694">
        <f t="shared" si="6"/>
        <v>0</v>
      </c>
      <c r="J169" s="1694">
        <f t="shared" si="6"/>
        <v>0</v>
      </c>
      <c r="K169" s="1675">
        <f t="shared" si="6"/>
        <v>0</v>
      </c>
    </row>
    <row r="170" spans="1:11" ht="12.75" customHeight="1" thickTop="1" thickBot="1" x14ac:dyDescent="0.25">
      <c r="A170" s="1680" t="s">
        <v>399</v>
      </c>
      <c r="B170" s="1686" t="s">
        <v>575</v>
      </c>
      <c r="C170" s="1687">
        <f t="shared" ref="C170:K170" si="7">SUM(C122,C169)</f>
        <v>461974</v>
      </c>
      <c r="D170" s="1687">
        <f t="shared" si="7"/>
        <v>0</v>
      </c>
      <c r="E170" s="1687">
        <f t="shared" si="7"/>
        <v>0</v>
      </c>
      <c r="F170" s="1687">
        <f t="shared" si="7"/>
        <v>133148</v>
      </c>
      <c r="G170" s="1687">
        <f t="shared" si="7"/>
        <v>0</v>
      </c>
      <c r="H170" s="1687">
        <f t="shared" si="7"/>
        <v>259949</v>
      </c>
      <c r="I170" s="1687">
        <f t="shared" si="7"/>
        <v>0</v>
      </c>
      <c r="J170" s="1687">
        <f t="shared" si="7"/>
        <v>0</v>
      </c>
      <c r="K170" s="1674">
        <f t="shared"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219" t="s">
        <v>1492</v>
      </c>
      <c r="B172" s="2220"/>
      <c r="C172" s="513"/>
      <c r="D172" s="513"/>
      <c r="E172" s="502"/>
      <c r="F172" s="467"/>
      <c r="G172" s="467"/>
      <c r="H172" s="467"/>
      <c r="I172" s="467"/>
      <c r="J172" s="467"/>
      <c r="K172" s="467"/>
    </row>
    <row r="173" spans="1:11" ht="12.6" customHeight="1" x14ac:dyDescent="0.2">
      <c r="A173" s="486" t="s">
        <v>1044</v>
      </c>
      <c r="B173" s="485">
        <v>4001</v>
      </c>
      <c r="C173" s="509">
        <v>0</v>
      </c>
      <c r="D173" s="477">
        <v>0</v>
      </c>
      <c r="E173" s="1941">
        <v>0</v>
      </c>
      <c r="F173" s="1940">
        <v>0</v>
      </c>
      <c r="G173" s="1940">
        <v>0</v>
      </c>
      <c r="H173" s="1941">
        <v>0</v>
      </c>
      <c r="I173" s="1941">
        <v>0</v>
      </c>
      <c r="J173" s="1941">
        <v>0</v>
      </c>
      <c r="K173" s="1941">
        <v>0</v>
      </c>
    </row>
    <row r="174" spans="1:11" ht="22.5" x14ac:dyDescent="0.2">
      <c r="A174" s="551" t="s">
        <v>805</v>
      </c>
      <c r="B174" s="563">
        <v>4009</v>
      </c>
      <c r="C174" s="1949">
        <v>0</v>
      </c>
      <c r="D174" s="1940">
        <v>0</v>
      </c>
      <c r="E174" s="1941">
        <v>0</v>
      </c>
      <c r="F174" s="1940">
        <v>0</v>
      </c>
      <c r="G174" s="1940">
        <v>0</v>
      </c>
      <c r="H174" s="1941">
        <v>0</v>
      </c>
      <c r="I174" s="1941">
        <v>0</v>
      </c>
      <c r="J174" s="1941">
        <v>0</v>
      </c>
      <c r="K174" s="1941">
        <v>0</v>
      </c>
    </row>
    <row r="175" spans="1:11" ht="13.5" thickBot="1" x14ac:dyDescent="0.25">
      <c r="A175" s="2223" t="s">
        <v>1665</v>
      </c>
      <c r="B175" s="2224"/>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227" t="s">
        <v>1664</v>
      </c>
      <c r="B176" s="2228"/>
      <c r="C176" s="575"/>
      <c r="D176" s="576"/>
      <c r="E176" s="577"/>
      <c r="F176" s="578"/>
      <c r="G176" s="578"/>
      <c r="H176" s="578"/>
      <c r="I176" s="578"/>
      <c r="J176" s="578"/>
      <c r="K176" s="578"/>
    </row>
    <row r="177" spans="1:11" ht="12.75" customHeight="1" x14ac:dyDescent="0.2">
      <c r="A177" s="463" t="s">
        <v>1045</v>
      </c>
      <c r="B177" s="469">
        <v>4045</v>
      </c>
      <c r="C177" s="1949">
        <v>0</v>
      </c>
      <c r="D177" s="467"/>
      <c r="E177" s="549"/>
      <c r="F177" s="467"/>
      <c r="G177" s="467"/>
      <c r="H177" s="467"/>
      <c r="I177" s="467"/>
      <c r="J177" s="467"/>
      <c r="K177" s="467"/>
    </row>
    <row r="178" spans="1:11" ht="12.75" customHeight="1" x14ac:dyDescent="0.2">
      <c r="A178" s="463" t="s">
        <v>1046</v>
      </c>
      <c r="B178" s="469">
        <v>4050</v>
      </c>
      <c r="C178" s="1949">
        <v>0</v>
      </c>
      <c r="D178" s="1941">
        <v>0</v>
      </c>
      <c r="E178" s="549"/>
      <c r="F178" s="467"/>
      <c r="G178" s="467"/>
      <c r="H178" s="1941">
        <v>0</v>
      </c>
      <c r="I178" s="467"/>
      <c r="J178" s="467"/>
      <c r="K178" s="467"/>
    </row>
    <row r="179" spans="1:11" ht="12.75" customHeight="1" x14ac:dyDescent="0.2">
      <c r="A179" s="463" t="s">
        <v>260</v>
      </c>
      <c r="B179" s="469">
        <v>4060</v>
      </c>
      <c r="C179" s="509">
        <v>0</v>
      </c>
      <c r="D179" s="1940">
        <v>0</v>
      </c>
      <c r="E179" s="467"/>
      <c r="F179" s="1940">
        <v>0</v>
      </c>
      <c r="G179" s="1940">
        <v>0</v>
      </c>
      <c r="H179" s="1940">
        <v>0</v>
      </c>
      <c r="I179" s="467"/>
      <c r="J179" s="467"/>
      <c r="K179" s="514"/>
    </row>
    <row r="180" spans="1:11" ht="22.5" x14ac:dyDescent="0.2">
      <c r="A180" s="551" t="s">
        <v>786</v>
      </c>
      <c r="B180" s="563">
        <v>4090</v>
      </c>
      <c r="C180" s="1949">
        <v>0</v>
      </c>
      <c r="D180" s="1940">
        <v>0</v>
      </c>
      <c r="E180" s="467"/>
      <c r="F180" s="1940">
        <v>0</v>
      </c>
      <c r="G180" s="1940">
        <v>0</v>
      </c>
      <c r="H180" s="1940">
        <v>0</v>
      </c>
      <c r="I180" s="467"/>
      <c r="J180" s="467"/>
      <c r="K180" s="1940">
        <v>0</v>
      </c>
    </row>
    <row r="181" spans="1:11" ht="13.5" thickBot="1" x14ac:dyDescent="0.25">
      <c r="A181" s="2225" t="s">
        <v>785</v>
      </c>
      <c r="B181" s="2226"/>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221" t="s">
        <v>1803</v>
      </c>
      <c r="B182" s="2222"/>
      <c r="C182" s="564"/>
      <c r="D182" s="554"/>
      <c r="E182" s="502"/>
      <c r="F182" s="554"/>
      <c r="G182" s="554"/>
      <c r="H182" s="467"/>
      <c r="I182" s="467"/>
      <c r="J182" s="467"/>
      <c r="K182" s="467"/>
    </row>
    <row r="183" spans="1:11" ht="15.75" customHeight="1" x14ac:dyDescent="0.2">
      <c r="A183" s="1575" t="s">
        <v>1602</v>
      </c>
      <c r="B183" s="1576"/>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49">
        <v>0</v>
      </c>
      <c r="D185" s="1940">
        <v>0</v>
      </c>
      <c r="E185" s="549"/>
      <c r="F185" s="1940">
        <v>0</v>
      </c>
      <c r="G185" s="1940">
        <v>0</v>
      </c>
      <c r="H185" s="467"/>
      <c r="I185" s="467"/>
      <c r="J185" s="467"/>
      <c r="K185" s="467"/>
    </row>
    <row r="186" spans="1:11" ht="12.75" customHeight="1" x14ac:dyDescent="0.2">
      <c r="A186" s="463" t="s">
        <v>1606</v>
      </c>
      <c r="B186" s="469">
        <v>4107</v>
      </c>
      <c r="C186" s="1949">
        <v>0</v>
      </c>
      <c r="D186" s="1940">
        <v>0</v>
      </c>
      <c r="E186" s="549"/>
      <c r="F186" s="1940">
        <v>0</v>
      </c>
      <c r="G186" s="1940">
        <v>0</v>
      </c>
      <c r="H186" s="467"/>
      <c r="I186" s="467"/>
      <c r="J186" s="467"/>
      <c r="K186" s="467"/>
    </row>
    <row r="187" spans="1:11" ht="12.75" customHeight="1" x14ac:dyDescent="0.2">
      <c r="A187" s="463" t="s">
        <v>1605</v>
      </c>
      <c r="B187" s="469">
        <v>4199</v>
      </c>
      <c r="C187" s="1949">
        <v>0</v>
      </c>
      <c r="D187" s="1940">
        <v>0</v>
      </c>
      <c r="E187" s="549"/>
      <c r="F187" s="1940">
        <v>0</v>
      </c>
      <c r="G187" s="1940">
        <v>0</v>
      </c>
      <c r="H187" s="467"/>
      <c r="I187" s="467"/>
      <c r="J187" s="467"/>
      <c r="K187" s="467"/>
    </row>
    <row r="188" spans="1:11" ht="12.75" customHeight="1" thickBot="1" x14ac:dyDescent="0.25">
      <c r="A188" s="1680" t="s">
        <v>1607</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455</v>
      </c>
      <c r="B189" s="1577"/>
      <c r="C189" s="541"/>
      <c r="D189" s="554"/>
      <c r="E189" s="549"/>
      <c r="F189" s="541"/>
      <c r="G189" s="541"/>
      <c r="H189" s="467"/>
      <c r="I189" s="467"/>
      <c r="J189" s="467"/>
      <c r="K189" s="467"/>
    </row>
    <row r="190" spans="1:11" x14ac:dyDescent="0.2">
      <c r="A190" s="463" t="s">
        <v>1450</v>
      </c>
      <c r="B190" s="469">
        <v>4200</v>
      </c>
      <c r="C190" s="1941">
        <v>0</v>
      </c>
      <c r="D190" s="467"/>
      <c r="E190" s="549"/>
      <c r="F190" s="541"/>
      <c r="G190" s="1959">
        <v>0</v>
      </c>
      <c r="H190" s="467"/>
      <c r="I190" s="467"/>
      <c r="J190" s="467"/>
      <c r="K190" s="467"/>
    </row>
    <row r="191" spans="1:11" ht="12.75" customHeight="1" x14ac:dyDescent="0.2">
      <c r="A191" s="463" t="s">
        <v>1058</v>
      </c>
      <c r="B191" s="469">
        <v>4210</v>
      </c>
      <c r="C191" s="1940">
        <v>46258</v>
      </c>
      <c r="D191" s="467"/>
      <c r="E191" s="549"/>
      <c r="F191" s="467"/>
      <c r="G191" s="1959">
        <v>0</v>
      </c>
      <c r="H191" s="467"/>
      <c r="I191" s="467"/>
      <c r="J191" s="467"/>
      <c r="K191" s="467"/>
    </row>
    <row r="192" spans="1:11" ht="12.75" customHeight="1" x14ac:dyDescent="0.2">
      <c r="A192" s="463" t="s">
        <v>1047</v>
      </c>
      <c r="B192" s="469">
        <v>4215</v>
      </c>
      <c r="C192" s="1949">
        <v>0</v>
      </c>
      <c r="D192" s="467"/>
      <c r="E192" s="549"/>
      <c r="F192" s="467"/>
      <c r="G192" s="1959">
        <v>0</v>
      </c>
      <c r="H192" s="467"/>
      <c r="I192" s="467"/>
      <c r="J192" s="467"/>
      <c r="K192" s="467"/>
    </row>
    <row r="193" spans="1:11" ht="12.75" customHeight="1" x14ac:dyDescent="0.2">
      <c r="A193" s="463" t="s">
        <v>1059</v>
      </c>
      <c r="B193" s="469">
        <v>4220</v>
      </c>
      <c r="C193" s="1949">
        <v>0</v>
      </c>
      <c r="D193" s="467"/>
      <c r="E193" s="549"/>
      <c r="F193" s="467"/>
      <c r="G193" s="1959">
        <v>0</v>
      </c>
      <c r="H193" s="467"/>
      <c r="I193" s="467"/>
      <c r="J193" s="467"/>
      <c r="K193" s="467"/>
    </row>
    <row r="194" spans="1:11" ht="12.75" customHeight="1" x14ac:dyDescent="0.2">
      <c r="A194" s="463" t="s">
        <v>1451</v>
      </c>
      <c r="B194" s="469">
        <v>4225</v>
      </c>
      <c r="C194" s="1949">
        <v>0</v>
      </c>
      <c r="D194" s="467"/>
      <c r="E194" s="549"/>
      <c r="F194" s="467"/>
      <c r="G194" s="1959">
        <v>0</v>
      </c>
      <c r="H194" s="467"/>
      <c r="I194" s="467"/>
      <c r="J194" s="467"/>
      <c r="K194" s="467"/>
    </row>
    <row r="195" spans="1:11" ht="12.75" customHeight="1" x14ac:dyDescent="0.2">
      <c r="A195" s="463" t="s">
        <v>1452</v>
      </c>
      <c r="B195" s="469">
        <v>4226</v>
      </c>
      <c r="C195" s="1949">
        <v>0</v>
      </c>
      <c r="D195" s="467"/>
      <c r="E195" s="549"/>
      <c r="F195" s="467"/>
      <c r="G195" s="1959">
        <v>0</v>
      </c>
      <c r="H195" s="467"/>
      <c r="I195" s="467"/>
      <c r="J195" s="467"/>
      <c r="K195" s="467"/>
    </row>
    <row r="196" spans="1:11" ht="12.75" customHeight="1" x14ac:dyDescent="0.2">
      <c r="A196" s="463" t="s">
        <v>792</v>
      </c>
      <c r="B196" s="469">
        <v>4240</v>
      </c>
      <c r="C196" s="1944">
        <v>0</v>
      </c>
      <c r="D196" s="467"/>
      <c r="E196" s="549"/>
      <c r="F196" s="467"/>
      <c r="G196" s="566"/>
      <c r="H196" s="467"/>
      <c r="I196" s="467"/>
      <c r="J196" s="467"/>
      <c r="K196" s="467"/>
    </row>
    <row r="197" spans="1:11" ht="12.75" customHeight="1" x14ac:dyDescent="0.2">
      <c r="A197" s="463" t="s">
        <v>71</v>
      </c>
      <c r="B197" s="469">
        <v>4299</v>
      </c>
      <c r="C197" s="1949">
        <v>0</v>
      </c>
      <c r="D197" s="467"/>
      <c r="E197" s="549"/>
      <c r="F197" s="467"/>
      <c r="G197" s="1959">
        <v>0</v>
      </c>
      <c r="H197" s="467"/>
      <c r="I197" s="467"/>
      <c r="J197" s="467"/>
      <c r="K197" s="467"/>
    </row>
    <row r="198" spans="1:11" ht="12.75" customHeight="1" thickBot="1" x14ac:dyDescent="0.25">
      <c r="A198" s="1680" t="s">
        <v>548</v>
      </c>
      <c r="B198" s="1681"/>
      <c r="C198" s="1660">
        <f>SUM(C190:C197)</f>
        <v>46258</v>
      </c>
      <c r="D198" s="467"/>
      <c r="E198" s="467"/>
      <c r="F198" s="467"/>
      <c r="G198" s="1660">
        <f>SUM(G190:G197)</f>
        <v>0</v>
      </c>
      <c r="H198" s="467"/>
      <c r="I198" s="467"/>
      <c r="J198" s="467"/>
      <c r="K198" s="467"/>
    </row>
    <row r="199" spans="1:11" ht="15.75" customHeight="1" thickTop="1" x14ac:dyDescent="0.2">
      <c r="A199" s="1572" t="s">
        <v>1138</v>
      </c>
      <c r="B199" s="1577"/>
      <c r="C199" s="541"/>
      <c r="D199" s="467"/>
      <c r="E199" s="467"/>
      <c r="F199" s="467"/>
      <c r="G199" s="467"/>
      <c r="H199" s="467"/>
      <c r="I199" s="467"/>
      <c r="J199" s="467"/>
      <c r="K199" s="467"/>
    </row>
    <row r="200" spans="1:11" ht="12.75" customHeight="1" x14ac:dyDescent="0.2">
      <c r="A200" s="463" t="s">
        <v>918</v>
      </c>
      <c r="B200" s="469">
        <v>4300</v>
      </c>
      <c r="C200" s="1940">
        <v>52451</v>
      </c>
      <c r="D200" s="1940">
        <v>0</v>
      </c>
      <c r="E200" s="467"/>
      <c r="F200" s="1940">
        <v>0</v>
      </c>
      <c r="G200" s="1940">
        <v>0</v>
      </c>
      <c r="H200" s="467"/>
      <c r="I200" s="467"/>
      <c r="J200" s="467"/>
      <c r="K200" s="467"/>
    </row>
    <row r="201" spans="1:11" ht="12.75" customHeight="1" x14ac:dyDescent="0.2">
      <c r="A201" s="463" t="s">
        <v>919</v>
      </c>
      <c r="B201" s="469">
        <v>4305</v>
      </c>
      <c r="C201" s="1949">
        <v>0</v>
      </c>
      <c r="D201" s="1940">
        <v>0</v>
      </c>
      <c r="E201" s="467"/>
      <c r="F201" s="1940">
        <v>0</v>
      </c>
      <c r="G201" s="1940">
        <v>0</v>
      </c>
      <c r="H201" s="467"/>
      <c r="I201" s="467"/>
      <c r="J201" s="467"/>
      <c r="K201" s="467"/>
    </row>
    <row r="202" spans="1:11" ht="12.75" customHeight="1" x14ac:dyDescent="0.2">
      <c r="A202" s="463" t="s">
        <v>1031</v>
      </c>
      <c r="B202" s="469">
        <v>4340</v>
      </c>
      <c r="C202" s="1949">
        <v>0</v>
      </c>
      <c r="D202" s="1940">
        <v>0</v>
      </c>
      <c r="E202" s="467"/>
      <c r="F202" s="1940">
        <v>0</v>
      </c>
      <c r="G202" s="1940">
        <v>0</v>
      </c>
      <c r="H202" s="467"/>
      <c r="I202" s="467"/>
      <c r="J202" s="467"/>
      <c r="K202" s="467"/>
    </row>
    <row r="203" spans="1:11" ht="12.75" customHeight="1" x14ac:dyDescent="0.2">
      <c r="A203" s="463" t="s">
        <v>72</v>
      </c>
      <c r="B203" s="469">
        <v>4399</v>
      </c>
      <c r="C203" s="1949">
        <v>0</v>
      </c>
      <c r="D203" s="1940">
        <v>0</v>
      </c>
      <c r="E203" s="467"/>
      <c r="F203" s="1940">
        <v>0</v>
      </c>
      <c r="G203" s="1940">
        <v>0</v>
      </c>
      <c r="H203" s="467"/>
      <c r="I203" s="467"/>
      <c r="J203" s="467"/>
      <c r="K203" s="467"/>
    </row>
    <row r="204" spans="1:11" ht="12.75" customHeight="1" thickBot="1" x14ac:dyDescent="0.25">
      <c r="A204" s="1680" t="s">
        <v>400</v>
      </c>
      <c r="B204" s="1681"/>
      <c r="C204" s="1679">
        <f>SUM(C200:C203)</f>
        <v>52451</v>
      </c>
      <c r="D204" s="1679">
        <f>SUM(D200:D203)</f>
        <v>0</v>
      </c>
      <c r="E204" s="467"/>
      <c r="F204" s="1679">
        <f>SUM(F200:F203)</f>
        <v>0</v>
      </c>
      <c r="G204" s="1679">
        <f>SUM(G200:G203)</f>
        <v>0</v>
      </c>
      <c r="H204" s="467"/>
      <c r="I204" s="467"/>
      <c r="J204" s="467"/>
      <c r="K204" s="467"/>
    </row>
    <row r="205" spans="1:11" ht="15.75" customHeight="1" thickTop="1" x14ac:dyDescent="0.2">
      <c r="A205" s="1572" t="s">
        <v>1139</v>
      </c>
      <c r="B205" s="1577"/>
      <c r="C205" s="541"/>
      <c r="D205" s="541"/>
      <c r="E205" s="467"/>
      <c r="F205" s="541"/>
      <c r="G205" s="541"/>
      <c r="H205" s="467"/>
      <c r="I205" s="467"/>
      <c r="J205" s="467"/>
      <c r="K205" s="467"/>
    </row>
    <row r="206" spans="1:11" ht="12.75" customHeight="1" x14ac:dyDescent="0.2">
      <c r="A206" s="463" t="s">
        <v>759</v>
      </c>
      <c r="B206" s="469">
        <v>4400</v>
      </c>
      <c r="C206" s="1949">
        <v>14575</v>
      </c>
      <c r="D206" s="1940">
        <v>0</v>
      </c>
      <c r="E206" s="467"/>
      <c r="F206" s="1940">
        <v>0</v>
      </c>
      <c r="G206" s="1940">
        <v>0</v>
      </c>
      <c r="H206" s="467"/>
      <c r="I206" s="467"/>
      <c r="J206" s="467"/>
      <c r="K206" s="467"/>
    </row>
    <row r="207" spans="1:11" ht="12.75" customHeight="1" x14ac:dyDescent="0.2">
      <c r="A207" s="463" t="s">
        <v>1453</v>
      </c>
      <c r="B207" s="469">
        <v>4421</v>
      </c>
      <c r="C207" s="1949">
        <v>0</v>
      </c>
      <c r="D207" s="1940">
        <v>0</v>
      </c>
      <c r="E207" s="467"/>
      <c r="F207" s="1940">
        <v>0</v>
      </c>
      <c r="G207" s="1940">
        <v>0</v>
      </c>
      <c r="H207" s="467"/>
      <c r="I207" s="467"/>
      <c r="J207" s="467"/>
      <c r="K207" s="467"/>
    </row>
    <row r="208" spans="1:11" ht="12.75" customHeight="1" x14ac:dyDescent="0.2">
      <c r="A208" s="463" t="s">
        <v>73</v>
      </c>
      <c r="B208" s="469">
        <v>4499</v>
      </c>
      <c r="C208" s="1949">
        <v>0</v>
      </c>
      <c r="D208" s="1940">
        <v>0</v>
      </c>
      <c r="E208" s="467"/>
      <c r="F208" s="1940">
        <v>0</v>
      </c>
      <c r="G208" s="1940">
        <v>0</v>
      </c>
      <c r="H208" s="467"/>
      <c r="I208" s="467"/>
      <c r="J208" s="467"/>
      <c r="K208" s="467"/>
    </row>
    <row r="209" spans="1:11" ht="12.75" customHeight="1" thickBot="1" x14ac:dyDescent="0.25">
      <c r="A209" s="1680" t="s">
        <v>889</v>
      </c>
      <c r="B209" s="1681"/>
      <c r="C209" s="1679">
        <f>SUM(C206:C208)</f>
        <v>14575</v>
      </c>
      <c r="D209" s="1679">
        <f>SUM(D206:D208)</f>
        <v>0</v>
      </c>
      <c r="E209" s="467" t="s">
        <v>1169</v>
      </c>
      <c r="F209" s="1679">
        <f>SUM(F206:F208)</f>
        <v>0</v>
      </c>
      <c r="G209" s="1679">
        <f>SUM(G206:G208)</f>
        <v>0</v>
      </c>
      <c r="H209" s="467"/>
      <c r="I209" s="467"/>
      <c r="J209" s="467"/>
      <c r="K209" s="467"/>
    </row>
    <row r="210" spans="1:11" ht="15.75" customHeight="1" thickTop="1" x14ac:dyDescent="0.2">
      <c r="A210" s="1572" t="s">
        <v>1092</v>
      </c>
      <c r="B210" s="1577"/>
      <c r="C210" s="541"/>
      <c r="D210" s="541"/>
      <c r="E210" s="467"/>
      <c r="F210" s="541"/>
      <c r="G210" s="541"/>
      <c r="H210" s="467"/>
      <c r="I210" s="467"/>
      <c r="J210" s="467"/>
      <c r="K210" s="467"/>
    </row>
    <row r="211" spans="1:11" ht="12.75" customHeight="1" x14ac:dyDescent="0.2">
      <c r="A211" s="463" t="s">
        <v>1052</v>
      </c>
      <c r="B211" s="469">
        <v>4600</v>
      </c>
      <c r="C211" s="1949">
        <v>7344</v>
      </c>
      <c r="D211" s="1940">
        <v>0</v>
      </c>
      <c r="E211" s="467"/>
      <c r="F211" s="1940">
        <v>0</v>
      </c>
      <c r="G211" s="1940">
        <v>0</v>
      </c>
      <c r="H211" s="467"/>
      <c r="I211" s="467"/>
      <c r="J211" s="467"/>
      <c r="K211" s="467"/>
    </row>
    <row r="212" spans="1:11" ht="12.75" customHeight="1" x14ac:dyDescent="0.2">
      <c r="A212" s="463" t="s">
        <v>1053</v>
      </c>
      <c r="B212" s="469">
        <v>4605</v>
      </c>
      <c r="C212" s="1949">
        <v>0</v>
      </c>
      <c r="D212" s="1940">
        <v>0</v>
      </c>
      <c r="E212" s="467"/>
      <c r="F212" s="1940">
        <v>0</v>
      </c>
      <c r="G212" s="1940">
        <v>0</v>
      </c>
      <c r="H212" s="467"/>
      <c r="I212" s="467"/>
      <c r="J212" s="467"/>
      <c r="K212" s="467"/>
    </row>
    <row r="213" spans="1:11" ht="12.75" customHeight="1" x14ac:dyDescent="0.2">
      <c r="A213" s="463" t="s">
        <v>1454</v>
      </c>
      <c r="B213" s="545">
        <v>4620</v>
      </c>
      <c r="C213" s="1949">
        <v>155421</v>
      </c>
      <c r="D213" s="1940">
        <v>0</v>
      </c>
      <c r="E213" s="467"/>
      <c r="F213" s="1940">
        <v>0</v>
      </c>
      <c r="G213" s="1940">
        <v>0</v>
      </c>
      <c r="H213" s="467"/>
      <c r="I213" s="467"/>
      <c r="J213" s="467"/>
      <c r="K213" s="467"/>
    </row>
    <row r="214" spans="1:11" ht="12.75" customHeight="1" x14ac:dyDescent="0.2">
      <c r="A214" s="463" t="s">
        <v>1054</v>
      </c>
      <c r="B214" s="469">
        <v>4625</v>
      </c>
      <c r="C214" s="1949">
        <v>0</v>
      </c>
      <c r="D214" s="1940">
        <v>0</v>
      </c>
      <c r="E214" s="467"/>
      <c r="F214" s="1940">
        <v>0</v>
      </c>
      <c r="G214" s="1940">
        <v>0</v>
      </c>
      <c r="H214" s="467"/>
      <c r="I214" s="467"/>
      <c r="J214" s="467"/>
      <c r="K214" s="467"/>
    </row>
    <row r="215" spans="1:11" ht="12.75" customHeight="1" x14ac:dyDescent="0.2">
      <c r="A215" s="463" t="s">
        <v>1055</v>
      </c>
      <c r="B215" s="469">
        <v>4630</v>
      </c>
      <c r="C215" s="1949">
        <v>0</v>
      </c>
      <c r="D215" s="1940">
        <v>0</v>
      </c>
      <c r="E215" s="467"/>
      <c r="F215" s="1940">
        <v>0</v>
      </c>
      <c r="G215" s="1940">
        <v>0</v>
      </c>
      <c r="H215" s="467"/>
      <c r="I215" s="467"/>
      <c r="J215" s="467"/>
      <c r="K215" s="467"/>
    </row>
    <row r="216" spans="1:11" ht="12.75" customHeight="1" x14ac:dyDescent="0.2">
      <c r="A216" s="1474" t="s">
        <v>74</v>
      </c>
      <c r="B216" s="545">
        <v>4699</v>
      </c>
      <c r="C216" s="1949">
        <v>0</v>
      </c>
      <c r="D216" s="1940">
        <v>0</v>
      </c>
      <c r="E216" s="467"/>
      <c r="F216" s="1940">
        <v>0</v>
      </c>
      <c r="G216" s="1940">
        <v>0</v>
      </c>
      <c r="H216" s="467"/>
      <c r="I216" s="467"/>
      <c r="J216" s="467"/>
      <c r="K216" s="467"/>
    </row>
    <row r="217" spans="1:11" ht="12.75" customHeight="1" thickBot="1" x14ac:dyDescent="0.25">
      <c r="A217" s="1680" t="s">
        <v>447</v>
      </c>
      <c r="B217" s="1681"/>
      <c r="C217" s="1679">
        <f>SUM(C211:C216)</f>
        <v>162765</v>
      </c>
      <c r="D217" s="1679">
        <f>SUM(D211:D216)</f>
        <v>0</v>
      </c>
      <c r="E217" s="467"/>
      <c r="F217" s="1679">
        <f>SUM(F211:F216)</f>
        <v>0</v>
      </c>
      <c r="G217" s="1679">
        <f>SUM(G211:G216)</f>
        <v>0</v>
      </c>
      <c r="H217" s="467"/>
      <c r="I217" s="467"/>
      <c r="J217" s="467"/>
      <c r="K217" s="467"/>
    </row>
    <row r="218" spans="1:11" ht="15.75" customHeight="1" thickTop="1" x14ac:dyDescent="0.2">
      <c r="A218" s="1572" t="s">
        <v>1093</v>
      </c>
      <c r="B218" s="1577"/>
      <c r="C218" s="541"/>
      <c r="D218" s="541"/>
      <c r="E218" s="467"/>
      <c r="F218" s="541"/>
      <c r="G218" s="541"/>
      <c r="H218" s="467"/>
      <c r="I218" s="467"/>
      <c r="J218" s="467"/>
      <c r="K218" s="467"/>
    </row>
    <row r="219" spans="1:11" ht="12.75" customHeight="1" x14ac:dyDescent="0.2">
      <c r="A219" s="463" t="s">
        <v>787</v>
      </c>
      <c r="B219" s="469">
        <v>4770</v>
      </c>
      <c r="C219" s="1949">
        <v>0</v>
      </c>
      <c r="D219" s="1940">
        <v>0</v>
      </c>
      <c r="E219" s="467"/>
      <c r="F219" s="467"/>
      <c r="G219" s="1940">
        <v>0</v>
      </c>
      <c r="H219" s="467"/>
      <c r="I219" s="467"/>
      <c r="J219" s="467"/>
      <c r="K219" s="467"/>
    </row>
    <row r="220" spans="1:11" ht="12.75" customHeight="1" x14ac:dyDescent="0.2">
      <c r="A220" s="463" t="s">
        <v>67</v>
      </c>
      <c r="B220" s="469">
        <v>4799</v>
      </c>
      <c r="C220" s="1949">
        <v>0</v>
      </c>
      <c r="D220" s="1940">
        <v>0</v>
      </c>
      <c r="E220" s="467"/>
      <c r="F220" s="467"/>
      <c r="G220" s="1940">
        <v>0</v>
      </c>
      <c r="H220" s="467"/>
      <c r="I220" s="467"/>
      <c r="J220" s="467"/>
      <c r="K220" s="467"/>
    </row>
    <row r="221" spans="1:11" ht="12.75" customHeight="1" thickBot="1" x14ac:dyDescent="0.25">
      <c r="A221" s="1695" t="s">
        <v>1085</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757</v>
      </c>
      <c r="B222" s="485">
        <v>4810</v>
      </c>
      <c r="C222" s="1951">
        <v>0</v>
      </c>
      <c r="D222" s="1952">
        <v>0</v>
      </c>
      <c r="E222" s="467"/>
      <c r="F222" s="467"/>
      <c r="G222" s="561">
        <v>0</v>
      </c>
      <c r="H222" s="467"/>
      <c r="I222" s="467"/>
      <c r="J222" s="467"/>
      <c r="K222" s="467"/>
    </row>
    <row r="223" spans="1:11" ht="12.75" customHeight="1" thickTop="1" x14ac:dyDescent="0.2">
      <c r="A223" s="486" t="s">
        <v>350</v>
      </c>
      <c r="B223" s="485">
        <v>4850</v>
      </c>
      <c r="C223" s="1944">
        <v>0</v>
      </c>
      <c r="D223" s="1941">
        <v>0</v>
      </c>
      <c r="E223" s="1941">
        <v>0</v>
      </c>
      <c r="F223" s="1941">
        <v>0</v>
      </c>
      <c r="G223" s="1941">
        <v>0</v>
      </c>
      <c r="H223" s="1941">
        <v>0</v>
      </c>
      <c r="I223" s="467"/>
      <c r="J223" s="1941">
        <v>0</v>
      </c>
      <c r="K223" s="1941">
        <v>0</v>
      </c>
    </row>
    <row r="224" spans="1:11" ht="12.75" customHeight="1" x14ac:dyDescent="0.2">
      <c r="A224" s="486" t="s">
        <v>351</v>
      </c>
      <c r="B224" s="485">
        <v>4851</v>
      </c>
      <c r="C224" s="1944">
        <v>0</v>
      </c>
      <c r="D224" s="1941">
        <v>0</v>
      </c>
      <c r="E224" s="467"/>
      <c r="F224" s="1942">
        <v>0</v>
      </c>
      <c r="G224" s="1941">
        <v>0</v>
      </c>
      <c r="H224" s="467"/>
      <c r="I224" s="467"/>
      <c r="J224" s="467"/>
      <c r="K224" s="467"/>
    </row>
    <row r="225" spans="1:11" ht="12.75" customHeight="1" x14ac:dyDescent="0.2">
      <c r="A225" s="486" t="s">
        <v>352</v>
      </c>
      <c r="B225" s="485">
        <v>4852</v>
      </c>
      <c r="C225" s="1944">
        <v>0</v>
      </c>
      <c r="D225" s="1941">
        <v>0</v>
      </c>
      <c r="E225" s="1941">
        <v>0</v>
      </c>
      <c r="F225" s="1941">
        <v>0</v>
      </c>
      <c r="G225" s="1941">
        <v>0</v>
      </c>
      <c r="H225" s="1941">
        <v>0</v>
      </c>
      <c r="I225" s="467"/>
      <c r="J225" s="1941">
        <v>0</v>
      </c>
      <c r="K225" s="1941">
        <v>0</v>
      </c>
    </row>
    <row r="226" spans="1:11" ht="12.75" customHeight="1" x14ac:dyDescent="0.2">
      <c r="A226" s="486" t="s">
        <v>353</v>
      </c>
      <c r="B226" s="485">
        <v>4853</v>
      </c>
      <c r="C226" s="1944">
        <v>0</v>
      </c>
      <c r="D226" s="1941">
        <v>0</v>
      </c>
      <c r="E226" s="1941">
        <v>0</v>
      </c>
      <c r="F226" s="1941">
        <v>0</v>
      </c>
      <c r="G226" s="1941">
        <v>0</v>
      </c>
      <c r="H226" s="1941">
        <v>0</v>
      </c>
      <c r="I226" s="467"/>
      <c r="J226" s="1941">
        <v>0</v>
      </c>
      <c r="K226" s="1941">
        <v>0</v>
      </c>
    </row>
    <row r="227" spans="1:11" ht="12.75" customHeight="1" x14ac:dyDescent="0.2">
      <c r="A227" s="486" t="s">
        <v>354</v>
      </c>
      <c r="B227" s="485">
        <v>4854</v>
      </c>
      <c r="C227" s="1944">
        <v>0</v>
      </c>
      <c r="D227" s="1941">
        <v>0</v>
      </c>
      <c r="E227" s="1941">
        <v>0</v>
      </c>
      <c r="F227" s="1941">
        <v>0</v>
      </c>
      <c r="G227" s="1941">
        <v>0</v>
      </c>
      <c r="H227" s="1941">
        <v>0</v>
      </c>
      <c r="I227" s="467"/>
      <c r="J227" s="1941">
        <v>0</v>
      </c>
      <c r="K227" s="1941">
        <v>0</v>
      </c>
    </row>
    <row r="228" spans="1:11" ht="12.75" customHeight="1" x14ac:dyDescent="0.2">
      <c r="A228" s="486" t="s">
        <v>464</v>
      </c>
      <c r="B228" s="485">
        <v>4855</v>
      </c>
      <c r="C228" s="1944">
        <v>0</v>
      </c>
      <c r="D228" s="1941">
        <v>0</v>
      </c>
      <c r="E228" s="1941">
        <v>0</v>
      </c>
      <c r="F228" s="1941">
        <v>0</v>
      </c>
      <c r="G228" s="1941">
        <v>0</v>
      </c>
      <c r="H228" s="1941">
        <v>0</v>
      </c>
      <c r="I228" s="467"/>
      <c r="J228" s="1941">
        <v>0</v>
      </c>
      <c r="K228" s="1941">
        <v>0</v>
      </c>
    </row>
    <row r="229" spans="1:11" ht="12.75" customHeight="1" x14ac:dyDescent="0.2">
      <c r="A229" s="486" t="s">
        <v>355</v>
      </c>
      <c r="B229" s="485">
        <v>4856</v>
      </c>
      <c r="C229" s="1944">
        <v>0</v>
      </c>
      <c r="D229" s="1941">
        <v>0</v>
      </c>
      <c r="E229" s="1941">
        <v>0</v>
      </c>
      <c r="F229" s="1941">
        <v>0</v>
      </c>
      <c r="G229" s="1941">
        <v>0</v>
      </c>
      <c r="H229" s="1941">
        <v>0</v>
      </c>
      <c r="I229" s="467"/>
      <c r="J229" s="1941">
        <v>0</v>
      </c>
      <c r="K229" s="1941">
        <v>0</v>
      </c>
    </row>
    <row r="230" spans="1:11" ht="12.75" customHeight="1" x14ac:dyDescent="0.2">
      <c r="A230" s="486" t="s">
        <v>356</v>
      </c>
      <c r="B230" s="485">
        <v>4857</v>
      </c>
      <c r="C230" s="1944">
        <v>0</v>
      </c>
      <c r="D230" s="1941">
        <v>0</v>
      </c>
      <c r="E230" s="1941">
        <v>0</v>
      </c>
      <c r="F230" s="1941">
        <v>0</v>
      </c>
      <c r="G230" s="1941">
        <v>0</v>
      </c>
      <c r="H230" s="1941">
        <v>0</v>
      </c>
      <c r="I230" s="467"/>
      <c r="J230" s="1941">
        <v>0</v>
      </c>
      <c r="K230" s="1941">
        <v>0</v>
      </c>
    </row>
    <row r="231" spans="1:11" ht="12.75" customHeight="1" x14ac:dyDescent="0.2">
      <c r="A231" s="486" t="s">
        <v>357</v>
      </c>
      <c r="B231" s="485">
        <v>4860</v>
      </c>
      <c r="C231" s="1944">
        <v>0</v>
      </c>
      <c r="D231" s="1941">
        <v>0</v>
      </c>
      <c r="E231" s="1941">
        <v>0</v>
      </c>
      <c r="F231" s="1941">
        <v>0</v>
      </c>
      <c r="G231" s="1941">
        <v>0</v>
      </c>
      <c r="H231" s="1941">
        <v>0</v>
      </c>
      <c r="I231" s="467"/>
      <c r="J231" s="1941">
        <v>0</v>
      </c>
      <c r="K231" s="1941">
        <v>0</v>
      </c>
    </row>
    <row r="232" spans="1:11" ht="12.75" customHeight="1" x14ac:dyDescent="0.2">
      <c r="A232" s="486" t="s">
        <v>358</v>
      </c>
      <c r="B232" s="485">
        <v>4861</v>
      </c>
      <c r="C232" s="1944">
        <v>0</v>
      </c>
      <c r="D232" s="1941">
        <v>0</v>
      </c>
      <c r="E232" s="1941">
        <v>0</v>
      </c>
      <c r="F232" s="1941">
        <v>0</v>
      </c>
      <c r="G232" s="1941">
        <v>0</v>
      </c>
      <c r="H232" s="1941">
        <v>0</v>
      </c>
      <c r="I232" s="467"/>
      <c r="J232" s="1941">
        <v>0</v>
      </c>
      <c r="K232" s="1941">
        <v>0</v>
      </c>
    </row>
    <row r="233" spans="1:11" ht="12.75" customHeight="1" x14ac:dyDescent="0.2">
      <c r="A233" s="486" t="s">
        <v>359</v>
      </c>
      <c r="B233" s="485">
        <v>4862</v>
      </c>
      <c r="C233" s="1944">
        <v>0</v>
      </c>
      <c r="D233" s="1941">
        <v>0</v>
      </c>
      <c r="E233" s="472"/>
      <c r="F233" s="1941">
        <v>0</v>
      </c>
      <c r="G233" s="1941">
        <v>0</v>
      </c>
      <c r="H233" s="472"/>
      <c r="I233" s="467"/>
      <c r="J233" s="472"/>
      <c r="K233" s="472"/>
    </row>
    <row r="234" spans="1:11" ht="12.75" customHeight="1" x14ac:dyDescent="0.2">
      <c r="A234" s="486" t="s">
        <v>360</v>
      </c>
      <c r="B234" s="485">
        <v>4863</v>
      </c>
      <c r="C234" s="1944">
        <v>0</v>
      </c>
      <c r="D234" s="1941">
        <v>0</v>
      </c>
      <c r="E234" s="467"/>
      <c r="F234" s="472"/>
      <c r="G234" s="519"/>
      <c r="H234" s="467"/>
      <c r="I234" s="467"/>
      <c r="J234" s="467"/>
      <c r="K234" s="467"/>
    </row>
    <row r="235" spans="1:11" ht="12.75" customHeight="1" x14ac:dyDescent="0.2">
      <c r="A235" s="486" t="s">
        <v>469</v>
      </c>
      <c r="B235" s="485">
        <v>4864</v>
      </c>
      <c r="C235" s="1944">
        <v>0</v>
      </c>
      <c r="D235" s="1941">
        <v>0</v>
      </c>
      <c r="E235" s="1941">
        <v>0</v>
      </c>
      <c r="F235" s="1941">
        <v>0</v>
      </c>
      <c r="G235" s="1941">
        <v>0</v>
      </c>
      <c r="H235" s="1941">
        <v>0</v>
      </c>
      <c r="I235" s="467"/>
      <c r="J235" s="1941">
        <v>0</v>
      </c>
      <c r="K235" s="1941">
        <v>0</v>
      </c>
    </row>
    <row r="236" spans="1:11" ht="12.75" customHeight="1" x14ac:dyDescent="0.2">
      <c r="A236" s="486" t="s">
        <v>470</v>
      </c>
      <c r="B236" s="485">
        <v>4865</v>
      </c>
      <c r="C236" s="1944">
        <v>0</v>
      </c>
      <c r="D236" s="1941">
        <v>0</v>
      </c>
      <c r="E236" s="1941">
        <v>0</v>
      </c>
      <c r="F236" s="1941">
        <v>0</v>
      </c>
      <c r="G236" s="1941">
        <v>0</v>
      </c>
      <c r="H236" s="1941">
        <v>0</v>
      </c>
      <c r="I236" s="467"/>
      <c r="J236" s="1941">
        <v>0</v>
      </c>
      <c r="K236" s="1941">
        <v>0</v>
      </c>
    </row>
    <row r="237" spans="1:11" ht="12.75" customHeight="1" x14ac:dyDescent="0.2">
      <c r="A237" s="486" t="s">
        <v>468</v>
      </c>
      <c r="B237" s="485">
        <v>4866</v>
      </c>
      <c r="C237" s="1944">
        <v>0</v>
      </c>
      <c r="D237" s="1941">
        <v>0</v>
      </c>
      <c r="E237" s="1941">
        <v>0</v>
      </c>
      <c r="F237" s="1941">
        <v>0</v>
      </c>
      <c r="G237" s="1941">
        <v>0</v>
      </c>
      <c r="H237" s="1941">
        <v>0</v>
      </c>
      <c r="I237" s="467"/>
      <c r="J237" s="1941">
        <v>0</v>
      </c>
      <c r="K237" s="1941">
        <v>0</v>
      </c>
    </row>
    <row r="238" spans="1:11" ht="12.75" customHeight="1" x14ac:dyDescent="0.2">
      <c r="A238" s="486" t="s">
        <v>467</v>
      </c>
      <c r="B238" s="485">
        <v>4867</v>
      </c>
      <c r="C238" s="1944">
        <v>0</v>
      </c>
      <c r="D238" s="1941">
        <v>0</v>
      </c>
      <c r="E238" s="1941">
        <v>0</v>
      </c>
      <c r="F238" s="1941">
        <v>0</v>
      </c>
      <c r="G238" s="1941">
        <v>0</v>
      </c>
      <c r="H238" s="1941">
        <v>0</v>
      </c>
      <c r="I238" s="467"/>
      <c r="J238" s="1941">
        <v>0</v>
      </c>
      <c r="K238" s="1941">
        <v>0</v>
      </c>
    </row>
    <row r="239" spans="1:11" ht="12.75" customHeight="1" x14ac:dyDescent="0.2">
      <c r="A239" s="486" t="s">
        <v>466</v>
      </c>
      <c r="B239" s="485">
        <v>4868</v>
      </c>
      <c r="C239" s="1944">
        <v>0</v>
      </c>
      <c r="D239" s="1941">
        <v>0</v>
      </c>
      <c r="E239" s="1941">
        <v>0</v>
      </c>
      <c r="F239" s="1941">
        <v>0</v>
      </c>
      <c r="G239" s="1941">
        <v>0</v>
      </c>
      <c r="H239" s="1941">
        <v>0</v>
      </c>
      <c r="I239" s="467"/>
      <c r="J239" s="1941">
        <v>0</v>
      </c>
      <c r="K239" s="1941">
        <v>0</v>
      </c>
    </row>
    <row r="240" spans="1:11" ht="12.75" customHeight="1" x14ac:dyDescent="0.2">
      <c r="A240" s="486" t="s">
        <v>465</v>
      </c>
      <c r="B240" s="485">
        <v>4869</v>
      </c>
      <c r="C240" s="1944">
        <v>0</v>
      </c>
      <c r="D240" s="1941">
        <v>0</v>
      </c>
      <c r="E240" s="1941">
        <v>0</v>
      </c>
      <c r="F240" s="1941">
        <v>0</v>
      </c>
      <c r="G240" s="1941">
        <v>0</v>
      </c>
      <c r="H240" s="1941">
        <v>0</v>
      </c>
      <c r="I240" s="467"/>
      <c r="J240" s="1941">
        <v>0</v>
      </c>
      <c r="K240" s="1941">
        <v>0</v>
      </c>
    </row>
    <row r="241" spans="1:11" ht="12.75" customHeight="1" x14ac:dyDescent="0.2">
      <c r="A241" s="486" t="s">
        <v>1128</v>
      </c>
      <c r="B241" s="485">
        <v>4870</v>
      </c>
      <c r="C241" s="1944">
        <v>0</v>
      </c>
      <c r="D241" s="1941">
        <v>0</v>
      </c>
      <c r="E241" s="1941">
        <v>0</v>
      </c>
      <c r="F241" s="1941">
        <v>0</v>
      </c>
      <c r="G241" s="1941">
        <v>0</v>
      </c>
      <c r="H241" s="1941">
        <v>0</v>
      </c>
      <c r="I241" s="467"/>
      <c r="J241" s="1941">
        <v>0</v>
      </c>
      <c r="K241" s="1941">
        <v>0</v>
      </c>
    </row>
    <row r="242" spans="1:11" ht="12.75" customHeight="1" x14ac:dyDescent="0.2">
      <c r="A242" s="486" t="s">
        <v>788</v>
      </c>
      <c r="B242" s="485">
        <v>4871</v>
      </c>
      <c r="C242" s="1944">
        <v>0</v>
      </c>
      <c r="D242" s="1941">
        <v>0</v>
      </c>
      <c r="E242" s="1941">
        <v>0</v>
      </c>
      <c r="F242" s="1941">
        <v>0</v>
      </c>
      <c r="G242" s="1941">
        <v>0</v>
      </c>
      <c r="H242" s="1941">
        <v>0</v>
      </c>
      <c r="I242" s="467"/>
      <c r="J242" s="1941">
        <v>0</v>
      </c>
      <c r="K242" s="1941">
        <v>0</v>
      </c>
    </row>
    <row r="243" spans="1:11" ht="12.75" customHeight="1" x14ac:dyDescent="0.2">
      <c r="A243" s="486" t="s">
        <v>789</v>
      </c>
      <c r="B243" s="485">
        <v>4872</v>
      </c>
      <c r="C243" s="1944">
        <v>0</v>
      </c>
      <c r="D243" s="1941">
        <v>0</v>
      </c>
      <c r="E243" s="1941">
        <v>0</v>
      </c>
      <c r="F243" s="1941">
        <v>0</v>
      </c>
      <c r="G243" s="1941">
        <v>0</v>
      </c>
      <c r="H243" s="1941">
        <v>0</v>
      </c>
      <c r="I243" s="467"/>
      <c r="J243" s="1941">
        <v>0</v>
      </c>
      <c r="K243" s="1941">
        <v>0</v>
      </c>
    </row>
    <row r="244" spans="1:11" ht="12.75" customHeight="1" x14ac:dyDescent="0.2">
      <c r="A244" s="486" t="s">
        <v>790</v>
      </c>
      <c r="B244" s="485">
        <v>4873</v>
      </c>
      <c r="C244" s="1944">
        <v>0</v>
      </c>
      <c r="D244" s="1941">
        <v>0</v>
      </c>
      <c r="E244" s="1941">
        <v>0</v>
      </c>
      <c r="F244" s="1941">
        <v>0</v>
      </c>
      <c r="G244" s="1941">
        <v>0</v>
      </c>
      <c r="H244" s="1941">
        <v>0</v>
      </c>
      <c r="I244" s="467"/>
      <c r="J244" s="1941">
        <v>0</v>
      </c>
      <c r="K244" s="1941">
        <v>0</v>
      </c>
    </row>
    <row r="245" spans="1:11" ht="12.75" customHeight="1" x14ac:dyDescent="0.2">
      <c r="A245" s="486" t="s">
        <v>791</v>
      </c>
      <c r="B245" s="485">
        <v>4874</v>
      </c>
      <c r="C245" s="1944">
        <v>0</v>
      </c>
      <c r="D245" s="1941">
        <v>0</v>
      </c>
      <c r="E245" s="1941">
        <v>0</v>
      </c>
      <c r="F245" s="1941">
        <v>0</v>
      </c>
      <c r="G245" s="1941">
        <v>0</v>
      </c>
      <c r="H245" s="1941">
        <v>0</v>
      </c>
      <c r="I245" s="467"/>
      <c r="J245" s="1941">
        <v>0</v>
      </c>
      <c r="K245" s="1941">
        <v>0</v>
      </c>
    </row>
    <row r="246" spans="1:11" ht="12.75" customHeight="1" x14ac:dyDescent="0.2">
      <c r="A246" s="486" t="s">
        <v>471</v>
      </c>
      <c r="B246" s="485">
        <v>4875</v>
      </c>
      <c r="C246" s="1944">
        <v>0</v>
      </c>
      <c r="D246" s="1941">
        <v>0</v>
      </c>
      <c r="E246" s="1941">
        <v>0</v>
      </c>
      <c r="F246" s="1941">
        <v>0</v>
      </c>
      <c r="G246" s="1941">
        <v>0</v>
      </c>
      <c r="H246" s="1941">
        <v>0</v>
      </c>
      <c r="I246" s="467"/>
      <c r="J246" s="1941">
        <v>0</v>
      </c>
      <c r="K246" s="1941">
        <v>0</v>
      </c>
    </row>
    <row r="247" spans="1:11" ht="12.75" customHeight="1" x14ac:dyDescent="0.2">
      <c r="A247" s="486" t="s">
        <v>770</v>
      </c>
      <c r="B247" s="485">
        <v>4876</v>
      </c>
      <c r="C247" s="1944">
        <v>0</v>
      </c>
      <c r="D247" s="1941">
        <v>0</v>
      </c>
      <c r="E247" s="1941">
        <v>0</v>
      </c>
      <c r="F247" s="1941">
        <v>0</v>
      </c>
      <c r="G247" s="1941">
        <v>0</v>
      </c>
      <c r="H247" s="1941">
        <v>0</v>
      </c>
      <c r="I247" s="467"/>
      <c r="J247" s="1941">
        <v>0</v>
      </c>
      <c r="K247" s="1941">
        <v>0</v>
      </c>
    </row>
    <row r="248" spans="1:11" ht="12.75" customHeight="1" x14ac:dyDescent="0.2">
      <c r="A248" s="486" t="s">
        <v>771</v>
      </c>
      <c r="B248" s="485">
        <v>4877</v>
      </c>
      <c r="C248" s="1944">
        <v>0</v>
      </c>
      <c r="D248" s="1941">
        <v>0</v>
      </c>
      <c r="E248" s="1941">
        <v>0</v>
      </c>
      <c r="F248" s="1941">
        <v>0</v>
      </c>
      <c r="G248" s="1941">
        <v>0</v>
      </c>
      <c r="H248" s="1941">
        <v>0</v>
      </c>
      <c r="I248" s="467"/>
      <c r="J248" s="1941">
        <v>0</v>
      </c>
      <c r="K248" s="1941">
        <v>0</v>
      </c>
    </row>
    <row r="249" spans="1:11" ht="12.75" customHeight="1" x14ac:dyDescent="0.2">
      <c r="A249" s="486" t="s">
        <v>772</v>
      </c>
      <c r="B249" s="485">
        <v>4878</v>
      </c>
      <c r="C249" s="1944">
        <v>0</v>
      </c>
      <c r="D249" s="1941">
        <v>0</v>
      </c>
      <c r="E249" s="1941">
        <v>0</v>
      </c>
      <c r="F249" s="1941">
        <v>0</v>
      </c>
      <c r="G249" s="1941">
        <v>0</v>
      </c>
      <c r="H249" s="1941">
        <v>0</v>
      </c>
      <c r="I249" s="467"/>
      <c r="J249" s="1941">
        <v>0</v>
      </c>
      <c r="K249" s="1941">
        <v>0</v>
      </c>
    </row>
    <row r="250" spans="1:11" ht="12.75" customHeight="1" x14ac:dyDescent="0.2">
      <c r="A250" s="486" t="s">
        <v>773</v>
      </c>
      <c r="B250" s="485">
        <v>4879</v>
      </c>
      <c r="C250" s="1944">
        <v>0</v>
      </c>
      <c r="D250" s="1941">
        <v>0</v>
      </c>
      <c r="E250" s="1941">
        <v>0</v>
      </c>
      <c r="F250" s="1941">
        <v>0</v>
      </c>
      <c r="G250" s="1941">
        <v>0</v>
      </c>
      <c r="H250" s="1941">
        <v>0</v>
      </c>
      <c r="I250" s="467"/>
      <c r="J250" s="1941">
        <v>0</v>
      </c>
      <c r="K250" s="1941">
        <v>0</v>
      </c>
    </row>
    <row r="251" spans="1:11" ht="12.75" customHeight="1" x14ac:dyDescent="0.2">
      <c r="A251" s="225" t="s">
        <v>1455</v>
      </c>
      <c r="B251" s="567">
        <v>4880</v>
      </c>
      <c r="C251" s="1944">
        <v>0</v>
      </c>
      <c r="D251" s="1941">
        <v>0</v>
      </c>
      <c r="E251" s="1941">
        <v>0</v>
      </c>
      <c r="F251" s="1941">
        <v>0</v>
      </c>
      <c r="G251" s="1941">
        <v>0</v>
      </c>
      <c r="H251" s="1941">
        <v>0</v>
      </c>
      <c r="I251" s="467"/>
      <c r="J251" s="1941">
        <v>0</v>
      </c>
      <c r="K251" s="1941">
        <v>0</v>
      </c>
    </row>
    <row r="252" spans="1:11" ht="12.75" customHeight="1" thickBot="1" x14ac:dyDescent="0.25">
      <c r="A252" s="1697" t="s">
        <v>774</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5" t="s">
        <v>1421</v>
      </c>
      <c r="B253" s="568">
        <v>4901</v>
      </c>
      <c r="C253" s="1960">
        <v>0</v>
      </c>
      <c r="D253" s="468"/>
      <c r="E253" s="467"/>
      <c r="F253" s="467"/>
      <c r="G253" s="467"/>
      <c r="H253" s="467"/>
      <c r="I253" s="467"/>
      <c r="J253" s="467"/>
      <c r="K253" s="467"/>
    </row>
    <row r="254" spans="1:11" ht="12.75" customHeight="1" thickTop="1" thickBot="1" x14ac:dyDescent="0.25">
      <c r="A254" s="1476" t="s">
        <v>1463</v>
      </c>
      <c r="B254" s="569">
        <v>4902</v>
      </c>
      <c r="C254" s="1961">
        <v>0</v>
      </c>
      <c r="D254" s="1977">
        <v>0</v>
      </c>
      <c r="E254" s="468"/>
      <c r="F254" s="1977">
        <v>0</v>
      </c>
      <c r="G254" s="1977">
        <v>0</v>
      </c>
      <c r="H254" s="468"/>
      <c r="I254" s="467"/>
      <c r="J254" s="468"/>
      <c r="K254" s="468"/>
    </row>
    <row r="255" spans="1:11" ht="12.75" customHeight="1" thickTop="1" thickBot="1" x14ac:dyDescent="0.25">
      <c r="A255" s="463" t="s">
        <v>1456</v>
      </c>
      <c r="B255" s="469">
        <v>4905</v>
      </c>
      <c r="C255" s="1950">
        <v>0</v>
      </c>
      <c r="D255" s="467"/>
      <c r="E255" s="467"/>
      <c r="F255" s="1976">
        <v>0</v>
      </c>
      <c r="G255" s="1973">
        <v>0</v>
      </c>
      <c r="H255" s="467"/>
      <c r="I255" s="467"/>
      <c r="J255" s="467"/>
      <c r="K255" s="467"/>
    </row>
    <row r="256" spans="1:11" ht="12.75" customHeight="1" thickTop="1" thickBot="1" x14ac:dyDescent="0.25">
      <c r="A256" s="463" t="s">
        <v>1457</v>
      </c>
      <c r="B256" s="469">
        <v>4909</v>
      </c>
      <c r="C256" s="1952">
        <v>0</v>
      </c>
      <c r="D256" s="467"/>
      <c r="E256" s="467"/>
      <c r="F256" s="1975">
        <v>0</v>
      </c>
      <c r="G256" s="1975">
        <v>0</v>
      </c>
      <c r="H256" s="467"/>
      <c r="I256" s="467"/>
      <c r="J256" s="467"/>
      <c r="K256" s="467"/>
    </row>
    <row r="257" spans="1:11" ht="12.75" customHeight="1" thickTop="1" thickBot="1" x14ac:dyDescent="0.25">
      <c r="A257" s="463" t="s">
        <v>193</v>
      </c>
      <c r="B257" s="469">
        <v>4920</v>
      </c>
      <c r="C257" s="1952">
        <v>0</v>
      </c>
      <c r="D257" s="1976">
        <v>0</v>
      </c>
      <c r="E257" s="467"/>
      <c r="F257" s="1973">
        <v>0</v>
      </c>
      <c r="G257" s="1973">
        <v>0</v>
      </c>
      <c r="H257" s="467"/>
      <c r="I257" s="467"/>
      <c r="J257" s="467"/>
      <c r="K257" s="467"/>
    </row>
    <row r="258" spans="1:11" ht="12.75" customHeight="1" thickTop="1" thickBot="1" x14ac:dyDescent="0.25">
      <c r="A258" s="463" t="s">
        <v>421</v>
      </c>
      <c r="B258" s="469">
        <v>4930</v>
      </c>
      <c r="C258" s="1952">
        <v>0</v>
      </c>
      <c r="D258" s="1975">
        <v>0</v>
      </c>
      <c r="E258" s="467"/>
      <c r="F258" s="1975">
        <v>0</v>
      </c>
      <c r="G258" s="1975">
        <v>0</v>
      </c>
      <c r="H258" s="467"/>
      <c r="I258" s="467"/>
      <c r="J258" s="467"/>
      <c r="K258" s="467"/>
    </row>
    <row r="259" spans="1:11" ht="12.75" customHeight="1" thickTop="1" thickBot="1" x14ac:dyDescent="0.25">
      <c r="A259" s="463" t="s">
        <v>758</v>
      </c>
      <c r="B259" s="469">
        <v>4932</v>
      </c>
      <c r="C259" s="1952">
        <v>10646</v>
      </c>
      <c r="D259" s="1975">
        <v>0</v>
      </c>
      <c r="E259" s="467"/>
      <c r="F259" s="1975">
        <v>0</v>
      </c>
      <c r="G259" s="1975">
        <v>0</v>
      </c>
      <c r="H259" s="467"/>
      <c r="I259" s="467"/>
      <c r="J259" s="467"/>
      <c r="K259" s="467"/>
    </row>
    <row r="260" spans="1:11" ht="12.75" customHeight="1" thickTop="1" thickBot="1" x14ac:dyDescent="0.25">
      <c r="A260" s="463" t="s">
        <v>890</v>
      </c>
      <c r="B260" s="469">
        <v>4960</v>
      </c>
      <c r="C260" s="1951">
        <v>0</v>
      </c>
      <c r="D260" s="1975">
        <v>0</v>
      </c>
      <c r="E260" s="467"/>
      <c r="F260" s="1975">
        <v>0</v>
      </c>
      <c r="G260" s="1975">
        <v>0</v>
      </c>
      <c r="H260" s="467"/>
      <c r="I260" s="467"/>
      <c r="J260" s="467"/>
      <c r="K260" s="467"/>
    </row>
    <row r="261" spans="1:11" ht="12.75" customHeight="1" thickTop="1" thickBot="1" x14ac:dyDescent="0.25">
      <c r="A261" s="1898" t="s">
        <v>1937</v>
      </c>
      <c r="B261" s="469">
        <v>4981</v>
      </c>
      <c r="C261" s="1981">
        <v>0</v>
      </c>
      <c r="D261" s="1982">
        <v>0</v>
      </c>
      <c r="E261" s="467"/>
      <c r="F261" s="1982">
        <v>0</v>
      </c>
      <c r="G261" s="1982">
        <v>0</v>
      </c>
      <c r="H261" s="467"/>
      <c r="I261" s="467"/>
      <c r="J261" s="467"/>
      <c r="K261" s="467"/>
    </row>
    <row r="262" spans="1:11" ht="12.75" customHeight="1" thickTop="1" thickBot="1" x14ac:dyDescent="0.25">
      <c r="A262" s="1899" t="s">
        <v>1938</v>
      </c>
      <c r="B262" s="469">
        <v>4982</v>
      </c>
      <c r="C262" s="1981">
        <v>0</v>
      </c>
      <c r="D262" s="1982">
        <v>0</v>
      </c>
      <c r="E262" s="467"/>
      <c r="F262" s="1982">
        <v>0</v>
      </c>
      <c r="G262" s="1982">
        <v>0</v>
      </c>
      <c r="H262" s="467"/>
      <c r="I262" s="467"/>
      <c r="J262" s="467"/>
      <c r="K262" s="467"/>
    </row>
    <row r="263" spans="1:11" ht="12.75" customHeight="1" thickTop="1" thickBot="1" x14ac:dyDescent="0.25">
      <c r="A263" s="463" t="s">
        <v>568</v>
      </c>
      <c r="B263" s="469">
        <v>4991</v>
      </c>
      <c r="C263" s="1974">
        <v>8814</v>
      </c>
      <c r="D263" s="1975">
        <v>0</v>
      </c>
      <c r="E263" s="467"/>
      <c r="F263" s="1975">
        <v>0</v>
      </c>
      <c r="G263" s="1975">
        <v>0</v>
      </c>
      <c r="H263" s="467"/>
      <c r="I263" s="467"/>
      <c r="J263" s="467"/>
      <c r="K263" s="467"/>
    </row>
    <row r="264" spans="1:11" ht="12.75" customHeight="1" thickTop="1" thickBot="1" x14ac:dyDescent="0.25">
      <c r="A264" s="463" t="s">
        <v>377</v>
      </c>
      <c r="B264" s="469">
        <v>4992</v>
      </c>
      <c r="C264" s="1974">
        <v>19309</v>
      </c>
      <c r="D264" s="1975">
        <v>0</v>
      </c>
      <c r="E264" s="467"/>
      <c r="F264" s="1975">
        <v>0</v>
      </c>
      <c r="G264" s="1975">
        <v>0</v>
      </c>
      <c r="H264" s="467"/>
      <c r="I264" s="467"/>
      <c r="J264" s="467"/>
      <c r="K264" s="467"/>
    </row>
    <row r="265" spans="1:11" s="570" customFormat="1" ht="12.75" customHeight="1" thickTop="1" thickBot="1" x14ac:dyDescent="0.25">
      <c r="A265" s="551" t="s">
        <v>75</v>
      </c>
      <c r="B265" s="545">
        <v>4999</v>
      </c>
      <c r="C265" s="1974">
        <v>0</v>
      </c>
      <c r="D265" s="1975">
        <v>0</v>
      </c>
      <c r="E265" s="467"/>
      <c r="F265" s="1975">
        <v>0</v>
      </c>
      <c r="G265" s="1975">
        <v>0</v>
      </c>
      <c r="H265" s="1969">
        <v>0</v>
      </c>
      <c r="I265" s="467"/>
      <c r="J265" s="467"/>
      <c r="K265" s="1969">
        <v>0</v>
      </c>
    </row>
    <row r="266" spans="1:11" ht="14.25" thickTop="1" thickBot="1" x14ac:dyDescent="0.25">
      <c r="A266" s="1680" t="s">
        <v>1666</v>
      </c>
      <c r="B266" s="1699"/>
      <c r="C266" s="1687">
        <f t="shared" ref="C266:H266" si="10">SUM(C188,C198,C204,C209,C217,C221,C222,C252:C265)</f>
        <v>314818</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1086</v>
      </c>
      <c r="B267" s="1701" t="s">
        <v>860</v>
      </c>
      <c r="C267" s="1687">
        <f>SUM(C175,C181,C266)</f>
        <v>314818</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9229099</v>
      </c>
      <c r="D268" s="1687">
        <f t="shared" si="12"/>
        <v>1311458</v>
      </c>
      <c r="E268" s="1687">
        <f t="shared" si="12"/>
        <v>33</v>
      </c>
      <c r="F268" s="1687">
        <f t="shared" si="12"/>
        <v>813972</v>
      </c>
      <c r="G268" s="1687">
        <f t="shared" si="12"/>
        <v>373055</v>
      </c>
      <c r="H268" s="1687">
        <f t="shared" si="12"/>
        <v>262118</v>
      </c>
      <c r="I268" s="1687">
        <f t="shared" si="12"/>
        <v>63283</v>
      </c>
      <c r="J268" s="1687">
        <f t="shared" si="12"/>
        <v>64282</v>
      </c>
      <c r="K268" s="1674">
        <f t="shared" si="12"/>
        <v>228123</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 activePane="bottomLeft" state="frozen"/>
      <selection activeCell="AF22" sqref="AF22"/>
      <selection pane="bottomLeft" activeCell="L182" sqref="L182"/>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7"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1"/>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7" t="s">
        <v>297</v>
      </c>
      <c r="B3" s="2238"/>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7" t="s">
        <v>961</v>
      </c>
      <c r="B5" s="591">
        <v>1100</v>
      </c>
      <c r="C5" s="1962">
        <v>2724366</v>
      </c>
      <c r="D5" s="1962">
        <v>949210</v>
      </c>
      <c r="E5" s="1962">
        <v>32579</v>
      </c>
      <c r="F5" s="1962">
        <v>153369</v>
      </c>
      <c r="G5" s="1962">
        <v>0</v>
      </c>
      <c r="H5" s="1962">
        <v>0</v>
      </c>
      <c r="I5" s="1963">
        <v>3190</v>
      </c>
      <c r="J5" s="1963">
        <v>0</v>
      </c>
      <c r="K5" s="1643">
        <f>SUM(C5:J5)</f>
        <v>3862714</v>
      </c>
      <c r="L5" s="1984">
        <v>3870186</v>
      </c>
    </row>
    <row r="6" spans="1:14" x14ac:dyDescent="0.2">
      <c r="A6" s="1477" t="s">
        <v>1433</v>
      </c>
      <c r="B6" s="591" t="s">
        <v>1431</v>
      </c>
      <c r="C6" s="473"/>
      <c r="D6" s="473"/>
      <c r="E6" s="1962">
        <v>0</v>
      </c>
      <c r="F6" s="473"/>
      <c r="G6" s="473"/>
      <c r="H6" s="473"/>
      <c r="I6" s="473"/>
      <c r="J6" s="473"/>
      <c r="K6" s="1643">
        <f>SUM(C6,E6)</f>
        <v>0</v>
      </c>
      <c r="L6" s="1984">
        <v>0</v>
      </c>
    </row>
    <row r="7" spans="1:14" x14ac:dyDescent="0.2">
      <c r="A7" s="1477" t="s">
        <v>163</v>
      </c>
      <c r="B7" s="591" t="s">
        <v>967</v>
      </c>
      <c r="C7" s="1963">
        <v>0</v>
      </c>
      <c r="D7" s="1963">
        <v>0</v>
      </c>
      <c r="E7" s="1963">
        <v>0</v>
      </c>
      <c r="F7" s="1963">
        <v>0</v>
      </c>
      <c r="G7" s="1963">
        <v>0</v>
      </c>
      <c r="H7" s="1963">
        <v>0</v>
      </c>
      <c r="I7" s="1963">
        <v>0</v>
      </c>
      <c r="J7" s="1963">
        <v>0</v>
      </c>
      <c r="K7" s="1643">
        <f t="shared" ref="K7:K32" si="0">SUM(C7:J7)</f>
        <v>0</v>
      </c>
      <c r="L7" s="1984">
        <v>0</v>
      </c>
    </row>
    <row r="8" spans="1:14" x14ac:dyDescent="0.2">
      <c r="A8" s="1477" t="s">
        <v>164</v>
      </c>
      <c r="B8" s="591">
        <v>1200</v>
      </c>
      <c r="C8" s="1962">
        <v>855559</v>
      </c>
      <c r="D8" s="1962">
        <v>287403</v>
      </c>
      <c r="E8" s="1962">
        <v>148537</v>
      </c>
      <c r="F8" s="1962">
        <v>15362</v>
      </c>
      <c r="G8" s="1962">
        <v>0</v>
      </c>
      <c r="H8" s="1962">
        <v>0</v>
      </c>
      <c r="I8" s="1963">
        <v>0</v>
      </c>
      <c r="J8" s="1963">
        <v>0</v>
      </c>
      <c r="K8" s="1643">
        <f t="shared" si="0"/>
        <v>1306861</v>
      </c>
      <c r="L8" s="1984">
        <v>1295226</v>
      </c>
    </row>
    <row r="9" spans="1:14" x14ac:dyDescent="0.2">
      <c r="A9" s="1477" t="s">
        <v>721</v>
      </c>
      <c r="B9" s="591" t="s">
        <v>968</v>
      </c>
      <c r="C9" s="1963">
        <v>153819</v>
      </c>
      <c r="D9" s="1963">
        <v>72265</v>
      </c>
      <c r="E9" s="1963">
        <v>1443</v>
      </c>
      <c r="F9" s="1963">
        <v>5867</v>
      </c>
      <c r="G9" s="1985">
        <v>0</v>
      </c>
      <c r="H9" s="1963">
        <v>0</v>
      </c>
      <c r="I9" s="1963">
        <v>0</v>
      </c>
      <c r="J9" s="1963">
        <v>0</v>
      </c>
      <c r="K9" s="1643">
        <f t="shared" si="0"/>
        <v>233394</v>
      </c>
      <c r="L9" s="1984">
        <v>231971</v>
      </c>
    </row>
    <row r="10" spans="1:14" x14ac:dyDescent="0.2">
      <c r="A10" s="1477" t="s">
        <v>722</v>
      </c>
      <c r="B10" s="591">
        <v>1250</v>
      </c>
      <c r="C10" s="1962">
        <v>334975</v>
      </c>
      <c r="D10" s="1962">
        <v>133861</v>
      </c>
      <c r="E10" s="1962">
        <v>0</v>
      </c>
      <c r="F10" s="1962">
        <v>4920</v>
      </c>
      <c r="G10" s="1962">
        <v>0</v>
      </c>
      <c r="H10" s="1962">
        <v>0</v>
      </c>
      <c r="I10" s="1963">
        <v>0</v>
      </c>
      <c r="J10" s="1963">
        <v>0</v>
      </c>
      <c r="K10" s="1643">
        <f t="shared" si="0"/>
        <v>473756</v>
      </c>
      <c r="L10" s="1984">
        <v>534884</v>
      </c>
    </row>
    <row r="11" spans="1:14" x14ac:dyDescent="0.2">
      <c r="A11" s="1477" t="s">
        <v>1130</v>
      </c>
      <c r="B11" s="591" t="s">
        <v>161</v>
      </c>
      <c r="C11" s="1963">
        <v>0</v>
      </c>
      <c r="D11" s="1963">
        <v>0</v>
      </c>
      <c r="E11" s="1963">
        <v>0</v>
      </c>
      <c r="F11" s="1963">
        <v>0</v>
      </c>
      <c r="G11" s="1963">
        <v>0</v>
      </c>
      <c r="H11" s="1963">
        <v>0</v>
      </c>
      <c r="I11" s="1963">
        <v>0</v>
      </c>
      <c r="J11" s="1963">
        <v>0</v>
      </c>
      <c r="K11" s="1643">
        <f t="shared" si="0"/>
        <v>0</v>
      </c>
      <c r="L11" s="1984">
        <v>0</v>
      </c>
    </row>
    <row r="12" spans="1:14" x14ac:dyDescent="0.2">
      <c r="A12" s="1477" t="s">
        <v>962</v>
      </c>
      <c r="B12" s="591">
        <v>1300</v>
      </c>
      <c r="C12" s="1962">
        <v>0</v>
      </c>
      <c r="D12" s="1962">
        <v>0</v>
      </c>
      <c r="E12" s="1962">
        <v>0</v>
      </c>
      <c r="F12" s="1962">
        <v>0</v>
      </c>
      <c r="G12" s="1962">
        <v>0</v>
      </c>
      <c r="H12" s="1962">
        <v>0</v>
      </c>
      <c r="I12" s="1963">
        <v>0</v>
      </c>
      <c r="J12" s="1963">
        <v>0</v>
      </c>
      <c r="K12" s="1643">
        <f t="shared" si="0"/>
        <v>0</v>
      </c>
      <c r="L12" s="1984">
        <v>0</v>
      </c>
    </row>
    <row r="13" spans="1:14" x14ac:dyDescent="0.2">
      <c r="A13" s="1477" t="s">
        <v>723</v>
      </c>
      <c r="B13" s="591">
        <v>1400</v>
      </c>
      <c r="C13" s="1962">
        <v>0</v>
      </c>
      <c r="D13" s="1962">
        <v>0</v>
      </c>
      <c r="E13" s="1962">
        <v>0</v>
      </c>
      <c r="F13" s="1962">
        <v>0</v>
      </c>
      <c r="G13" s="1962">
        <v>0</v>
      </c>
      <c r="H13" s="1962">
        <v>0</v>
      </c>
      <c r="I13" s="1963">
        <v>0</v>
      </c>
      <c r="J13" s="1963">
        <v>0</v>
      </c>
      <c r="K13" s="1643">
        <f t="shared" si="0"/>
        <v>0</v>
      </c>
      <c r="L13" s="1984">
        <v>0</v>
      </c>
    </row>
    <row r="14" spans="1:14" x14ac:dyDescent="0.2">
      <c r="A14" s="1477" t="s">
        <v>963</v>
      </c>
      <c r="B14" s="591">
        <v>1500</v>
      </c>
      <c r="C14" s="1962">
        <v>1074</v>
      </c>
      <c r="D14" s="1962">
        <v>0</v>
      </c>
      <c r="E14" s="1962">
        <v>7888</v>
      </c>
      <c r="F14" s="1962">
        <v>10793</v>
      </c>
      <c r="G14" s="1962">
        <v>0</v>
      </c>
      <c r="H14" s="1962">
        <v>0</v>
      </c>
      <c r="I14" s="1963">
        <v>0</v>
      </c>
      <c r="J14" s="1963">
        <v>0</v>
      </c>
      <c r="K14" s="1643">
        <f t="shared" si="0"/>
        <v>19755</v>
      </c>
      <c r="L14" s="1984">
        <v>30598</v>
      </c>
    </row>
    <row r="15" spans="1:14" x14ac:dyDescent="0.2">
      <c r="A15" s="1477" t="s">
        <v>964</v>
      </c>
      <c r="B15" s="591">
        <v>1600</v>
      </c>
      <c r="C15" s="1962">
        <v>20664</v>
      </c>
      <c r="D15" s="1962">
        <v>3375</v>
      </c>
      <c r="E15" s="1962">
        <v>0</v>
      </c>
      <c r="F15" s="1962">
        <v>80</v>
      </c>
      <c r="G15" s="1962">
        <v>0</v>
      </c>
      <c r="H15" s="1962">
        <v>0</v>
      </c>
      <c r="I15" s="1963">
        <v>0</v>
      </c>
      <c r="J15" s="1963">
        <v>0</v>
      </c>
      <c r="K15" s="1643">
        <f t="shared" si="0"/>
        <v>24119</v>
      </c>
      <c r="L15" s="1984">
        <v>11833</v>
      </c>
    </row>
    <row r="16" spans="1:14" x14ac:dyDescent="0.2">
      <c r="A16" s="1477" t="s">
        <v>987</v>
      </c>
      <c r="B16" s="591" t="s">
        <v>424</v>
      </c>
      <c r="C16" s="1962">
        <v>111167</v>
      </c>
      <c r="D16" s="1962">
        <v>40189</v>
      </c>
      <c r="E16" s="1962">
        <v>0</v>
      </c>
      <c r="F16" s="1962">
        <v>698</v>
      </c>
      <c r="G16" s="1962">
        <v>0</v>
      </c>
      <c r="H16" s="1962">
        <v>0</v>
      </c>
      <c r="I16" s="1963">
        <v>0</v>
      </c>
      <c r="J16" s="1963">
        <v>0</v>
      </c>
      <c r="K16" s="1643">
        <f t="shared" si="0"/>
        <v>152054</v>
      </c>
      <c r="L16" s="1984">
        <v>154690</v>
      </c>
    </row>
    <row r="17" spans="1:12" x14ac:dyDescent="0.2">
      <c r="A17" s="1477" t="s">
        <v>724</v>
      </c>
      <c r="B17" s="591" t="s">
        <v>162</v>
      </c>
      <c r="C17" s="1963">
        <v>0</v>
      </c>
      <c r="D17" s="1963">
        <v>0</v>
      </c>
      <c r="E17" s="1963">
        <v>0</v>
      </c>
      <c r="F17" s="1963">
        <v>0</v>
      </c>
      <c r="G17" s="1963">
        <v>0</v>
      </c>
      <c r="H17" s="1963">
        <v>0</v>
      </c>
      <c r="I17" s="1963">
        <v>0</v>
      </c>
      <c r="J17" s="1963">
        <v>0</v>
      </c>
      <c r="K17" s="1643">
        <f t="shared" si="0"/>
        <v>0</v>
      </c>
      <c r="L17" s="1984">
        <v>0</v>
      </c>
    </row>
    <row r="18" spans="1:12" x14ac:dyDescent="0.2">
      <c r="A18" s="1477" t="s">
        <v>1087</v>
      </c>
      <c r="B18" s="591">
        <v>1800</v>
      </c>
      <c r="C18" s="1962">
        <v>60761</v>
      </c>
      <c r="D18" s="1962">
        <v>19104</v>
      </c>
      <c r="E18" s="1962">
        <v>0</v>
      </c>
      <c r="F18" s="1962">
        <v>637</v>
      </c>
      <c r="G18" s="1962">
        <v>0</v>
      </c>
      <c r="H18" s="1962">
        <v>0</v>
      </c>
      <c r="I18" s="1963">
        <v>98</v>
      </c>
      <c r="J18" s="1963">
        <v>0</v>
      </c>
      <c r="K18" s="1643">
        <f t="shared" si="0"/>
        <v>80600</v>
      </c>
      <c r="L18" s="1984">
        <v>87860</v>
      </c>
    </row>
    <row r="19" spans="1:12" x14ac:dyDescent="0.2">
      <c r="A19" s="1477" t="s">
        <v>134</v>
      </c>
      <c r="B19" s="591">
        <v>1900</v>
      </c>
      <c r="C19" s="1962">
        <v>0</v>
      </c>
      <c r="D19" s="1962">
        <v>0</v>
      </c>
      <c r="E19" s="1962">
        <v>0</v>
      </c>
      <c r="F19" s="1962">
        <v>0</v>
      </c>
      <c r="G19" s="1962">
        <v>0</v>
      </c>
      <c r="H19" s="1962">
        <v>0</v>
      </c>
      <c r="I19" s="1963">
        <v>0</v>
      </c>
      <c r="J19" s="1963">
        <v>0</v>
      </c>
      <c r="K19" s="1643">
        <f t="shared" si="0"/>
        <v>0</v>
      </c>
      <c r="L19" s="1984">
        <v>0</v>
      </c>
    </row>
    <row r="20" spans="1:12" x14ac:dyDescent="0.2">
      <c r="A20" s="1478" t="s">
        <v>738</v>
      </c>
      <c r="B20" s="579" t="s">
        <v>725</v>
      </c>
      <c r="C20" s="473"/>
      <c r="D20" s="473"/>
      <c r="E20" s="473"/>
      <c r="F20" s="473"/>
      <c r="G20" s="473"/>
      <c r="H20" s="1965">
        <v>0</v>
      </c>
      <c r="I20" s="593"/>
      <c r="J20" s="472"/>
      <c r="K20" s="1643">
        <f t="shared" si="0"/>
        <v>0</v>
      </c>
      <c r="L20" s="1986">
        <v>0</v>
      </c>
    </row>
    <row r="21" spans="1:12" x14ac:dyDescent="0.2">
      <c r="A21" s="1478" t="s">
        <v>739</v>
      </c>
      <c r="B21" s="579" t="s">
        <v>726</v>
      </c>
      <c r="C21" s="473"/>
      <c r="D21" s="473"/>
      <c r="E21" s="473"/>
      <c r="F21" s="473"/>
      <c r="G21" s="473"/>
      <c r="H21" s="1965">
        <v>0</v>
      </c>
      <c r="I21" s="593"/>
      <c r="J21" s="473"/>
      <c r="K21" s="1643">
        <f t="shared" si="0"/>
        <v>0</v>
      </c>
      <c r="L21" s="1986">
        <v>0</v>
      </c>
    </row>
    <row r="22" spans="1:12" x14ac:dyDescent="0.2">
      <c r="A22" s="1478" t="s">
        <v>740</v>
      </c>
      <c r="B22" s="579" t="s">
        <v>727</v>
      </c>
      <c r="C22" s="473"/>
      <c r="D22" s="473"/>
      <c r="E22" s="473"/>
      <c r="F22" s="473"/>
      <c r="G22" s="473"/>
      <c r="H22" s="1965">
        <v>0</v>
      </c>
      <c r="I22" s="593"/>
      <c r="J22" s="473"/>
      <c r="K22" s="1643">
        <f t="shared" si="0"/>
        <v>0</v>
      </c>
      <c r="L22" s="1986">
        <v>0</v>
      </c>
    </row>
    <row r="23" spans="1:12" x14ac:dyDescent="0.2">
      <c r="A23" s="1478" t="s">
        <v>741</v>
      </c>
      <c r="B23" s="579" t="s">
        <v>728</v>
      </c>
      <c r="C23" s="473"/>
      <c r="D23" s="473"/>
      <c r="E23" s="473"/>
      <c r="F23" s="473"/>
      <c r="G23" s="473"/>
      <c r="H23" s="1965">
        <v>0</v>
      </c>
      <c r="I23" s="593"/>
      <c r="J23" s="473"/>
      <c r="K23" s="1643">
        <f t="shared" si="0"/>
        <v>0</v>
      </c>
      <c r="L23" s="1986">
        <v>0</v>
      </c>
    </row>
    <row r="24" spans="1:12" ht="12.75" customHeight="1" x14ac:dyDescent="0.2">
      <c r="A24" s="1478" t="s">
        <v>742</v>
      </c>
      <c r="B24" s="579" t="s">
        <v>729</v>
      </c>
      <c r="C24" s="473"/>
      <c r="D24" s="473"/>
      <c r="E24" s="473"/>
      <c r="F24" s="473"/>
      <c r="G24" s="473"/>
      <c r="H24" s="1965">
        <v>0</v>
      </c>
      <c r="I24" s="593"/>
      <c r="J24" s="473"/>
      <c r="K24" s="1643">
        <f t="shared" si="0"/>
        <v>0</v>
      </c>
      <c r="L24" s="1986">
        <v>0</v>
      </c>
    </row>
    <row r="25" spans="1:12" ht="12.75" customHeight="1" x14ac:dyDescent="0.2">
      <c r="A25" s="1478" t="s">
        <v>802</v>
      </c>
      <c r="B25" s="579" t="s">
        <v>730</v>
      </c>
      <c r="C25" s="473"/>
      <c r="D25" s="473"/>
      <c r="E25" s="473"/>
      <c r="F25" s="473"/>
      <c r="G25" s="473"/>
      <c r="H25" s="1965">
        <v>0</v>
      </c>
      <c r="I25" s="593"/>
      <c r="J25" s="473"/>
      <c r="K25" s="1643">
        <f t="shared" si="0"/>
        <v>0</v>
      </c>
      <c r="L25" s="1986">
        <v>0</v>
      </c>
    </row>
    <row r="26" spans="1:12" x14ac:dyDescent="0.2">
      <c r="A26" s="1478" t="s">
        <v>622</v>
      </c>
      <c r="B26" s="579" t="s">
        <v>731</v>
      </c>
      <c r="C26" s="473"/>
      <c r="D26" s="473"/>
      <c r="E26" s="473"/>
      <c r="F26" s="473"/>
      <c r="G26" s="473"/>
      <c r="H26" s="1965">
        <v>0</v>
      </c>
      <c r="I26" s="593"/>
      <c r="J26" s="473"/>
      <c r="K26" s="1643">
        <f t="shared" si="0"/>
        <v>0</v>
      </c>
      <c r="L26" s="1986">
        <v>0</v>
      </c>
    </row>
    <row r="27" spans="1:12" x14ac:dyDescent="0.2">
      <c r="A27" s="1478" t="s">
        <v>623</v>
      </c>
      <c r="B27" s="579" t="s">
        <v>732</v>
      </c>
      <c r="C27" s="473"/>
      <c r="D27" s="473"/>
      <c r="E27" s="473"/>
      <c r="F27" s="473"/>
      <c r="G27" s="473"/>
      <c r="H27" s="1965">
        <v>0</v>
      </c>
      <c r="I27" s="593"/>
      <c r="J27" s="473"/>
      <c r="K27" s="1643">
        <f t="shared" si="0"/>
        <v>0</v>
      </c>
      <c r="L27" s="1986">
        <v>0</v>
      </c>
    </row>
    <row r="28" spans="1:12" x14ac:dyDescent="0.2">
      <c r="A28" s="1478" t="s">
        <v>150</v>
      </c>
      <c r="B28" s="579" t="s">
        <v>733</v>
      </c>
      <c r="C28" s="473"/>
      <c r="D28" s="473"/>
      <c r="E28" s="473"/>
      <c r="F28" s="473"/>
      <c r="G28" s="473"/>
      <c r="H28" s="1965">
        <v>0</v>
      </c>
      <c r="I28" s="593"/>
      <c r="J28" s="473"/>
      <c r="K28" s="1643">
        <f t="shared" si="0"/>
        <v>0</v>
      </c>
      <c r="L28" s="1986">
        <v>0</v>
      </c>
    </row>
    <row r="29" spans="1:12" x14ac:dyDescent="0.2">
      <c r="A29" s="1478" t="s">
        <v>151</v>
      </c>
      <c r="B29" s="579" t="s">
        <v>734</v>
      </c>
      <c r="C29" s="473"/>
      <c r="D29" s="473"/>
      <c r="E29" s="473"/>
      <c r="F29" s="473"/>
      <c r="G29" s="473"/>
      <c r="H29" s="1965">
        <v>0</v>
      </c>
      <c r="I29" s="593"/>
      <c r="J29" s="473"/>
      <c r="K29" s="1643">
        <f t="shared" si="0"/>
        <v>0</v>
      </c>
      <c r="L29" s="1986">
        <v>0</v>
      </c>
    </row>
    <row r="30" spans="1:12" x14ac:dyDescent="0.2">
      <c r="A30" s="1478" t="s">
        <v>152</v>
      </c>
      <c r="B30" s="579" t="s">
        <v>735</v>
      </c>
      <c r="C30" s="473"/>
      <c r="D30" s="473"/>
      <c r="E30" s="473"/>
      <c r="F30" s="473"/>
      <c r="G30" s="473"/>
      <c r="H30" s="1965">
        <v>0</v>
      </c>
      <c r="I30" s="593"/>
      <c r="J30" s="473"/>
      <c r="K30" s="1643">
        <f t="shared" si="0"/>
        <v>0</v>
      </c>
      <c r="L30" s="1986">
        <v>0</v>
      </c>
    </row>
    <row r="31" spans="1:12" x14ac:dyDescent="0.2">
      <c r="A31" s="1478" t="s">
        <v>153</v>
      </c>
      <c r="B31" s="579" t="s">
        <v>736</v>
      </c>
      <c r="C31" s="473"/>
      <c r="D31" s="473"/>
      <c r="E31" s="473"/>
      <c r="F31" s="473"/>
      <c r="G31" s="473"/>
      <c r="H31" s="1965">
        <v>0</v>
      </c>
      <c r="I31" s="593"/>
      <c r="J31" s="473"/>
      <c r="K31" s="1643">
        <f t="shared" si="0"/>
        <v>0</v>
      </c>
      <c r="L31" s="1986">
        <v>0</v>
      </c>
    </row>
    <row r="32" spans="1:12" x14ac:dyDescent="0.2">
      <c r="A32" s="1479" t="s">
        <v>1129</v>
      </c>
      <c r="B32" s="591" t="s">
        <v>737</v>
      </c>
      <c r="C32" s="473"/>
      <c r="D32" s="473"/>
      <c r="E32" s="473"/>
      <c r="F32" s="473"/>
      <c r="G32" s="473"/>
      <c r="H32" s="1965">
        <v>0</v>
      </c>
      <c r="I32" s="593"/>
      <c r="J32" s="476"/>
      <c r="K32" s="1643">
        <f t="shared" si="0"/>
        <v>0</v>
      </c>
      <c r="L32" s="1986">
        <v>0</v>
      </c>
    </row>
    <row r="33" spans="1:14" ht="12.75" customHeight="1" thickBot="1" x14ac:dyDescent="0.25">
      <c r="A33" s="1640" t="s">
        <v>1668</v>
      </c>
      <c r="B33" s="1641" t="s">
        <v>570</v>
      </c>
      <c r="C33" s="1642">
        <f>SUM(C5:C32)</f>
        <v>4262385</v>
      </c>
      <c r="D33" s="1642">
        <f t="shared" ref="D33:L33" si="1">SUM(D5:D32)</f>
        <v>1505407</v>
      </c>
      <c r="E33" s="1642">
        <f t="shared" si="1"/>
        <v>190447</v>
      </c>
      <c r="F33" s="1642">
        <f t="shared" si="1"/>
        <v>191726</v>
      </c>
      <c r="G33" s="1642">
        <f t="shared" si="1"/>
        <v>0</v>
      </c>
      <c r="H33" s="1642">
        <f t="shared" si="1"/>
        <v>0</v>
      </c>
      <c r="I33" s="1642">
        <f t="shared" si="1"/>
        <v>3288</v>
      </c>
      <c r="J33" s="1642">
        <f t="shared" si="1"/>
        <v>0</v>
      </c>
      <c r="K33" s="1642">
        <f t="shared" si="1"/>
        <v>6153253</v>
      </c>
      <c r="L33" s="1642">
        <f t="shared" si="1"/>
        <v>6217248</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97416</v>
      </c>
      <c r="D36" s="477">
        <v>35961</v>
      </c>
      <c r="E36" s="477">
        <v>0</v>
      </c>
      <c r="F36" s="477">
        <v>427</v>
      </c>
      <c r="G36" s="477">
        <v>0</v>
      </c>
      <c r="H36" s="477">
        <v>0</v>
      </c>
      <c r="I36" s="1963">
        <v>0</v>
      </c>
      <c r="J36" s="1963">
        <v>0</v>
      </c>
      <c r="K36" s="1643">
        <f t="shared" ref="K36:K41" si="2">SUM(C36:J36)</f>
        <v>133804</v>
      </c>
      <c r="L36" s="1984">
        <v>142768</v>
      </c>
    </row>
    <row r="37" spans="1:14" x14ac:dyDescent="0.2">
      <c r="A37" s="1477" t="s">
        <v>1090</v>
      </c>
      <c r="B37" s="591">
        <v>2120</v>
      </c>
      <c r="C37" s="1962">
        <v>0</v>
      </c>
      <c r="D37" s="1962">
        <v>0</v>
      </c>
      <c r="E37" s="1962">
        <v>0</v>
      </c>
      <c r="F37" s="1962">
        <v>0</v>
      </c>
      <c r="G37" s="1962">
        <v>0</v>
      </c>
      <c r="H37" s="1962">
        <v>0</v>
      </c>
      <c r="I37" s="1963">
        <v>0</v>
      </c>
      <c r="J37" s="1963">
        <v>0</v>
      </c>
      <c r="K37" s="1643">
        <f t="shared" si="2"/>
        <v>0</v>
      </c>
      <c r="L37" s="1984">
        <v>0</v>
      </c>
    </row>
    <row r="38" spans="1:14" x14ac:dyDescent="0.2">
      <c r="A38" s="1477" t="s">
        <v>198</v>
      </c>
      <c r="B38" s="591">
        <v>2130</v>
      </c>
      <c r="C38" s="1962">
        <v>66785</v>
      </c>
      <c r="D38" s="1962">
        <v>720</v>
      </c>
      <c r="E38" s="1962">
        <v>93241</v>
      </c>
      <c r="F38" s="1962">
        <v>1765</v>
      </c>
      <c r="G38" s="1962">
        <v>0</v>
      </c>
      <c r="H38" s="1962">
        <v>0</v>
      </c>
      <c r="I38" s="1963">
        <v>0</v>
      </c>
      <c r="J38" s="1963">
        <v>0</v>
      </c>
      <c r="K38" s="1643">
        <f t="shared" si="2"/>
        <v>162511</v>
      </c>
      <c r="L38" s="1984">
        <v>167878</v>
      </c>
    </row>
    <row r="39" spans="1:14" x14ac:dyDescent="0.2">
      <c r="A39" s="1477" t="s">
        <v>199</v>
      </c>
      <c r="B39" s="591">
        <v>2140</v>
      </c>
      <c r="C39" s="1962">
        <v>57505</v>
      </c>
      <c r="D39" s="1962">
        <v>26561</v>
      </c>
      <c r="E39" s="1962">
        <v>0</v>
      </c>
      <c r="F39" s="1962">
        <v>3851</v>
      </c>
      <c r="G39" s="1962">
        <v>0</v>
      </c>
      <c r="H39" s="1962">
        <v>0</v>
      </c>
      <c r="I39" s="1963">
        <v>0</v>
      </c>
      <c r="J39" s="1963">
        <v>0</v>
      </c>
      <c r="K39" s="1643">
        <f t="shared" si="2"/>
        <v>87917</v>
      </c>
      <c r="L39" s="1984">
        <v>85877</v>
      </c>
    </row>
    <row r="40" spans="1:14" x14ac:dyDescent="0.2">
      <c r="A40" s="1477" t="s">
        <v>200</v>
      </c>
      <c r="B40" s="591">
        <v>2150</v>
      </c>
      <c r="C40" s="1962">
        <v>127953</v>
      </c>
      <c r="D40" s="1962">
        <v>33461</v>
      </c>
      <c r="E40" s="1962">
        <v>57442</v>
      </c>
      <c r="F40" s="1962">
        <v>1478</v>
      </c>
      <c r="G40" s="1962">
        <v>0</v>
      </c>
      <c r="H40" s="1962">
        <v>0</v>
      </c>
      <c r="I40" s="1963">
        <v>0</v>
      </c>
      <c r="J40" s="1963">
        <v>0</v>
      </c>
      <c r="K40" s="1643">
        <f t="shared" si="2"/>
        <v>220334</v>
      </c>
      <c r="L40" s="1984">
        <v>197529</v>
      </c>
    </row>
    <row r="41" spans="1:14" x14ac:dyDescent="0.2">
      <c r="A41" s="1477" t="s">
        <v>1669</v>
      </c>
      <c r="B41" s="591">
        <v>2190</v>
      </c>
      <c r="C41" s="1962">
        <v>0</v>
      </c>
      <c r="D41" s="1962">
        <v>0</v>
      </c>
      <c r="E41" s="1962">
        <v>0</v>
      </c>
      <c r="F41" s="1962">
        <v>0</v>
      </c>
      <c r="G41" s="1962">
        <v>0</v>
      </c>
      <c r="H41" s="1962">
        <v>0</v>
      </c>
      <c r="I41" s="1963">
        <v>0</v>
      </c>
      <c r="J41" s="1963">
        <v>0</v>
      </c>
      <c r="K41" s="1643">
        <f t="shared" si="2"/>
        <v>0</v>
      </c>
      <c r="L41" s="1984">
        <v>0</v>
      </c>
    </row>
    <row r="42" spans="1:14" ht="12.75" customHeight="1" thickBot="1" x14ac:dyDescent="0.25">
      <c r="A42" s="1640" t="s">
        <v>560</v>
      </c>
      <c r="B42" s="1641" t="s">
        <v>716</v>
      </c>
      <c r="C42" s="1642">
        <f>SUM(C36:C41)</f>
        <v>349659</v>
      </c>
      <c r="D42" s="1642">
        <f t="shared" ref="D42:L42" si="3">SUM(D36:D41)</f>
        <v>96703</v>
      </c>
      <c r="E42" s="1642">
        <f t="shared" si="3"/>
        <v>150683</v>
      </c>
      <c r="F42" s="1642">
        <f t="shared" si="3"/>
        <v>7521</v>
      </c>
      <c r="G42" s="1642">
        <f t="shared" si="3"/>
        <v>0</v>
      </c>
      <c r="H42" s="1642">
        <f t="shared" si="3"/>
        <v>0</v>
      </c>
      <c r="I42" s="1642">
        <f t="shared" si="3"/>
        <v>0</v>
      </c>
      <c r="J42" s="1642">
        <f t="shared" si="3"/>
        <v>0</v>
      </c>
      <c r="K42" s="1642">
        <f t="shared" si="3"/>
        <v>604566</v>
      </c>
      <c r="L42" s="1642">
        <f t="shared" si="3"/>
        <v>594052</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2329</v>
      </c>
      <c r="D44" s="477">
        <v>281</v>
      </c>
      <c r="E44" s="477">
        <v>79083</v>
      </c>
      <c r="F44" s="477">
        <v>1287</v>
      </c>
      <c r="G44" s="477">
        <v>0</v>
      </c>
      <c r="H44" s="477">
        <v>734</v>
      </c>
      <c r="I44" s="1963">
        <v>0</v>
      </c>
      <c r="J44" s="1963">
        <v>0</v>
      </c>
      <c r="K44" s="1644">
        <f>SUM(C44:J44)</f>
        <v>83714</v>
      </c>
      <c r="L44" s="477">
        <v>116224</v>
      </c>
    </row>
    <row r="45" spans="1:14" x14ac:dyDescent="0.2">
      <c r="A45" s="1477" t="s">
        <v>815</v>
      </c>
      <c r="B45" s="591">
        <v>2220</v>
      </c>
      <c r="C45" s="1962">
        <v>95934</v>
      </c>
      <c r="D45" s="1962">
        <v>26252</v>
      </c>
      <c r="E45" s="1962">
        <v>0</v>
      </c>
      <c r="F45" s="1962">
        <v>14296</v>
      </c>
      <c r="G45" s="1962">
        <v>0</v>
      </c>
      <c r="H45" s="1962">
        <v>0</v>
      </c>
      <c r="I45" s="1963">
        <v>0</v>
      </c>
      <c r="J45" s="1963">
        <v>0</v>
      </c>
      <c r="K45" s="1644">
        <f>SUM(C45:J45)</f>
        <v>136482</v>
      </c>
      <c r="L45" s="1984">
        <v>136899</v>
      </c>
    </row>
    <row r="46" spans="1:14" x14ac:dyDescent="0.2">
      <c r="A46" s="1477" t="s">
        <v>816</v>
      </c>
      <c r="B46" s="591">
        <v>2230</v>
      </c>
      <c r="C46" s="1962">
        <v>0</v>
      </c>
      <c r="D46" s="1962">
        <v>0</v>
      </c>
      <c r="E46" s="1962">
        <v>16036</v>
      </c>
      <c r="F46" s="1962">
        <v>0</v>
      </c>
      <c r="G46" s="1962">
        <v>0</v>
      </c>
      <c r="H46" s="1962">
        <v>0</v>
      </c>
      <c r="I46" s="1963">
        <v>0</v>
      </c>
      <c r="J46" s="1963">
        <v>0</v>
      </c>
      <c r="K46" s="1644">
        <f>SUM(C46:J46)</f>
        <v>16036</v>
      </c>
      <c r="L46" s="1984">
        <v>13500</v>
      </c>
    </row>
    <row r="47" spans="1:14" ht="12.75" customHeight="1" thickBot="1" x14ac:dyDescent="0.25">
      <c r="A47" s="1640" t="s">
        <v>561</v>
      </c>
      <c r="B47" s="1641" t="s">
        <v>32</v>
      </c>
      <c r="C47" s="1642">
        <f>SUM(C44:C46)</f>
        <v>98263</v>
      </c>
      <c r="D47" s="1642">
        <f t="shared" ref="D47:K47" si="4">SUM(D44:D46)</f>
        <v>26533</v>
      </c>
      <c r="E47" s="1642">
        <f t="shared" si="4"/>
        <v>95119</v>
      </c>
      <c r="F47" s="1642">
        <f t="shared" si="4"/>
        <v>15583</v>
      </c>
      <c r="G47" s="1642">
        <f t="shared" si="4"/>
        <v>0</v>
      </c>
      <c r="H47" s="1642">
        <f t="shared" si="4"/>
        <v>734</v>
      </c>
      <c r="I47" s="1642">
        <f t="shared" si="4"/>
        <v>0</v>
      </c>
      <c r="J47" s="1642">
        <f t="shared" si="4"/>
        <v>0</v>
      </c>
      <c r="K47" s="1642">
        <f t="shared" si="4"/>
        <v>236232</v>
      </c>
      <c r="L47" s="1642">
        <f>SUM(L44:L46)</f>
        <v>266623</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12942</v>
      </c>
      <c r="D49" s="477">
        <v>-24388</v>
      </c>
      <c r="E49" s="477">
        <v>75864</v>
      </c>
      <c r="F49" s="477">
        <v>8044</v>
      </c>
      <c r="G49" s="477">
        <v>0</v>
      </c>
      <c r="H49" s="477">
        <v>5213</v>
      </c>
      <c r="I49" s="1963">
        <v>0</v>
      </c>
      <c r="J49" s="1963">
        <v>0</v>
      </c>
      <c r="K49" s="1644">
        <f>SUM(C49:J49)</f>
        <v>77675</v>
      </c>
      <c r="L49" s="477">
        <v>221001</v>
      </c>
    </row>
    <row r="50" spans="1:14" x14ac:dyDescent="0.2">
      <c r="A50" s="1477" t="s">
        <v>818</v>
      </c>
      <c r="B50" s="591">
        <v>2320</v>
      </c>
      <c r="C50" s="1962">
        <v>204716</v>
      </c>
      <c r="D50" s="1962">
        <v>69291</v>
      </c>
      <c r="E50" s="1962">
        <v>1153</v>
      </c>
      <c r="F50" s="1962">
        <v>1385</v>
      </c>
      <c r="G50" s="1962">
        <v>0</v>
      </c>
      <c r="H50" s="1962">
        <v>2074</v>
      </c>
      <c r="I50" s="1963">
        <v>0</v>
      </c>
      <c r="J50" s="1963">
        <v>0</v>
      </c>
      <c r="K50" s="1644">
        <f>SUM(C50:J50)</f>
        <v>278619</v>
      </c>
      <c r="L50" s="1984">
        <v>282401</v>
      </c>
    </row>
    <row r="51" spans="1:14" x14ac:dyDescent="0.2">
      <c r="A51" s="1477" t="s">
        <v>42</v>
      </c>
      <c r="B51" s="591">
        <v>2330</v>
      </c>
      <c r="C51" s="1962">
        <v>125219</v>
      </c>
      <c r="D51" s="1962">
        <v>61463</v>
      </c>
      <c r="E51" s="1962">
        <v>1091</v>
      </c>
      <c r="F51" s="1962">
        <v>228</v>
      </c>
      <c r="G51" s="1962">
        <v>0</v>
      </c>
      <c r="H51" s="1962">
        <v>180</v>
      </c>
      <c r="I51" s="1963">
        <v>0</v>
      </c>
      <c r="J51" s="1963">
        <v>0</v>
      </c>
      <c r="K51" s="1644">
        <f>SUM(C51:J51)</f>
        <v>188181</v>
      </c>
      <c r="L51" s="1984">
        <v>185523</v>
      </c>
    </row>
    <row r="52" spans="1:14" ht="22.5" x14ac:dyDescent="0.2">
      <c r="A52" s="1478" t="s">
        <v>298</v>
      </c>
      <c r="B52" s="604" t="s">
        <v>366</v>
      </c>
      <c r="C52" s="1965">
        <v>0</v>
      </c>
      <c r="D52" s="1965">
        <v>0</v>
      </c>
      <c r="E52" s="1965">
        <v>0</v>
      </c>
      <c r="F52" s="1965">
        <v>0</v>
      </c>
      <c r="G52" s="1965">
        <v>0</v>
      </c>
      <c r="H52" s="1965">
        <v>0</v>
      </c>
      <c r="I52" s="1965">
        <v>0</v>
      </c>
      <c r="J52" s="1965">
        <v>0</v>
      </c>
      <c r="K52" s="1644">
        <f>SUM(C52:J52)</f>
        <v>0</v>
      </c>
      <c r="L52" s="1987">
        <v>0</v>
      </c>
    </row>
    <row r="53" spans="1:14" ht="12.75" customHeight="1" thickBot="1" x14ac:dyDescent="0.25">
      <c r="A53" s="1640" t="s">
        <v>717</v>
      </c>
      <c r="B53" s="1641" t="s">
        <v>33</v>
      </c>
      <c r="C53" s="1642">
        <f>SUM(C49:C52)</f>
        <v>342877</v>
      </c>
      <c r="D53" s="1642">
        <f t="shared" ref="D53:L53" si="5">SUM(D49:D52)</f>
        <v>106366</v>
      </c>
      <c r="E53" s="1642">
        <f t="shared" si="5"/>
        <v>78108</v>
      </c>
      <c r="F53" s="1642">
        <f t="shared" si="5"/>
        <v>9657</v>
      </c>
      <c r="G53" s="1642">
        <f t="shared" si="5"/>
        <v>0</v>
      </c>
      <c r="H53" s="1642">
        <f t="shared" si="5"/>
        <v>7467</v>
      </c>
      <c r="I53" s="1642">
        <f t="shared" si="5"/>
        <v>0</v>
      </c>
      <c r="J53" s="1642">
        <f t="shared" si="5"/>
        <v>0</v>
      </c>
      <c r="K53" s="1642">
        <f t="shared" si="5"/>
        <v>544475</v>
      </c>
      <c r="L53" s="1642">
        <f t="shared" si="5"/>
        <v>688925</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266511</v>
      </c>
      <c r="D55" s="477">
        <v>123485</v>
      </c>
      <c r="E55" s="477">
        <v>151</v>
      </c>
      <c r="F55" s="477">
        <v>3952</v>
      </c>
      <c r="G55" s="477">
        <v>0</v>
      </c>
      <c r="H55" s="477">
        <v>0</v>
      </c>
      <c r="I55" s="1963">
        <v>0</v>
      </c>
      <c r="J55" s="1963">
        <v>0</v>
      </c>
      <c r="K55" s="1644">
        <f>SUM(C55:J55)</f>
        <v>394099</v>
      </c>
      <c r="L55" s="477">
        <v>389773</v>
      </c>
    </row>
    <row r="56" spans="1:14" ht="12.75" customHeight="1" x14ac:dyDescent="0.2">
      <c r="A56" s="1481" t="s">
        <v>376</v>
      </c>
      <c r="B56" s="605">
        <v>2490</v>
      </c>
      <c r="C56" s="1962">
        <v>0</v>
      </c>
      <c r="D56" s="1962">
        <v>0</v>
      </c>
      <c r="E56" s="1962">
        <v>0</v>
      </c>
      <c r="F56" s="1962">
        <v>0</v>
      </c>
      <c r="G56" s="1962">
        <v>0</v>
      </c>
      <c r="H56" s="1962">
        <v>0</v>
      </c>
      <c r="I56" s="1963">
        <v>0</v>
      </c>
      <c r="J56" s="1963">
        <v>0</v>
      </c>
      <c r="K56" s="1644">
        <f>SUM(C56:J56)</f>
        <v>0</v>
      </c>
      <c r="L56" s="1984">
        <v>0</v>
      </c>
    </row>
    <row r="57" spans="1:14" s="343" customFormat="1" ht="12.75" customHeight="1" thickBot="1" x14ac:dyDescent="0.25">
      <c r="A57" s="1640" t="s">
        <v>263</v>
      </c>
      <c r="B57" s="1645" t="s">
        <v>34</v>
      </c>
      <c r="C57" s="1646">
        <f>SUM(C55:C56)</f>
        <v>266511</v>
      </c>
      <c r="D57" s="1646">
        <f t="shared" ref="D57:K57" si="6">SUM(D55:D56)</f>
        <v>123485</v>
      </c>
      <c r="E57" s="1646">
        <f t="shared" si="6"/>
        <v>151</v>
      </c>
      <c r="F57" s="1646">
        <f t="shared" si="6"/>
        <v>3952</v>
      </c>
      <c r="G57" s="1646">
        <f t="shared" si="6"/>
        <v>0</v>
      </c>
      <c r="H57" s="1646">
        <f t="shared" si="6"/>
        <v>0</v>
      </c>
      <c r="I57" s="1646">
        <f t="shared" si="6"/>
        <v>0</v>
      </c>
      <c r="J57" s="1646">
        <f t="shared" si="6"/>
        <v>0</v>
      </c>
      <c r="K57" s="1646">
        <f t="shared" si="6"/>
        <v>394099</v>
      </c>
      <c r="L57" s="1642">
        <f>SUM(L55:L56)</f>
        <v>389773</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90594</v>
      </c>
      <c r="D59" s="477">
        <v>29853</v>
      </c>
      <c r="E59" s="477">
        <v>1114</v>
      </c>
      <c r="F59" s="477">
        <v>0</v>
      </c>
      <c r="G59" s="477">
        <v>0</v>
      </c>
      <c r="H59" s="477">
        <v>1082</v>
      </c>
      <c r="I59" s="1963">
        <v>0</v>
      </c>
      <c r="J59" s="1963">
        <v>0</v>
      </c>
      <c r="K59" s="1644">
        <f t="shared" ref="K59:K64" si="7">SUM(C59:J59)</f>
        <v>122643</v>
      </c>
      <c r="L59" s="477">
        <v>121235</v>
      </c>
      <c r="M59" s="586"/>
      <c r="N59" s="586"/>
    </row>
    <row r="60" spans="1:14" s="343" customFormat="1" x14ac:dyDescent="0.2">
      <c r="A60" s="1477" t="s">
        <v>463</v>
      </c>
      <c r="B60" s="591">
        <v>2520</v>
      </c>
      <c r="C60" s="1962">
        <v>105100</v>
      </c>
      <c r="D60" s="1962">
        <v>36787</v>
      </c>
      <c r="E60" s="1962">
        <v>3407</v>
      </c>
      <c r="F60" s="1962">
        <v>852</v>
      </c>
      <c r="G60" s="1962">
        <v>0</v>
      </c>
      <c r="H60" s="1962">
        <v>0</v>
      </c>
      <c r="I60" s="1963">
        <v>0</v>
      </c>
      <c r="J60" s="1963">
        <v>0</v>
      </c>
      <c r="K60" s="1644">
        <f t="shared" si="7"/>
        <v>146146</v>
      </c>
      <c r="L60" s="1984">
        <v>149659</v>
      </c>
      <c r="M60" s="586"/>
      <c r="N60" s="586"/>
    </row>
    <row r="61" spans="1:14" s="343" customFormat="1" x14ac:dyDescent="0.2">
      <c r="A61" s="1477" t="s">
        <v>197</v>
      </c>
      <c r="B61" s="591">
        <v>2540</v>
      </c>
      <c r="C61" s="1962">
        <v>0</v>
      </c>
      <c r="D61" s="1962">
        <v>0</v>
      </c>
      <c r="E61" s="1962">
        <v>0</v>
      </c>
      <c r="F61" s="1962">
        <v>0</v>
      </c>
      <c r="G61" s="1962">
        <v>0</v>
      </c>
      <c r="H61" s="1962">
        <v>0</v>
      </c>
      <c r="I61" s="1963">
        <v>0</v>
      </c>
      <c r="J61" s="1963">
        <v>0</v>
      </c>
      <c r="K61" s="1644">
        <f t="shared" si="7"/>
        <v>0</v>
      </c>
      <c r="L61" s="1984">
        <v>0</v>
      </c>
      <c r="M61" s="586"/>
      <c r="N61" s="586"/>
    </row>
    <row r="62" spans="1:14" s="343" customFormat="1" x14ac:dyDescent="0.2">
      <c r="A62" s="1477" t="s">
        <v>953</v>
      </c>
      <c r="B62" s="591">
        <v>2550</v>
      </c>
      <c r="C62" s="1962">
        <v>0</v>
      </c>
      <c r="D62" s="1962">
        <v>0</v>
      </c>
      <c r="E62" s="1962">
        <v>0</v>
      </c>
      <c r="F62" s="1962">
        <v>0</v>
      </c>
      <c r="G62" s="1962">
        <v>0</v>
      </c>
      <c r="H62" s="1962">
        <v>0</v>
      </c>
      <c r="I62" s="1963">
        <v>0</v>
      </c>
      <c r="J62" s="1963">
        <v>0</v>
      </c>
      <c r="K62" s="1644">
        <f t="shared" si="7"/>
        <v>0</v>
      </c>
      <c r="L62" s="1984">
        <v>0</v>
      </c>
      <c r="M62" s="586"/>
      <c r="N62" s="586"/>
    </row>
    <row r="63" spans="1:14" s="586" customFormat="1" x14ac:dyDescent="0.2">
      <c r="A63" s="1477" t="s">
        <v>100</v>
      </c>
      <c r="B63" s="591">
        <v>2560</v>
      </c>
      <c r="C63" s="1962">
        <v>27697</v>
      </c>
      <c r="D63" s="1962">
        <v>0</v>
      </c>
      <c r="E63" s="1962">
        <v>103380</v>
      </c>
      <c r="F63" s="1962">
        <v>0</v>
      </c>
      <c r="G63" s="1962">
        <v>0</v>
      </c>
      <c r="H63" s="1962">
        <v>0</v>
      </c>
      <c r="I63" s="1963">
        <v>0</v>
      </c>
      <c r="J63" s="1963">
        <v>0</v>
      </c>
      <c r="K63" s="1644">
        <f t="shared" si="7"/>
        <v>131077</v>
      </c>
      <c r="L63" s="1984">
        <v>189782</v>
      </c>
    </row>
    <row r="64" spans="1:14" s="586" customFormat="1" x14ac:dyDescent="0.2">
      <c r="A64" s="1482" t="s">
        <v>101</v>
      </c>
      <c r="B64" s="607">
        <v>2570</v>
      </c>
      <c r="C64" s="477">
        <v>0</v>
      </c>
      <c r="D64" s="477">
        <v>0</v>
      </c>
      <c r="E64" s="477">
        <v>0</v>
      </c>
      <c r="F64" s="477">
        <v>0</v>
      </c>
      <c r="G64" s="477">
        <v>0</v>
      </c>
      <c r="H64" s="477">
        <v>0</v>
      </c>
      <c r="I64" s="1963">
        <v>0</v>
      </c>
      <c r="J64" s="1963">
        <v>0</v>
      </c>
      <c r="K64" s="1644">
        <f t="shared" si="7"/>
        <v>0</v>
      </c>
      <c r="L64" s="477">
        <v>0</v>
      </c>
    </row>
    <row r="65" spans="1:14" s="343" customFormat="1" ht="12.75" customHeight="1" thickBot="1" x14ac:dyDescent="0.25">
      <c r="A65" s="1640" t="s">
        <v>719</v>
      </c>
      <c r="B65" s="1641" t="s">
        <v>35</v>
      </c>
      <c r="C65" s="1642">
        <f>SUM(C59:C64)</f>
        <v>223391</v>
      </c>
      <c r="D65" s="1642">
        <f t="shared" ref="D65:L65" si="8">SUM(D59:D64)</f>
        <v>66640</v>
      </c>
      <c r="E65" s="1642">
        <f t="shared" si="8"/>
        <v>107901</v>
      </c>
      <c r="F65" s="1642">
        <f t="shared" si="8"/>
        <v>852</v>
      </c>
      <c r="G65" s="1642">
        <f t="shared" si="8"/>
        <v>0</v>
      </c>
      <c r="H65" s="1642">
        <f t="shared" si="8"/>
        <v>1082</v>
      </c>
      <c r="I65" s="1642">
        <f t="shared" si="8"/>
        <v>0</v>
      </c>
      <c r="J65" s="1642">
        <f t="shared" si="8"/>
        <v>0</v>
      </c>
      <c r="K65" s="1642">
        <f t="shared" si="8"/>
        <v>399866</v>
      </c>
      <c r="L65" s="1642">
        <f t="shared" si="8"/>
        <v>460676</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2">
        <v>0</v>
      </c>
      <c r="D67" s="1962">
        <v>0</v>
      </c>
      <c r="E67" s="1962">
        <v>0</v>
      </c>
      <c r="F67" s="1962">
        <v>0</v>
      </c>
      <c r="G67" s="1962">
        <v>0</v>
      </c>
      <c r="H67" s="1962">
        <v>0</v>
      </c>
      <c r="I67" s="1963">
        <v>0</v>
      </c>
      <c r="J67" s="1963">
        <v>0</v>
      </c>
      <c r="K67" s="1644">
        <f>SUM(C67:J67)</f>
        <v>0</v>
      </c>
      <c r="L67" s="477">
        <v>0</v>
      </c>
      <c r="M67" s="586"/>
      <c r="N67" s="586"/>
    </row>
    <row r="68" spans="1:14" s="343" customFormat="1" x14ac:dyDescent="0.2">
      <c r="A68" s="1477" t="s">
        <v>607</v>
      </c>
      <c r="B68" s="591">
        <v>2620</v>
      </c>
      <c r="C68" s="1962">
        <v>0</v>
      </c>
      <c r="D68" s="1962">
        <v>0</v>
      </c>
      <c r="E68" s="1962">
        <v>0</v>
      </c>
      <c r="F68" s="1962">
        <v>0</v>
      </c>
      <c r="G68" s="1962">
        <v>0</v>
      </c>
      <c r="H68" s="1962">
        <v>0</v>
      </c>
      <c r="I68" s="1963">
        <v>0</v>
      </c>
      <c r="J68" s="1963">
        <v>0</v>
      </c>
      <c r="K68" s="1644">
        <f>SUM(C68:J68)</f>
        <v>0</v>
      </c>
      <c r="L68" s="1984">
        <v>0</v>
      </c>
      <c r="M68" s="586"/>
      <c r="N68" s="586"/>
    </row>
    <row r="69" spans="1:14" s="343" customFormat="1" x14ac:dyDescent="0.2">
      <c r="A69" s="1477" t="s">
        <v>1061</v>
      </c>
      <c r="B69" s="591">
        <v>2630</v>
      </c>
      <c r="C69" s="1962">
        <v>0</v>
      </c>
      <c r="D69" s="1962">
        <v>0</v>
      </c>
      <c r="E69" s="1962">
        <v>0</v>
      </c>
      <c r="F69" s="1962">
        <v>0</v>
      </c>
      <c r="G69" s="1962">
        <v>0</v>
      </c>
      <c r="H69" s="1962">
        <v>0</v>
      </c>
      <c r="I69" s="1963">
        <v>0</v>
      </c>
      <c r="J69" s="1963">
        <v>0</v>
      </c>
      <c r="K69" s="1644">
        <f>SUM(C69:J69)</f>
        <v>0</v>
      </c>
      <c r="L69" s="1984">
        <v>0</v>
      </c>
      <c r="M69" s="586"/>
      <c r="N69" s="586"/>
    </row>
    <row r="70" spans="1:14" s="343" customFormat="1" x14ac:dyDescent="0.2">
      <c r="A70" s="1477" t="s">
        <v>403</v>
      </c>
      <c r="B70" s="591">
        <v>2640</v>
      </c>
      <c r="C70" s="1962">
        <v>0</v>
      </c>
      <c r="D70" s="1962">
        <v>0</v>
      </c>
      <c r="E70" s="1962">
        <v>0</v>
      </c>
      <c r="F70" s="1962">
        <v>0</v>
      </c>
      <c r="G70" s="1962">
        <v>0</v>
      </c>
      <c r="H70" s="1962">
        <v>0</v>
      </c>
      <c r="I70" s="1963">
        <v>0</v>
      </c>
      <c r="J70" s="1963">
        <v>0</v>
      </c>
      <c r="K70" s="1644">
        <f>SUM(C70:J70)</f>
        <v>0</v>
      </c>
      <c r="L70" s="1984">
        <v>0</v>
      </c>
      <c r="M70" s="586"/>
      <c r="N70" s="586"/>
    </row>
    <row r="71" spans="1:14" s="343" customFormat="1" x14ac:dyDescent="0.2">
      <c r="A71" s="1477" t="s">
        <v>404</v>
      </c>
      <c r="B71" s="591">
        <v>2660</v>
      </c>
      <c r="C71" s="1962">
        <v>88353</v>
      </c>
      <c r="D71" s="1962">
        <v>35499</v>
      </c>
      <c r="E71" s="1962">
        <v>68445</v>
      </c>
      <c r="F71" s="1962">
        <v>30244</v>
      </c>
      <c r="G71" s="1962">
        <v>46440</v>
      </c>
      <c r="H71" s="1962">
        <v>0</v>
      </c>
      <c r="I71" s="1963">
        <v>2100</v>
      </c>
      <c r="J71" s="1963">
        <v>0</v>
      </c>
      <c r="K71" s="1644">
        <f>SUM(C71:J71)</f>
        <v>271081</v>
      </c>
      <c r="L71" s="1984">
        <v>273172</v>
      </c>
      <c r="M71" s="586"/>
      <c r="N71" s="586"/>
    </row>
    <row r="72" spans="1:14" s="343" customFormat="1" ht="12.75" customHeight="1" thickBot="1" x14ac:dyDescent="0.25">
      <c r="A72" s="1640" t="s">
        <v>37</v>
      </c>
      <c r="B72" s="1647" t="s">
        <v>36</v>
      </c>
      <c r="C72" s="1642">
        <f>SUM(C67:C71)</f>
        <v>88353</v>
      </c>
      <c r="D72" s="1642">
        <f t="shared" ref="D72:K72" si="9">SUM(D67:D71)</f>
        <v>35499</v>
      </c>
      <c r="E72" s="1642">
        <f t="shared" si="9"/>
        <v>68445</v>
      </c>
      <c r="F72" s="1642">
        <f t="shared" si="9"/>
        <v>30244</v>
      </c>
      <c r="G72" s="1642">
        <f t="shared" si="9"/>
        <v>46440</v>
      </c>
      <c r="H72" s="1642">
        <f t="shared" si="9"/>
        <v>0</v>
      </c>
      <c r="I72" s="1642">
        <f t="shared" si="9"/>
        <v>2100</v>
      </c>
      <c r="J72" s="1642">
        <f t="shared" si="9"/>
        <v>0</v>
      </c>
      <c r="K72" s="1642">
        <f t="shared" si="9"/>
        <v>271081</v>
      </c>
      <c r="L72" s="1642">
        <f>SUM(L67:L71)</f>
        <v>273172</v>
      </c>
      <c r="M72" s="586"/>
      <c r="N72" s="586"/>
    </row>
    <row r="73" spans="1:14" s="343" customFormat="1" ht="14.25" thickTop="1" thickBot="1" x14ac:dyDescent="0.25">
      <c r="A73" s="1483" t="s">
        <v>980</v>
      </c>
      <c r="B73" s="609" t="s">
        <v>574</v>
      </c>
      <c r="C73" s="1973">
        <v>0</v>
      </c>
      <c r="D73" s="1973">
        <v>0</v>
      </c>
      <c r="E73" s="1973">
        <v>0</v>
      </c>
      <c r="F73" s="1973">
        <v>244</v>
      </c>
      <c r="G73" s="1973">
        <v>0</v>
      </c>
      <c r="H73" s="1973">
        <v>0</v>
      </c>
      <c r="I73" s="1970">
        <v>0</v>
      </c>
      <c r="J73" s="1970">
        <v>0</v>
      </c>
      <c r="K73" s="1642">
        <f>SUM(C73:J73)</f>
        <v>244</v>
      </c>
      <c r="L73" s="1997">
        <v>750</v>
      </c>
      <c r="M73" s="586"/>
      <c r="N73" s="586"/>
    </row>
    <row r="74" spans="1:14" ht="12.75" customHeight="1" thickTop="1" thickBot="1" x14ac:dyDescent="0.25">
      <c r="A74" s="1640" t="s">
        <v>811</v>
      </c>
      <c r="B74" s="1648">
        <v>2000</v>
      </c>
      <c r="C74" s="1649">
        <f>SUM(C42,C47,C53,C57,C65,C72,C73)</f>
        <v>1369054</v>
      </c>
      <c r="D74" s="1649">
        <f t="shared" ref="D74:K74" si="10">SUM(D42,D47,D53,D57,D65,D72,D73)</f>
        <v>455226</v>
      </c>
      <c r="E74" s="1649">
        <f t="shared" si="10"/>
        <v>500407</v>
      </c>
      <c r="F74" s="1649">
        <f t="shared" si="10"/>
        <v>68053</v>
      </c>
      <c r="G74" s="1649">
        <f t="shared" si="10"/>
        <v>46440</v>
      </c>
      <c r="H74" s="1649">
        <f t="shared" si="10"/>
        <v>9283</v>
      </c>
      <c r="I74" s="1649">
        <f t="shared" si="10"/>
        <v>2100</v>
      </c>
      <c r="J74" s="1649">
        <f t="shared" si="10"/>
        <v>0</v>
      </c>
      <c r="K74" s="1649">
        <f t="shared" si="10"/>
        <v>2450563</v>
      </c>
      <c r="L74" s="1649">
        <f>SUM(L42,L47,L53,L57,L65,L72,L73)</f>
        <v>2673971</v>
      </c>
    </row>
    <row r="75" spans="1:14" s="259" customFormat="1" ht="15.75" customHeight="1" thickTop="1" thickBot="1" x14ac:dyDescent="0.25">
      <c r="A75" s="1582" t="s">
        <v>47</v>
      </c>
      <c r="B75" s="1583" t="s">
        <v>575</v>
      </c>
      <c r="C75" s="1973">
        <v>0</v>
      </c>
      <c r="D75" s="1973">
        <v>0</v>
      </c>
      <c r="E75" s="1973">
        <v>0</v>
      </c>
      <c r="F75" s="1973">
        <v>0</v>
      </c>
      <c r="G75" s="1973">
        <v>0</v>
      </c>
      <c r="H75" s="1973">
        <v>0</v>
      </c>
      <c r="I75" s="1970">
        <v>0</v>
      </c>
      <c r="J75" s="1970">
        <v>0</v>
      </c>
      <c r="K75" s="1642">
        <f>SUM(C75:J75)</f>
        <v>0</v>
      </c>
      <c r="L75" s="1997">
        <v>0</v>
      </c>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3">
        <f t="shared" ref="K78:K83" si="11">SUM(C78:J78)</f>
        <v>0</v>
      </c>
      <c r="L78" s="477">
        <v>0</v>
      </c>
    </row>
    <row r="79" spans="1:14" x14ac:dyDescent="0.2">
      <c r="A79" s="1477" t="s">
        <v>304</v>
      </c>
      <c r="B79" s="591">
        <v>4120</v>
      </c>
      <c r="C79" s="593"/>
      <c r="D79" s="593"/>
      <c r="E79" s="1962">
        <v>0</v>
      </c>
      <c r="F79" s="593"/>
      <c r="G79" s="593"/>
      <c r="H79" s="1962">
        <v>0</v>
      </c>
      <c r="I79" s="473"/>
      <c r="J79" s="473"/>
      <c r="K79" s="1643">
        <f t="shared" si="11"/>
        <v>0</v>
      </c>
      <c r="L79" s="1984">
        <v>0</v>
      </c>
    </row>
    <row r="80" spans="1:14" x14ac:dyDescent="0.2">
      <c r="A80" s="1477" t="s">
        <v>305</v>
      </c>
      <c r="B80" s="591">
        <v>4130</v>
      </c>
      <c r="C80" s="593"/>
      <c r="D80" s="593"/>
      <c r="E80" s="1962">
        <v>0</v>
      </c>
      <c r="F80" s="593"/>
      <c r="G80" s="593"/>
      <c r="H80" s="1962">
        <v>0</v>
      </c>
      <c r="I80" s="473"/>
      <c r="J80" s="473"/>
      <c r="K80" s="1643">
        <f t="shared" si="11"/>
        <v>0</v>
      </c>
      <c r="L80" s="1984">
        <v>0</v>
      </c>
    </row>
    <row r="81" spans="1:12" x14ac:dyDescent="0.2">
      <c r="A81" s="1477" t="s">
        <v>697</v>
      </c>
      <c r="B81" s="591">
        <v>4140</v>
      </c>
      <c r="C81" s="593"/>
      <c r="D81" s="593"/>
      <c r="E81" s="1962">
        <v>0</v>
      </c>
      <c r="F81" s="593"/>
      <c r="G81" s="593"/>
      <c r="H81" s="1962">
        <v>0</v>
      </c>
      <c r="I81" s="473"/>
      <c r="J81" s="473"/>
      <c r="K81" s="1643">
        <f t="shared" si="11"/>
        <v>0</v>
      </c>
      <c r="L81" s="1984">
        <v>0</v>
      </c>
    </row>
    <row r="82" spans="1:12" x14ac:dyDescent="0.2">
      <c r="A82" s="1477" t="s">
        <v>86</v>
      </c>
      <c r="B82" s="591">
        <v>4170</v>
      </c>
      <c r="C82" s="593"/>
      <c r="D82" s="593"/>
      <c r="E82" s="1962">
        <v>0</v>
      </c>
      <c r="F82" s="593"/>
      <c r="G82" s="593"/>
      <c r="H82" s="1962">
        <v>0</v>
      </c>
      <c r="I82" s="473"/>
      <c r="J82" s="473"/>
      <c r="K82" s="1643">
        <f t="shared" si="11"/>
        <v>0</v>
      </c>
      <c r="L82" s="1984">
        <v>0</v>
      </c>
    </row>
    <row r="83" spans="1:12" x14ac:dyDescent="0.2">
      <c r="A83" s="1481" t="s">
        <v>698</v>
      </c>
      <c r="B83" s="605">
        <v>4190</v>
      </c>
      <c r="C83" s="593"/>
      <c r="D83" s="593"/>
      <c r="E83" s="1962">
        <v>0</v>
      </c>
      <c r="F83" s="593"/>
      <c r="G83" s="593"/>
      <c r="H83" s="1962">
        <v>0</v>
      </c>
      <c r="I83" s="473"/>
      <c r="J83" s="473"/>
      <c r="K83" s="1643">
        <f t="shared" si="11"/>
        <v>0</v>
      </c>
      <c r="L83" s="1984">
        <v>0</v>
      </c>
    </row>
    <row r="84" spans="1:12" ht="13.5" thickBot="1" x14ac:dyDescent="0.25">
      <c r="A84" s="1640" t="s">
        <v>1485</v>
      </c>
      <c r="B84" s="1650">
        <v>4100</v>
      </c>
      <c r="C84" s="593"/>
      <c r="D84" s="593"/>
      <c r="E84" s="1642">
        <f>SUM(E78:E83)</f>
        <v>0</v>
      </c>
      <c r="F84" s="593"/>
      <c r="G84" s="593"/>
      <c r="H84" s="1642">
        <f>SUM(H78:H83)</f>
        <v>0</v>
      </c>
      <c r="I84" s="473"/>
      <c r="J84" s="473"/>
      <c r="K84" s="1642">
        <f>SUM(K78:K83)</f>
        <v>0</v>
      </c>
      <c r="L84" s="1642">
        <f>SUM(L78:L83)</f>
        <v>0</v>
      </c>
    </row>
    <row r="85" spans="1:12" ht="12.75" customHeight="1" thickTop="1" thickBot="1" x14ac:dyDescent="0.25">
      <c r="A85" s="1484" t="s">
        <v>255</v>
      </c>
      <c r="B85" s="612">
        <v>4210</v>
      </c>
      <c r="C85" s="593"/>
      <c r="D85" s="593"/>
      <c r="E85" s="613"/>
      <c r="F85" s="593"/>
      <c r="G85" s="593"/>
      <c r="H85" s="1972">
        <v>0</v>
      </c>
      <c r="I85" s="473"/>
      <c r="J85" s="473"/>
      <c r="K85" s="1649">
        <f>H85</f>
        <v>0</v>
      </c>
      <c r="L85" s="1992">
        <v>0</v>
      </c>
    </row>
    <row r="86" spans="1:12" ht="12.75" customHeight="1" thickTop="1" thickBot="1" x14ac:dyDescent="0.25">
      <c r="A86" s="1485" t="s">
        <v>699</v>
      </c>
      <c r="B86" s="614">
        <v>4220</v>
      </c>
      <c r="C86" s="593"/>
      <c r="D86" s="593"/>
      <c r="E86" s="615"/>
      <c r="F86" s="593"/>
      <c r="G86" s="593"/>
      <c r="H86" s="1963">
        <v>217230</v>
      </c>
      <c r="I86" s="473"/>
      <c r="J86" s="473"/>
      <c r="K86" s="1649">
        <f t="shared" ref="K86:K98" si="12">H86</f>
        <v>217230</v>
      </c>
      <c r="L86" s="1992">
        <v>139621</v>
      </c>
    </row>
    <row r="87" spans="1:12" ht="14.25" thickTop="1" thickBot="1" x14ac:dyDescent="0.25">
      <c r="A87" s="1486" t="s">
        <v>700</v>
      </c>
      <c r="B87" s="616">
        <v>4230</v>
      </c>
      <c r="C87" s="593"/>
      <c r="D87" s="593"/>
      <c r="E87" s="615"/>
      <c r="F87" s="593"/>
      <c r="G87" s="593"/>
      <c r="H87" s="1963">
        <v>0</v>
      </c>
      <c r="I87" s="473"/>
      <c r="J87" s="473"/>
      <c r="K87" s="1649">
        <f t="shared" si="12"/>
        <v>0</v>
      </c>
      <c r="L87" s="1992">
        <v>0</v>
      </c>
    </row>
    <row r="88" spans="1:12" ht="12.75" customHeight="1" thickTop="1" thickBot="1" x14ac:dyDescent="0.25">
      <c r="A88" s="1486" t="s">
        <v>765</v>
      </c>
      <c r="B88" s="616">
        <v>4240</v>
      </c>
      <c r="C88" s="593"/>
      <c r="D88" s="593"/>
      <c r="E88" s="615"/>
      <c r="F88" s="593"/>
      <c r="G88" s="593"/>
      <c r="H88" s="1963">
        <v>0</v>
      </c>
      <c r="I88" s="473"/>
      <c r="J88" s="473"/>
      <c r="K88" s="1649">
        <f t="shared" si="12"/>
        <v>0</v>
      </c>
      <c r="L88" s="1992">
        <v>0</v>
      </c>
    </row>
    <row r="89" spans="1:12" ht="12.75" customHeight="1" thickTop="1" thickBot="1" x14ac:dyDescent="0.25">
      <c r="A89" s="1486" t="s">
        <v>701</v>
      </c>
      <c r="B89" s="616">
        <v>4270</v>
      </c>
      <c r="C89" s="593"/>
      <c r="D89" s="593"/>
      <c r="E89" s="615"/>
      <c r="F89" s="593"/>
      <c r="G89" s="593"/>
      <c r="H89" s="1963">
        <v>0</v>
      </c>
      <c r="I89" s="473"/>
      <c r="J89" s="473"/>
      <c r="K89" s="1649">
        <f t="shared" si="12"/>
        <v>0</v>
      </c>
      <c r="L89" s="1992">
        <v>0</v>
      </c>
    </row>
    <row r="90" spans="1:12" ht="12.75" customHeight="1" thickTop="1" thickBot="1" x14ac:dyDescent="0.25">
      <c r="A90" s="1486" t="s">
        <v>686</v>
      </c>
      <c r="B90" s="616">
        <v>4280</v>
      </c>
      <c r="C90" s="593"/>
      <c r="D90" s="593"/>
      <c r="E90" s="615"/>
      <c r="F90" s="593"/>
      <c r="G90" s="593"/>
      <c r="H90" s="1963">
        <v>0</v>
      </c>
      <c r="I90" s="473"/>
      <c r="J90" s="473"/>
      <c r="K90" s="1649">
        <f t="shared" si="12"/>
        <v>0</v>
      </c>
      <c r="L90" s="1992">
        <v>0</v>
      </c>
    </row>
    <row r="91" spans="1:12" ht="12.75" customHeight="1" thickTop="1" thickBot="1" x14ac:dyDescent="0.25">
      <c r="A91" s="1486" t="s">
        <v>687</v>
      </c>
      <c r="B91" s="616">
        <v>4290</v>
      </c>
      <c r="C91" s="593"/>
      <c r="D91" s="593"/>
      <c r="E91" s="615"/>
      <c r="F91" s="593"/>
      <c r="G91" s="593"/>
      <c r="H91" s="1963">
        <v>0</v>
      </c>
      <c r="I91" s="473"/>
      <c r="J91" s="473"/>
      <c r="K91" s="1649">
        <f t="shared" si="12"/>
        <v>0</v>
      </c>
      <c r="L91" s="1992">
        <v>0</v>
      </c>
    </row>
    <row r="92" spans="1:12" ht="14.25" thickTop="1" thickBot="1" x14ac:dyDescent="0.25">
      <c r="A92" s="1652" t="s">
        <v>1560</v>
      </c>
      <c r="B92" s="1650">
        <v>4200</v>
      </c>
      <c r="C92" s="593"/>
      <c r="D92" s="593"/>
      <c r="E92" s="615"/>
      <c r="F92" s="593"/>
      <c r="G92" s="593"/>
      <c r="H92" s="1642">
        <f>SUM(H85:H91)</f>
        <v>217230</v>
      </c>
      <c r="I92" s="473"/>
      <c r="J92" s="473"/>
      <c r="K92" s="1649">
        <f t="shared" si="12"/>
        <v>217230</v>
      </c>
      <c r="L92" s="1642">
        <f>SUM(L85:L91)</f>
        <v>139621</v>
      </c>
    </row>
    <row r="93" spans="1:12" ht="14.25" thickTop="1" thickBot="1" x14ac:dyDescent="0.25">
      <c r="A93" s="1485" t="s">
        <v>688</v>
      </c>
      <c r="B93" s="617">
        <v>4310</v>
      </c>
      <c r="C93" s="593"/>
      <c r="D93" s="593"/>
      <c r="E93" s="615"/>
      <c r="F93" s="593"/>
      <c r="G93" s="593"/>
      <c r="H93" s="1966">
        <v>0</v>
      </c>
      <c r="I93" s="473"/>
      <c r="J93" s="473"/>
      <c r="K93" s="1649">
        <f t="shared" si="12"/>
        <v>0</v>
      </c>
      <c r="L93" s="1994">
        <v>0</v>
      </c>
    </row>
    <row r="94" spans="1:12" ht="12.75" customHeight="1" thickTop="1" thickBot="1" x14ac:dyDescent="0.25">
      <c r="A94" s="1486" t="s">
        <v>689</v>
      </c>
      <c r="B94" s="616">
        <v>4320</v>
      </c>
      <c r="C94" s="593"/>
      <c r="D94" s="593"/>
      <c r="E94" s="615"/>
      <c r="F94" s="593"/>
      <c r="G94" s="593"/>
      <c r="H94" s="1963">
        <v>0</v>
      </c>
      <c r="I94" s="473"/>
      <c r="J94" s="473"/>
      <c r="K94" s="1649">
        <f t="shared" si="12"/>
        <v>0</v>
      </c>
      <c r="L94" s="1992">
        <v>0</v>
      </c>
    </row>
    <row r="95" spans="1:12" ht="15" customHeight="1" thickTop="1" thickBot="1" x14ac:dyDescent="0.25">
      <c r="A95" s="1486" t="s">
        <v>1488</v>
      </c>
      <c r="B95" s="616">
        <v>4330</v>
      </c>
      <c r="C95" s="593"/>
      <c r="D95" s="593"/>
      <c r="E95" s="615"/>
      <c r="F95" s="593"/>
      <c r="G95" s="593"/>
      <c r="H95" s="1963">
        <v>0</v>
      </c>
      <c r="I95" s="473"/>
      <c r="J95" s="473"/>
      <c r="K95" s="1649">
        <f t="shared" si="12"/>
        <v>0</v>
      </c>
      <c r="L95" s="1992">
        <v>0</v>
      </c>
    </row>
    <row r="96" spans="1:12" ht="14.25" thickTop="1" thickBot="1" x14ac:dyDescent="0.25">
      <c r="A96" s="1486" t="s">
        <v>690</v>
      </c>
      <c r="B96" s="616">
        <v>4340</v>
      </c>
      <c r="C96" s="593"/>
      <c r="D96" s="593"/>
      <c r="E96" s="615"/>
      <c r="F96" s="593"/>
      <c r="G96" s="593"/>
      <c r="H96" s="1963">
        <v>0</v>
      </c>
      <c r="I96" s="473"/>
      <c r="J96" s="473"/>
      <c r="K96" s="1649">
        <f t="shared" si="12"/>
        <v>0</v>
      </c>
      <c r="L96" s="1992">
        <v>0</v>
      </c>
    </row>
    <row r="97" spans="1:14" ht="12.75" customHeight="1" thickTop="1" thickBot="1" x14ac:dyDescent="0.25">
      <c r="A97" s="1486" t="s">
        <v>763</v>
      </c>
      <c r="B97" s="616">
        <v>4370</v>
      </c>
      <c r="C97" s="593"/>
      <c r="D97" s="593"/>
      <c r="E97" s="615"/>
      <c r="F97" s="593"/>
      <c r="G97" s="593"/>
      <c r="H97" s="1963">
        <v>0</v>
      </c>
      <c r="I97" s="473"/>
      <c r="J97" s="473"/>
      <c r="K97" s="1649">
        <f t="shared" si="12"/>
        <v>0</v>
      </c>
      <c r="L97" s="1992">
        <v>0</v>
      </c>
    </row>
    <row r="98" spans="1:14" ht="14.25" thickTop="1" thickBot="1" x14ac:dyDescent="0.25">
      <c r="A98" s="1486" t="s">
        <v>764</v>
      </c>
      <c r="B98" s="616">
        <v>4380</v>
      </c>
      <c r="C98" s="593"/>
      <c r="D98" s="593"/>
      <c r="E98" s="618"/>
      <c r="F98" s="593"/>
      <c r="G98" s="593"/>
      <c r="H98" s="1963">
        <v>0</v>
      </c>
      <c r="I98" s="473"/>
      <c r="J98" s="473"/>
      <c r="K98" s="1649">
        <f t="shared" si="12"/>
        <v>0</v>
      </c>
      <c r="L98" s="1992">
        <v>0</v>
      </c>
    </row>
    <row r="99" spans="1:14" ht="14.25" thickTop="1" thickBot="1" x14ac:dyDescent="0.25">
      <c r="A99" s="1486" t="s">
        <v>367</v>
      </c>
      <c r="B99" s="616">
        <v>4390</v>
      </c>
      <c r="C99" s="593"/>
      <c r="D99" s="593"/>
      <c r="E99" s="1971">
        <v>0</v>
      </c>
      <c r="F99" s="593"/>
      <c r="G99" s="593"/>
      <c r="H99" s="1963">
        <v>0</v>
      </c>
      <c r="I99" s="473"/>
      <c r="J99" s="473"/>
      <c r="K99" s="1649">
        <f>SUM(E99,H99)</f>
        <v>0</v>
      </c>
      <c r="L99" s="1992">
        <v>0</v>
      </c>
    </row>
    <row r="100" spans="1:14" ht="14.25" thickTop="1" thickBot="1" x14ac:dyDescent="0.25">
      <c r="A100" s="1652" t="s">
        <v>1486</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3" t="s">
        <v>1489</v>
      </c>
      <c r="B101" s="619" t="s">
        <v>931</v>
      </c>
      <c r="C101" s="593"/>
      <c r="D101" s="593"/>
      <c r="E101" s="1970">
        <v>0</v>
      </c>
      <c r="F101" s="593"/>
      <c r="G101" s="593"/>
      <c r="H101" s="1970">
        <v>0</v>
      </c>
      <c r="I101" s="473"/>
      <c r="J101" s="473"/>
      <c r="K101" s="1651">
        <f>SUM(C101:J101)</f>
        <v>0</v>
      </c>
      <c r="L101" s="1992">
        <v>0</v>
      </c>
    </row>
    <row r="102" spans="1:14" ht="12.75" customHeight="1" thickTop="1" thickBot="1" x14ac:dyDescent="0.25">
      <c r="A102" s="1640" t="s">
        <v>1487</v>
      </c>
      <c r="B102" s="1650">
        <v>4000</v>
      </c>
      <c r="C102" s="593"/>
      <c r="D102" s="593"/>
      <c r="E102" s="1649">
        <f>SUM(E84,E92,E100,E101)</f>
        <v>0</v>
      </c>
      <c r="F102" s="593"/>
      <c r="G102" s="593"/>
      <c r="H102" s="1649">
        <f>SUM(H84,H92,H100,H101)</f>
        <v>217230</v>
      </c>
      <c r="I102" s="473"/>
      <c r="J102" s="473"/>
      <c r="K102" s="1649">
        <f>SUM(K84,K92,K100,K101)</f>
        <v>217230</v>
      </c>
      <c r="L102" s="1649">
        <f>SUM(L84,L92,L100,L101)</f>
        <v>139621</v>
      </c>
    </row>
    <row r="103" spans="1:14" s="610" customFormat="1" ht="15.75" customHeight="1" thickTop="1" x14ac:dyDescent="0.2">
      <c r="A103" s="1584" t="s">
        <v>513</v>
      </c>
      <c r="B103" s="1581"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7" t="s">
        <v>88</v>
      </c>
      <c r="B106" s="591">
        <v>5120</v>
      </c>
      <c r="C106" s="593"/>
      <c r="D106" s="593"/>
      <c r="E106" s="593"/>
      <c r="F106" s="593"/>
      <c r="G106" s="593"/>
      <c r="H106" s="1962">
        <v>0</v>
      </c>
      <c r="I106" s="467"/>
      <c r="J106" s="467"/>
      <c r="K106" s="1643">
        <f>H106</f>
        <v>0</v>
      </c>
      <c r="L106" s="1984">
        <v>0</v>
      </c>
      <c r="M106" s="210"/>
      <c r="N106" s="210"/>
    </row>
    <row r="107" spans="1:14" s="574" customFormat="1" ht="12.75" customHeight="1" x14ac:dyDescent="0.2">
      <c r="A107" s="1477" t="s">
        <v>1170</v>
      </c>
      <c r="B107" s="591">
        <v>5130</v>
      </c>
      <c r="C107" s="593"/>
      <c r="D107" s="593"/>
      <c r="E107" s="593"/>
      <c r="F107" s="593"/>
      <c r="G107" s="593"/>
      <c r="H107" s="1962">
        <v>0</v>
      </c>
      <c r="I107" s="467"/>
      <c r="J107" s="467"/>
      <c r="K107" s="1643">
        <f>H107</f>
        <v>0</v>
      </c>
      <c r="L107" s="1984">
        <v>0</v>
      </c>
      <c r="M107" s="210"/>
      <c r="N107" s="210"/>
    </row>
    <row r="108" spans="1:14" s="574" customFormat="1" x14ac:dyDescent="0.2">
      <c r="A108" s="1477" t="s">
        <v>89</v>
      </c>
      <c r="B108" s="591" t="s">
        <v>589</v>
      </c>
      <c r="C108" s="593"/>
      <c r="D108" s="593"/>
      <c r="E108" s="593"/>
      <c r="F108" s="593"/>
      <c r="G108" s="593"/>
      <c r="H108" s="1962">
        <v>0</v>
      </c>
      <c r="I108" s="467"/>
      <c r="J108" s="467"/>
      <c r="K108" s="1643">
        <f>H108</f>
        <v>0</v>
      </c>
      <c r="L108" s="1984">
        <v>0</v>
      </c>
      <c r="M108" s="210"/>
      <c r="N108" s="210"/>
    </row>
    <row r="109" spans="1:14" s="574" customFormat="1" x14ac:dyDescent="0.2">
      <c r="A109" s="1477" t="s">
        <v>254</v>
      </c>
      <c r="B109" s="605">
        <v>5150</v>
      </c>
      <c r="C109" s="593"/>
      <c r="D109" s="593"/>
      <c r="E109" s="593"/>
      <c r="F109" s="593"/>
      <c r="G109" s="593"/>
      <c r="H109" s="1962">
        <v>0</v>
      </c>
      <c r="I109" s="467"/>
      <c r="J109" s="467"/>
      <c r="K109" s="1643">
        <f>H109</f>
        <v>0</v>
      </c>
      <c r="L109" s="1984">
        <v>0</v>
      </c>
      <c r="M109" s="210"/>
      <c r="N109" s="210"/>
    </row>
    <row r="110" spans="1:14" s="574" customFormat="1" ht="12.75" customHeight="1" thickBot="1" x14ac:dyDescent="0.25">
      <c r="A110" s="1640" t="s">
        <v>1102</v>
      </c>
      <c r="B110" s="1647" t="s">
        <v>718</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7" t="s">
        <v>368</v>
      </c>
      <c r="B111" s="623" t="s">
        <v>38</v>
      </c>
      <c r="C111" s="593"/>
      <c r="D111" s="593"/>
      <c r="E111" s="593"/>
      <c r="F111" s="593"/>
      <c r="G111" s="593"/>
      <c r="H111" s="1972">
        <v>0</v>
      </c>
      <c r="I111" s="467"/>
      <c r="J111" s="467"/>
      <c r="K111" s="1655">
        <f>H111</f>
        <v>0</v>
      </c>
      <c r="L111" s="1994">
        <v>0</v>
      </c>
      <c r="M111" s="210"/>
      <c r="N111" s="210"/>
    </row>
    <row r="112" spans="1:14" s="574" customFormat="1" ht="12.75" customHeight="1" thickTop="1" thickBot="1" x14ac:dyDescent="0.25">
      <c r="A112" s="1640" t="s">
        <v>638</v>
      </c>
      <c r="B112" s="1641" t="s">
        <v>492</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514</v>
      </c>
      <c r="B113" s="1585" t="s">
        <v>861</v>
      </c>
      <c r="C113" s="600"/>
      <c r="D113" s="600"/>
      <c r="E113" s="593"/>
      <c r="F113" s="593"/>
      <c r="G113" s="593"/>
      <c r="H113" s="600"/>
      <c r="I113" s="467"/>
      <c r="J113" s="467"/>
      <c r="K113" s="600"/>
      <c r="L113" s="1993">
        <v>0</v>
      </c>
      <c r="M113" s="590"/>
      <c r="N113" s="590"/>
    </row>
    <row r="114" spans="1:14" ht="12.75" customHeight="1" thickTop="1" thickBot="1" x14ac:dyDescent="0.25">
      <c r="A114" s="1640" t="s">
        <v>48</v>
      </c>
      <c r="B114" s="1654"/>
      <c r="C114" s="1642">
        <f>SUM(C33,C74,C75,C102,C112,C113)</f>
        <v>5631439</v>
      </c>
      <c r="D114" s="1642">
        <f t="shared" ref="D114:K114" si="13">SUM(D33,D74,D75,D102,D112,D113)</f>
        <v>1960633</v>
      </c>
      <c r="E114" s="1642">
        <f t="shared" si="13"/>
        <v>690854</v>
      </c>
      <c r="F114" s="1642">
        <f t="shared" si="13"/>
        <v>259779</v>
      </c>
      <c r="G114" s="1642">
        <f t="shared" si="13"/>
        <v>46440</v>
      </c>
      <c r="H114" s="1642">
        <f>SUM(H33,H74,H75,H102,H112,H113)</f>
        <v>226513</v>
      </c>
      <c r="I114" s="1642">
        <f t="shared" si="13"/>
        <v>5388</v>
      </c>
      <c r="J114" s="1642">
        <f t="shared" si="13"/>
        <v>0</v>
      </c>
      <c r="K114" s="1642">
        <f t="shared" si="13"/>
        <v>8821046</v>
      </c>
      <c r="L114" s="1642">
        <f>SUM(L33,L74,L75,L102,L112,L113)</f>
        <v>9030840</v>
      </c>
    </row>
    <row r="115" spans="1:14" ht="13.5" thickTop="1" x14ac:dyDescent="0.2">
      <c r="A115" s="2229" t="s">
        <v>996</v>
      </c>
      <c r="B115" s="2230"/>
      <c r="C115" s="595"/>
      <c r="D115" s="595"/>
      <c r="E115" s="595"/>
      <c r="F115" s="595"/>
      <c r="G115" s="595"/>
      <c r="H115" s="595"/>
      <c r="I115" s="595"/>
      <c r="J115" s="595"/>
      <c r="K115" s="1656">
        <f>'Revenues 9-14'!C268-'Expenditures 15-22'!K114</f>
        <v>408053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4" t="s">
        <v>296</v>
      </c>
      <c r="B117" s="2235"/>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4">
        <v>0</v>
      </c>
      <c r="F120" s="1984">
        <v>0</v>
      </c>
      <c r="G120" s="1984">
        <v>0</v>
      </c>
      <c r="H120" s="1984">
        <v>0</v>
      </c>
      <c r="I120" s="1984">
        <v>0</v>
      </c>
      <c r="J120" s="1984">
        <v>0</v>
      </c>
      <c r="K120" s="1643">
        <f>SUM(C120:J120)</f>
        <v>0</v>
      </c>
      <c r="L120" s="1984">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2">
        <v>25884</v>
      </c>
      <c r="D122" s="1962">
        <v>7140</v>
      </c>
      <c r="E122" s="1962">
        <v>0</v>
      </c>
      <c r="F122" s="1962">
        <v>0</v>
      </c>
      <c r="G122" s="1962">
        <v>0</v>
      </c>
      <c r="H122" s="1962">
        <v>0</v>
      </c>
      <c r="I122" s="1963">
        <v>0</v>
      </c>
      <c r="J122" s="1963">
        <v>0</v>
      </c>
      <c r="K122" s="1642">
        <f>SUM(C122:J122)</f>
        <v>33024</v>
      </c>
      <c r="L122" s="1984">
        <v>33002</v>
      </c>
    </row>
    <row r="123" spans="1:14" ht="14.25" thickTop="1" thickBot="1" x14ac:dyDescent="0.25">
      <c r="A123" s="1477" t="s">
        <v>4</v>
      </c>
      <c r="B123" s="591">
        <v>2530</v>
      </c>
      <c r="C123" s="1962">
        <v>0</v>
      </c>
      <c r="D123" s="1962">
        <v>0</v>
      </c>
      <c r="E123" s="1962">
        <v>60</v>
      </c>
      <c r="F123" s="1962">
        <v>0</v>
      </c>
      <c r="G123" s="1962">
        <v>225150</v>
      </c>
      <c r="H123" s="1962">
        <v>0</v>
      </c>
      <c r="I123" s="1963">
        <v>0</v>
      </c>
      <c r="J123" s="1963">
        <v>0</v>
      </c>
      <c r="K123" s="1642">
        <f>SUM(C123:J123)</f>
        <v>225210</v>
      </c>
      <c r="L123" s="1984">
        <v>284397</v>
      </c>
    </row>
    <row r="124" spans="1:14" ht="14.25" thickTop="1" thickBot="1" x14ac:dyDescent="0.25">
      <c r="A124" s="1477" t="s">
        <v>197</v>
      </c>
      <c r="B124" s="591">
        <v>2540</v>
      </c>
      <c r="C124" s="1962">
        <v>306341</v>
      </c>
      <c r="D124" s="1962">
        <v>83232</v>
      </c>
      <c r="E124" s="1962">
        <v>209639</v>
      </c>
      <c r="F124" s="1962">
        <v>200082</v>
      </c>
      <c r="G124" s="1962">
        <v>105108</v>
      </c>
      <c r="H124" s="1962">
        <v>0</v>
      </c>
      <c r="I124" s="1963">
        <v>42854</v>
      </c>
      <c r="J124" s="1963">
        <v>0</v>
      </c>
      <c r="K124" s="1642">
        <f>SUM(C124:J124)</f>
        <v>947256</v>
      </c>
      <c r="L124" s="1984">
        <v>1091123</v>
      </c>
    </row>
    <row r="125" spans="1:14" ht="14.25" thickTop="1" thickBot="1" x14ac:dyDescent="0.25">
      <c r="A125" s="1477" t="s">
        <v>953</v>
      </c>
      <c r="B125" s="591">
        <v>2550</v>
      </c>
      <c r="C125" s="1962">
        <v>0</v>
      </c>
      <c r="D125" s="1962">
        <v>0</v>
      </c>
      <c r="E125" s="1962">
        <v>0</v>
      </c>
      <c r="F125" s="1962">
        <v>0</v>
      </c>
      <c r="G125" s="1962">
        <v>0</v>
      </c>
      <c r="H125" s="1962">
        <v>0</v>
      </c>
      <c r="I125" s="1963">
        <v>0</v>
      </c>
      <c r="J125" s="1963">
        <v>0</v>
      </c>
      <c r="K125" s="1642">
        <f>SUM(C125:J125)</f>
        <v>0</v>
      </c>
      <c r="L125" s="1984">
        <v>0</v>
      </c>
    </row>
    <row r="126" spans="1:14" ht="14.25" thickTop="1" thickBot="1" x14ac:dyDescent="0.25">
      <c r="A126" s="1477" t="s">
        <v>100</v>
      </c>
      <c r="B126" s="591">
        <v>2560</v>
      </c>
      <c r="C126" s="630"/>
      <c r="D126" s="630"/>
      <c r="E126" s="630"/>
      <c r="F126" s="630"/>
      <c r="G126" s="1962">
        <v>0</v>
      </c>
      <c r="H126" s="630"/>
      <c r="I126" s="1965">
        <v>0</v>
      </c>
      <c r="J126" s="593"/>
      <c r="K126" s="1642">
        <f>SUM(C126:J126)</f>
        <v>0</v>
      </c>
      <c r="L126" s="1984">
        <v>0</v>
      </c>
    </row>
    <row r="127" spans="1:14" ht="12.75" customHeight="1" thickTop="1" thickBot="1" x14ac:dyDescent="0.25">
      <c r="A127" s="1640" t="s">
        <v>719</v>
      </c>
      <c r="B127" s="1641" t="s">
        <v>35</v>
      </c>
      <c r="C127" s="1642">
        <f>SUM(C122:C126)</f>
        <v>332225</v>
      </c>
      <c r="D127" s="1642">
        <f t="shared" ref="D127:L127" si="14">SUM(D122:D126)</f>
        <v>90372</v>
      </c>
      <c r="E127" s="1642">
        <f t="shared" si="14"/>
        <v>209699</v>
      </c>
      <c r="F127" s="1642">
        <f t="shared" si="14"/>
        <v>200082</v>
      </c>
      <c r="G127" s="1642">
        <f t="shared" si="14"/>
        <v>330258</v>
      </c>
      <c r="H127" s="1642">
        <f t="shared" si="14"/>
        <v>0</v>
      </c>
      <c r="I127" s="1642">
        <f t="shared" si="14"/>
        <v>42854</v>
      </c>
      <c r="J127" s="1642">
        <f t="shared" si="14"/>
        <v>0</v>
      </c>
      <c r="K127" s="1642">
        <f t="shared" si="14"/>
        <v>1205490</v>
      </c>
      <c r="L127" s="1642">
        <f t="shared" si="14"/>
        <v>1408522</v>
      </c>
    </row>
    <row r="128" spans="1:14" ht="12.75" customHeight="1" thickTop="1" x14ac:dyDescent="0.2">
      <c r="A128" s="1484" t="s">
        <v>980</v>
      </c>
      <c r="B128" s="631" t="s">
        <v>574</v>
      </c>
      <c r="C128" s="1978">
        <v>0</v>
      </c>
      <c r="D128" s="1978">
        <v>0</v>
      </c>
      <c r="E128" s="1978">
        <v>0</v>
      </c>
      <c r="F128" s="1978">
        <v>0</v>
      </c>
      <c r="G128" s="1978">
        <v>0</v>
      </c>
      <c r="H128" s="1978">
        <v>0</v>
      </c>
      <c r="I128" s="1972">
        <v>0</v>
      </c>
      <c r="J128" s="1972">
        <v>0</v>
      </c>
      <c r="K128" s="1657">
        <f>SUM(C128:J128)</f>
        <v>0</v>
      </c>
      <c r="L128" s="1978">
        <v>0</v>
      </c>
    </row>
    <row r="129" spans="1:14" ht="12.75" customHeight="1" thickBot="1" x14ac:dyDescent="0.25">
      <c r="A129" s="1658" t="s">
        <v>811</v>
      </c>
      <c r="B129" s="1659" t="s">
        <v>569</v>
      </c>
      <c r="C129" s="1649">
        <f>SUM(C120,C127,C128)</f>
        <v>332225</v>
      </c>
      <c r="D129" s="1649">
        <f t="shared" ref="D129:L129" si="15">SUM(D120,D127,D128)</f>
        <v>90372</v>
      </c>
      <c r="E129" s="1649">
        <f t="shared" si="15"/>
        <v>209699</v>
      </c>
      <c r="F129" s="1649">
        <f t="shared" si="15"/>
        <v>200082</v>
      </c>
      <c r="G129" s="1649">
        <f t="shared" si="15"/>
        <v>330258</v>
      </c>
      <c r="H129" s="1649">
        <f t="shared" si="15"/>
        <v>0</v>
      </c>
      <c r="I129" s="1649">
        <f t="shared" si="15"/>
        <v>42854</v>
      </c>
      <c r="J129" s="1649">
        <f t="shared" si="15"/>
        <v>0</v>
      </c>
      <c r="K129" s="1649">
        <f t="shared" si="15"/>
        <v>1205490</v>
      </c>
      <c r="L129" s="1649">
        <f t="shared" si="15"/>
        <v>1408522</v>
      </c>
    </row>
    <row r="130" spans="1:14" ht="15.75" customHeight="1" thickTop="1" thickBot="1" x14ac:dyDescent="0.25">
      <c r="A130" s="1582" t="s">
        <v>1036</v>
      </c>
      <c r="B130" s="1583" t="s">
        <v>575</v>
      </c>
      <c r="C130" s="1975">
        <v>0</v>
      </c>
      <c r="D130" s="1975">
        <v>0</v>
      </c>
      <c r="E130" s="1975">
        <v>0</v>
      </c>
      <c r="F130" s="1975">
        <v>0</v>
      </c>
      <c r="G130" s="1975">
        <v>0</v>
      </c>
      <c r="H130" s="1975">
        <v>0</v>
      </c>
      <c r="I130" s="1970">
        <v>0</v>
      </c>
      <c r="J130" s="1970">
        <v>0</v>
      </c>
      <c r="K130" s="1642">
        <f>SUM(C130:J130)</f>
        <v>0</v>
      </c>
      <c r="L130" s="1997">
        <v>0</v>
      </c>
    </row>
    <row r="131" spans="1:14" ht="15.75" customHeight="1" thickTop="1" x14ac:dyDescent="0.2">
      <c r="A131" s="1588" t="s">
        <v>616</v>
      </c>
      <c r="B131" s="1581"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3" t="s">
        <v>1845</v>
      </c>
      <c r="C133" s="467"/>
      <c r="D133" s="467"/>
      <c r="E133" s="1966">
        <v>0</v>
      </c>
      <c r="F133" s="467"/>
      <c r="G133" s="467"/>
      <c r="H133" s="1966">
        <v>0</v>
      </c>
      <c r="I133" s="467"/>
      <c r="J133" s="467"/>
      <c r="K133" s="1793">
        <f>SUM(E133,H133)</f>
        <v>0</v>
      </c>
      <c r="L133" s="1988">
        <v>0</v>
      </c>
      <c r="M133" s="206"/>
      <c r="N133" s="206"/>
    </row>
    <row r="134" spans="1:14" x14ac:dyDescent="0.2">
      <c r="A134" s="1477" t="s">
        <v>304</v>
      </c>
      <c r="B134" s="591">
        <v>4120</v>
      </c>
      <c r="C134" s="593"/>
      <c r="D134" s="593"/>
      <c r="E134" s="474">
        <v>0</v>
      </c>
      <c r="F134" s="593"/>
      <c r="G134" s="593"/>
      <c r="H134" s="477">
        <v>0</v>
      </c>
      <c r="I134" s="473"/>
      <c r="J134" s="593"/>
      <c r="K134" s="1644">
        <f>SUM(E134,H134)</f>
        <v>0</v>
      </c>
      <c r="L134" s="477">
        <v>0</v>
      </c>
    </row>
    <row r="135" spans="1:14" x14ac:dyDescent="0.2">
      <c r="A135" s="1477" t="s">
        <v>697</v>
      </c>
      <c r="B135" s="591">
        <v>4140</v>
      </c>
      <c r="C135" s="593"/>
      <c r="D135" s="593"/>
      <c r="E135" s="1963">
        <v>0</v>
      </c>
      <c r="F135" s="593"/>
      <c r="G135" s="593"/>
      <c r="H135" s="1962">
        <v>0</v>
      </c>
      <c r="I135" s="473"/>
      <c r="J135" s="593"/>
      <c r="K135" s="1644">
        <f>SUM(E135,H135)</f>
        <v>0</v>
      </c>
      <c r="L135" s="1984">
        <v>0</v>
      </c>
    </row>
    <row r="136" spans="1:14" x14ac:dyDescent="0.2">
      <c r="A136" s="1481" t="s">
        <v>698</v>
      </c>
      <c r="B136" s="605">
        <v>4190</v>
      </c>
      <c r="C136" s="593"/>
      <c r="D136" s="593"/>
      <c r="E136" s="1963">
        <v>0</v>
      </c>
      <c r="F136" s="593"/>
      <c r="G136" s="593"/>
      <c r="H136" s="1962">
        <v>9978</v>
      </c>
      <c r="I136" s="473"/>
      <c r="J136" s="593"/>
      <c r="K136" s="1644">
        <f>SUM(E136,H136)</f>
        <v>9978</v>
      </c>
      <c r="L136" s="1984">
        <v>9900</v>
      </c>
    </row>
    <row r="137" spans="1:14" ht="12.75" customHeight="1" thickBot="1" x14ac:dyDescent="0.25">
      <c r="A137" s="1640" t="s">
        <v>480</v>
      </c>
      <c r="B137" s="1650">
        <v>4100</v>
      </c>
      <c r="C137" s="593"/>
      <c r="D137" s="593"/>
      <c r="E137" s="1642">
        <f>SUM(E133:E136)</f>
        <v>0</v>
      </c>
      <c r="F137" s="593"/>
      <c r="G137" s="593"/>
      <c r="H137" s="1642">
        <f>SUM(H133:H136)</f>
        <v>9978</v>
      </c>
      <c r="I137" s="473"/>
      <c r="J137" s="593"/>
      <c r="K137" s="1642">
        <f>SUM(K133:K136)</f>
        <v>9978</v>
      </c>
      <c r="L137" s="1642">
        <f>SUM(L133:L136)</f>
        <v>9900</v>
      </c>
    </row>
    <row r="138" spans="1:14" ht="12.75" customHeight="1" thickTop="1" thickBot="1" x14ac:dyDescent="0.25">
      <c r="A138" s="1483" t="s">
        <v>96</v>
      </c>
      <c r="B138" s="619" t="s">
        <v>931</v>
      </c>
      <c r="C138" s="593"/>
      <c r="D138" s="593"/>
      <c r="E138" s="475"/>
      <c r="F138" s="593"/>
      <c r="G138" s="593"/>
      <c r="H138" s="1975">
        <v>0</v>
      </c>
      <c r="I138" s="473"/>
      <c r="J138" s="593"/>
      <c r="K138" s="1644">
        <f>SUM(E138,H138)</f>
        <v>0</v>
      </c>
      <c r="L138" s="1975">
        <v>0</v>
      </c>
    </row>
    <row r="139" spans="1:14" ht="12.75" customHeight="1" thickTop="1" thickBot="1" x14ac:dyDescent="0.25">
      <c r="A139" s="1640" t="s">
        <v>1487</v>
      </c>
      <c r="B139" s="1650">
        <v>4000</v>
      </c>
      <c r="C139" s="593"/>
      <c r="D139" s="593"/>
      <c r="E139" s="1642">
        <f>SUM(E137,E138)</f>
        <v>0</v>
      </c>
      <c r="F139" s="593"/>
      <c r="G139" s="593"/>
      <c r="H139" s="1651">
        <f>SUM(H137:H138)</f>
        <v>9978</v>
      </c>
      <c r="I139" s="473"/>
      <c r="J139" s="593"/>
      <c r="K139" s="1644">
        <f>SUM(K137,K138)</f>
        <v>9978</v>
      </c>
      <c r="L139" s="1651">
        <f>SUM(L137,L138)</f>
        <v>9900</v>
      </c>
    </row>
    <row r="140" spans="1:14" ht="15.75" customHeight="1" thickTop="1" x14ac:dyDescent="0.2">
      <c r="A140" s="1584" t="s">
        <v>1037</v>
      </c>
      <c r="B140" s="1585"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4">
        <f>SUM(H142)</f>
        <v>0</v>
      </c>
      <c r="L142" s="477">
        <v>0</v>
      </c>
    </row>
    <row r="143" spans="1:14" x14ac:dyDescent="0.2">
      <c r="A143" s="1477" t="s">
        <v>88</v>
      </c>
      <c r="B143" s="591">
        <v>5120</v>
      </c>
      <c r="C143" s="593"/>
      <c r="D143" s="593"/>
      <c r="E143" s="593"/>
      <c r="F143" s="593"/>
      <c r="G143" s="593"/>
      <c r="H143" s="1962">
        <v>0</v>
      </c>
      <c r="I143" s="467"/>
      <c r="J143" s="593"/>
      <c r="K143" s="1644">
        <f>SUM(H143)</f>
        <v>0</v>
      </c>
      <c r="L143" s="1984">
        <v>0</v>
      </c>
    </row>
    <row r="144" spans="1:14" ht="12.75" customHeight="1" x14ac:dyDescent="0.2">
      <c r="A144" s="1477" t="s">
        <v>1170</v>
      </c>
      <c r="B144" s="605" t="s">
        <v>617</v>
      </c>
      <c r="C144" s="593"/>
      <c r="D144" s="593"/>
      <c r="E144" s="593"/>
      <c r="F144" s="593"/>
      <c r="G144" s="593"/>
      <c r="H144" s="1962">
        <v>0</v>
      </c>
      <c r="I144" s="467"/>
      <c r="J144" s="593"/>
      <c r="K144" s="1644">
        <f>SUM(H144)</f>
        <v>0</v>
      </c>
      <c r="L144" s="1984">
        <v>0</v>
      </c>
    </row>
    <row r="145" spans="1:14" x14ac:dyDescent="0.2">
      <c r="A145" s="1477" t="s">
        <v>89</v>
      </c>
      <c r="B145" s="591" t="s">
        <v>589</v>
      </c>
      <c r="C145" s="593"/>
      <c r="D145" s="593"/>
      <c r="E145" s="593"/>
      <c r="F145" s="593"/>
      <c r="G145" s="593"/>
      <c r="H145" s="1962">
        <v>0</v>
      </c>
      <c r="I145" s="467"/>
      <c r="J145" s="593"/>
      <c r="K145" s="1644">
        <f>SUM(H145)</f>
        <v>0</v>
      </c>
      <c r="L145" s="1984">
        <v>0</v>
      </c>
    </row>
    <row r="146" spans="1:14" ht="12.75" customHeight="1" x14ac:dyDescent="0.2">
      <c r="A146" s="1477" t="s">
        <v>619</v>
      </c>
      <c r="B146" s="591" t="s">
        <v>618</v>
      </c>
      <c r="C146" s="593"/>
      <c r="D146" s="593"/>
      <c r="E146" s="593"/>
      <c r="F146" s="593"/>
      <c r="G146" s="593"/>
      <c r="H146" s="1962">
        <v>0</v>
      </c>
      <c r="I146" s="467"/>
      <c r="J146" s="593"/>
      <c r="K146" s="1644">
        <f>SUM(H146)</f>
        <v>0</v>
      </c>
      <c r="L146" s="1984">
        <v>0</v>
      </c>
    </row>
    <row r="147" spans="1:14" ht="12.75" customHeight="1" thickBot="1" x14ac:dyDescent="0.25">
      <c r="A147" s="1488" t="s">
        <v>626</v>
      </c>
      <c r="B147" s="634" t="s">
        <v>718</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1103</v>
      </c>
      <c r="B148" s="636" t="s">
        <v>38</v>
      </c>
      <c r="C148" s="593"/>
      <c r="D148" s="593"/>
      <c r="E148" s="593"/>
      <c r="F148" s="593"/>
      <c r="G148" s="593"/>
      <c r="H148" s="1967">
        <v>0</v>
      </c>
      <c r="I148" s="467"/>
      <c r="J148" s="593"/>
      <c r="K148" s="1644">
        <f>SUM(H148)</f>
        <v>0</v>
      </c>
      <c r="L148" s="1991">
        <v>0</v>
      </c>
    </row>
    <row r="149" spans="1:14" ht="12.75" customHeight="1" thickBot="1" x14ac:dyDescent="0.25">
      <c r="A149" s="1480" t="s">
        <v>638</v>
      </c>
      <c r="B149" s="594" t="s">
        <v>492</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1038</v>
      </c>
      <c r="B150" s="1585" t="s">
        <v>861</v>
      </c>
      <c r="C150" s="593"/>
      <c r="D150" s="593"/>
      <c r="E150" s="593"/>
      <c r="F150" s="593"/>
      <c r="G150" s="593"/>
      <c r="H150" s="637"/>
      <c r="I150" s="514"/>
      <c r="J150" s="593"/>
      <c r="K150" s="600"/>
      <c r="L150" s="1996">
        <v>0</v>
      </c>
    </row>
    <row r="151" spans="1:14" ht="12.75" customHeight="1" thickTop="1" thickBot="1" x14ac:dyDescent="0.25">
      <c r="A151" s="2246" t="s">
        <v>620</v>
      </c>
      <c r="B151" s="2226"/>
      <c r="C151" s="1642">
        <f>SUM(C129,C130,C139,C149,C150)</f>
        <v>332225</v>
      </c>
      <c r="D151" s="1642">
        <f t="shared" ref="D151:K151" si="16">SUM(D129,D130,D139,D149,D150)</f>
        <v>90372</v>
      </c>
      <c r="E151" s="1642">
        <f t="shared" si="16"/>
        <v>209699</v>
      </c>
      <c r="F151" s="1642">
        <f t="shared" si="16"/>
        <v>200082</v>
      </c>
      <c r="G151" s="1642">
        <f t="shared" si="16"/>
        <v>330258</v>
      </c>
      <c r="H151" s="1642">
        <f t="shared" si="16"/>
        <v>9978</v>
      </c>
      <c r="I151" s="1642">
        <f t="shared" si="16"/>
        <v>42854</v>
      </c>
      <c r="J151" s="1642">
        <f t="shared" si="16"/>
        <v>0</v>
      </c>
      <c r="K151" s="1642">
        <f t="shared" si="16"/>
        <v>1215468</v>
      </c>
      <c r="L151" s="1642">
        <f>SUM(L129,L130,L139,L149,L150)</f>
        <v>1418422</v>
      </c>
    </row>
    <row r="152" spans="1:14" ht="12.75" customHeight="1" thickTop="1" x14ac:dyDescent="0.2">
      <c r="A152" s="2249" t="s">
        <v>1178</v>
      </c>
      <c r="B152" s="2250"/>
      <c r="C152" s="595"/>
      <c r="D152" s="595"/>
      <c r="E152" s="595"/>
      <c r="F152" s="595"/>
      <c r="G152" s="595"/>
      <c r="H152" s="595"/>
      <c r="I152" s="595"/>
      <c r="J152" s="593"/>
      <c r="K152" s="1656">
        <f>'Revenues 9-14'!D268-'Expenditures 15-22'!K151</f>
        <v>95990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4" t="s">
        <v>621</v>
      </c>
      <c r="B154" s="2236"/>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1846</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1845</v>
      </c>
      <c r="C157" s="593"/>
      <c r="D157" s="593"/>
      <c r="E157" s="593"/>
      <c r="F157" s="593"/>
      <c r="G157" s="593"/>
      <c r="H157" s="1966">
        <v>0</v>
      </c>
      <c r="I157" s="593"/>
      <c r="J157" s="593"/>
      <c r="K157" s="1643">
        <f>H157</f>
        <v>0</v>
      </c>
      <c r="L157" s="1985">
        <v>0</v>
      </c>
      <c r="M157" s="596"/>
      <c r="N157" s="596"/>
    </row>
    <row r="158" spans="1:14" s="597" customFormat="1" ht="12" x14ac:dyDescent="0.2">
      <c r="A158" s="1798" t="s">
        <v>304</v>
      </c>
      <c r="B158" s="1799" t="s">
        <v>1847</v>
      </c>
      <c r="C158" s="593"/>
      <c r="D158" s="593"/>
      <c r="E158" s="593"/>
      <c r="F158" s="593"/>
      <c r="G158" s="593"/>
      <c r="H158" s="1963">
        <v>0</v>
      </c>
      <c r="I158" s="593"/>
      <c r="J158" s="593"/>
      <c r="K158" s="1643">
        <f>H158</f>
        <v>0</v>
      </c>
      <c r="L158" s="1985">
        <v>0</v>
      </c>
      <c r="M158" s="596"/>
      <c r="N158" s="596"/>
    </row>
    <row r="159" spans="1:14" s="597" customFormat="1" ht="12" x14ac:dyDescent="0.2">
      <c r="A159" s="1798" t="s">
        <v>1848</v>
      </c>
      <c r="B159" s="1799" t="s">
        <v>558</v>
      </c>
      <c r="C159" s="593"/>
      <c r="D159" s="593"/>
      <c r="E159" s="593"/>
      <c r="F159" s="593"/>
      <c r="G159" s="593"/>
      <c r="H159" s="1963">
        <v>0</v>
      </c>
      <c r="I159" s="593"/>
      <c r="J159" s="593"/>
      <c r="K159" s="1643">
        <f>H159</f>
        <v>0</v>
      </c>
      <c r="L159" s="1985">
        <v>0</v>
      </c>
      <c r="M159" s="596"/>
      <c r="N159" s="596"/>
    </row>
    <row r="160" spans="1:14" s="597" customFormat="1" ht="15.75" customHeight="1" thickBot="1" x14ac:dyDescent="0.25">
      <c r="A160" s="1800" t="s">
        <v>1849</v>
      </c>
      <c r="B160" s="1801" t="s">
        <v>860</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2">
        <v>0</v>
      </c>
      <c r="I163" s="593"/>
      <c r="J163" s="593"/>
      <c r="K163" s="1643">
        <f>SUM(C163:J163)</f>
        <v>0</v>
      </c>
      <c r="L163" s="1984">
        <v>0</v>
      </c>
    </row>
    <row r="164" spans="1:14" x14ac:dyDescent="0.2">
      <c r="A164" s="1477" t="s">
        <v>88</v>
      </c>
      <c r="B164" s="591">
        <v>5120</v>
      </c>
      <c r="C164" s="593"/>
      <c r="D164" s="593"/>
      <c r="E164" s="593"/>
      <c r="F164" s="593"/>
      <c r="G164" s="593"/>
      <c r="H164" s="1962">
        <v>0</v>
      </c>
      <c r="I164" s="593"/>
      <c r="J164" s="593"/>
      <c r="K164" s="1643">
        <f>SUM(C164:J164)</f>
        <v>0</v>
      </c>
      <c r="L164" s="1984">
        <v>0</v>
      </c>
    </row>
    <row r="165" spans="1:14" ht="12.75" customHeight="1" x14ac:dyDescent="0.2">
      <c r="A165" s="1477" t="s">
        <v>1170</v>
      </c>
      <c r="B165" s="591" t="s">
        <v>617</v>
      </c>
      <c r="C165" s="593"/>
      <c r="D165" s="593"/>
      <c r="E165" s="593"/>
      <c r="F165" s="593"/>
      <c r="G165" s="593"/>
      <c r="H165" s="1962">
        <v>0</v>
      </c>
      <c r="I165" s="593"/>
      <c r="J165" s="593"/>
      <c r="K165" s="1643">
        <f>SUM(C165:J165)</f>
        <v>0</v>
      </c>
      <c r="L165" s="1984">
        <v>0</v>
      </c>
    </row>
    <row r="166" spans="1:14" x14ac:dyDescent="0.2">
      <c r="A166" s="1477" t="s">
        <v>89</v>
      </c>
      <c r="B166" s="605" t="s">
        <v>589</v>
      </c>
      <c r="C166" s="593"/>
      <c r="D166" s="593"/>
      <c r="E166" s="593"/>
      <c r="F166" s="593"/>
      <c r="G166" s="593"/>
      <c r="H166" s="1962">
        <v>0</v>
      </c>
      <c r="I166" s="593"/>
      <c r="J166" s="593"/>
      <c r="K166" s="1643">
        <f>SUM(C166:J166)</f>
        <v>0</v>
      </c>
      <c r="L166" s="1984">
        <v>0</v>
      </c>
    </row>
    <row r="167" spans="1:14" ht="12.75" customHeight="1" x14ac:dyDescent="0.2">
      <c r="A167" s="1477" t="s">
        <v>619</v>
      </c>
      <c r="B167" s="591" t="s">
        <v>618</v>
      </c>
      <c r="C167" s="593"/>
      <c r="D167" s="593"/>
      <c r="E167" s="593"/>
      <c r="F167" s="593"/>
      <c r="G167" s="593"/>
      <c r="H167" s="1962">
        <v>0</v>
      </c>
      <c r="I167" s="593"/>
      <c r="J167" s="593"/>
      <c r="K167" s="1643">
        <f>SUM(C167:J167)</f>
        <v>0</v>
      </c>
      <c r="L167" s="1984">
        <v>0</v>
      </c>
    </row>
    <row r="168" spans="1:14" ht="13.5" thickBot="1" x14ac:dyDescent="0.25">
      <c r="A168" s="1640" t="s">
        <v>276</v>
      </c>
      <c r="B168" s="1647" t="s">
        <v>718</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78">
        <v>59838</v>
      </c>
      <c r="I169" s="593"/>
      <c r="J169" s="593"/>
      <c r="K169" s="1643">
        <f>SUM(C169:H169)</f>
        <v>59838</v>
      </c>
      <c r="L169" s="1999">
        <v>59837</v>
      </c>
    </row>
    <row r="170" spans="1:14" ht="33.75" customHeight="1" x14ac:dyDescent="0.2">
      <c r="A170" s="644" t="s">
        <v>1670</v>
      </c>
      <c r="B170" s="646" t="s">
        <v>31</v>
      </c>
      <c r="C170" s="593"/>
      <c r="D170" s="593"/>
      <c r="E170" s="593"/>
      <c r="F170" s="593"/>
      <c r="G170" s="593"/>
      <c r="H170" s="1968">
        <v>550000</v>
      </c>
      <c r="I170" s="593"/>
      <c r="J170" s="593"/>
      <c r="K170" s="1643">
        <f>SUM(C170:J170)</f>
        <v>550000</v>
      </c>
      <c r="L170" s="1990">
        <v>550000</v>
      </c>
    </row>
    <row r="171" spans="1:14" ht="15.75" customHeight="1" x14ac:dyDescent="0.2">
      <c r="A171" s="598" t="s">
        <v>766</v>
      </c>
      <c r="B171" s="647" t="s">
        <v>84</v>
      </c>
      <c r="C171" s="593"/>
      <c r="D171" s="593"/>
      <c r="E171" s="1962">
        <v>2475</v>
      </c>
      <c r="F171" s="593"/>
      <c r="G171" s="593"/>
      <c r="H171" s="1968">
        <v>0</v>
      </c>
      <c r="I171" s="473"/>
      <c r="J171" s="593"/>
      <c r="K171" s="1643">
        <f>SUM(C171:J171)</f>
        <v>2475</v>
      </c>
      <c r="L171" s="1990">
        <v>3000</v>
      </c>
    </row>
    <row r="172" spans="1:14" ht="12.75" customHeight="1" thickBot="1" x14ac:dyDescent="0.25">
      <c r="A172" s="1640" t="s">
        <v>638</v>
      </c>
      <c r="B172" s="1641" t="s">
        <v>492</v>
      </c>
      <c r="C172" s="593"/>
      <c r="D172" s="593"/>
      <c r="E172" s="1649">
        <f>SUM(E168,E169,E170,E171)</f>
        <v>2475</v>
      </c>
      <c r="F172" s="593"/>
      <c r="G172" s="593"/>
      <c r="H172" s="1649">
        <f>SUM(H168,H169,H170,H171)</f>
        <v>609838</v>
      </c>
      <c r="I172" s="615"/>
      <c r="J172" s="593"/>
      <c r="K172" s="1649">
        <f>SUM(K168,K169,K170,K171)</f>
        <v>612313</v>
      </c>
      <c r="L172" s="1649">
        <f>SUM(L168,L169,L170,L171)</f>
        <v>612837</v>
      </c>
    </row>
    <row r="173" spans="1:14" ht="15.75" customHeight="1" thickTop="1" thickBot="1" x14ac:dyDescent="0.25">
      <c r="A173" s="1591" t="s">
        <v>85</v>
      </c>
      <c r="B173" s="1583" t="s">
        <v>861</v>
      </c>
      <c r="C173" s="593"/>
      <c r="D173" s="593"/>
      <c r="E173" s="600"/>
      <c r="F173" s="593"/>
      <c r="G173" s="593"/>
      <c r="H173" s="603"/>
      <c r="I173" s="615"/>
      <c r="J173" s="593"/>
      <c r="K173" s="600"/>
      <c r="L173" s="1997">
        <v>0</v>
      </c>
    </row>
    <row r="174" spans="1:14" ht="12.75" customHeight="1" thickTop="1" thickBot="1" x14ac:dyDescent="0.25">
      <c r="A174" s="1661" t="s">
        <v>90</v>
      </c>
      <c r="B174" s="1662"/>
      <c r="C174" s="593"/>
      <c r="D174" s="593"/>
      <c r="E174" s="1649">
        <f>SUM(E172,E173)</f>
        <v>2475</v>
      </c>
      <c r="F174" s="593"/>
      <c r="G174" s="593"/>
      <c r="H174" s="1649">
        <f>SUM(H160,H172,H173)</f>
        <v>609838</v>
      </c>
      <c r="I174" s="615"/>
      <c r="J174" s="593"/>
      <c r="K174" s="1649">
        <f>SUM(K160,K172,K173)</f>
        <v>612313</v>
      </c>
      <c r="L174" s="1649">
        <f>SUM(L160,L172,L173)</f>
        <v>612837</v>
      </c>
    </row>
    <row r="175" spans="1:14" ht="13.5" thickTop="1" x14ac:dyDescent="0.2">
      <c r="A175" s="2229" t="s">
        <v>996</v>
      </c>
      <c r="B175" s="2230"/>
      <c r="C175" s="593"/>
      <c r="D175" s="593"/>
      <c r="E175" s="593"/>
      <c r="F175" s="593"/>
      <c r="G175" s="593"/>
      <c r="H175" s="595"/>
      <c r="I175" s="593"/>
      <c r="J175" s="593"/>
      <c r="K175" s="1656">
        <f>'Revenues 9-14'!E268-'Expenditures 15-22'!K174</f>
        <v>-612280</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3">
        <f>SUM(C180:J180)</f>
        <v>0</v>
      </c>
      <c r="L180" s="1984">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2">
        <v>299950</v>
      </c>
      <c r="D182" s="1962">
        <v>5824</v>
      </c>
      <c r="E182" s="1962">
        <v>151792</v>
      </c>
      <c r="F182" s="1962">
        <v>50288</v>
      </c>
      <c r="G182" s="1962">
        <v>0</v>
      </c>
      <c r="H182" s="1962">
        <v>228</v>
      </c>
      <c r="I182" s="1963">
        <v>17258</v>
      </c>
      <c r="J182" s="1963">
        <v>0</v>
      </c>
      <c r="K182" s="1643">
        <f>SUM(C182:J182)</f>
        <v>525340</v>
      </c>
      <c r="L182" s="1984">
        <v>530830</v>
      </c>
    </row>
    <row r="183" spans="1:14" ht="12.75" customHeight="1" thickBot="1" x14ac:dyDescent="0.25">
      <c r="A183" s="1482" t="s">
        <v>980</v>
      </c>
      <c r="B183" s="652">
        <v>2900</v>
      </c>
      <c r="C183" s="1973">
        <v>0</v>
      </c>
      <c r="D183" s="1973">
        <v>0</v>
      </c>
      <c r="E183" s="1973">
        <v>0</v>
      </c>
      <c r="F183" s="1973">
        <v>0</v>
      </c>
      <c r="G183" s="1973">
        <v>0</v>
      </c>
      <c r="H183" s="1973">
        <v>0</v>
      </c>
      <c r="I183" s="1971">
        <v>0</v>
      </c>
      <c r="J183" s="1971">
        <v>0</v>
      </c>
      <c r="K183" s="1649">
        <f>SUM(C183:J183)</f>
        <v>0</v>
      </c>
      <c r="L183" s="1996">
        <v>0</v>
      </c>
    </row>
    <row r="184" spans="1:14" ht="12.75" customHeight="1" thickTop="1" thickBot="1" x14ac:dyDescent="0.25">
      <c r="A184" s="1663" t="s">
        <v>811</v>
      </c>
      <c r="B184" s="1641" t="s">
        <v>569</v>
      </c>
      <c r="C184" s="1649">
        <f>SUM(C180,C182,C183)</f>
        <v>299950</v>
      </c>
      <c r="D184" s="1649">
        <f t="shared" ref="D184:J184" si="17">SUM(D180,D182,D183)</f>
        <v>5824</v>
      </c>
      <c r="E184" s="1649">
        <f t="shared" si="17"/>
        <v>151792</v>
      </c>
      <c r="F184" s="1649">
        <f t="shared" si="17"/>
        <v>50288</v>
      </c>
      <c r="G184" s="1649">
        <f t="shared" si="17"/>
        <v>0</v>
      </c>
      <c r="H184" s="1649">
        <f t="shared" si="17"/>
        <v>228</v>
      </c>
      <c r="I184" s="1649">
        <f t="shared" si="17"/>
        <v>17258</v>
      </c>
      <c r="J184" s="1649">
        <f t="shared" si="17"/>
        <v>0</v>
      </c>
      <c r="K184" s="1649">
        <f>SUM(K180,K182,K183)</f>
        <v>525340</v>
      </c>
      <c r="L184" s="1649">
        <f>SUM(L180, L182:L183)</f>
        <v>530830</v>
      </c>
    </row>
    <row r="185" spans="1:14" ht="15.75" customHeight="1" thickTop="1" thickBot="1" x14ac:dyDescent="0.25">
      <c r="A185" s="1594" t="s">
        <v>939</v>
      </c>
      <c r="B185" s="1583">
        <v>3000</v>
      </c>
      <c r="C185" s="561"/>
      <c r="D185" s="561"/>
      <c r="E185" s="561"/>
      <c r="F185" s="561"/>
      <c r="G185" s="561"/>
      <c r="H185" s="561"/>
      <c r="I185" s="523"/>
      <c r="J185" s="523"/>
      <c r="K185" s="1642">
        <f>SUM(C185:J185)</f>
        <v>0</v>
      </c>
      <c r="L185" s="1997">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2">
        <v>0</v>
      </c>
      <c r="F188" s="593"/>
      <c r="G188" s="593"/>
      <c r="H188" s="1962">
        <v>0</v>
      </c>
      <c r="I188" s="473"/>
      <c r="J188" s="593"/>
      <c r="K188" s="1643">
        <f t="shared" ref="K188:K193" si="18">SUM(E188,H188)</f>
        <v>0</v>
      </c>
      <c r="L188" s="1984">
        <v>0</v>
      </c>
    </row>
    <row r="189" spans="1:14" x14ac:dyDescent="0.2">
      <c r="A189" s="1477" t="s">
        <v>304</v>
      </c>
      <c r="B189" s="591">
        <v>4120</v>
      </c>
      <c r="C189" s="593"/>
      <c r="D189" s="593"/>
      <c r="E189" s="1962">
        <v>0</v>
      </c>
      <c r="F189" s="593"/>
      <c r="G189" s="593"/>
      <c r="H189" s="1962">
        <v>0</v>
      </c>
      <c r="I189" s="473"/>
      <c r="J189" s="593"/>
      <c r="K189" s="1643">
        <f t="shared" si="18"/>
        <v>0</v>
      </c>
      <c r="L189" s="1984">
        <v>0</v>
      </c>
    </row>
    <row r="190" spans="1:14" x14ac:dyDescent="0.2">
      <c r="A190" s="1477" t="s">
        <v>305</v>
      </c>
      <c r="B190" s="605">
        <v>4130</v>
      </c>
      <c r="C190" s="593"/>
      <c r="D190" s="593"/>
      <c r="E190" s="1962">
        <v>0</v>
      </c>
      <c r="F190" s="593"/>
      <c r="G190" s="593"/>
      <c r="H190" s="1962">
        <v>0</v>
      </c>
      <c r="I190" s="473"/>
      <c r="J190" s="593"/>
      <c r="K190" s="1643">
        <f t="shared" si="18"/>
        <v>0</v>
      </c>
      <c r="L190" s="1984">
        <v>0</v>
      </c>
    </row>
    <row r="191" spans="1:14" x14ac:dyDescent="0.2">
      <c r="A191" s="1477" t="s">
        <v>697</v>
      </c>
      <c r="B191" s="591">
        <v>4140</v>
      </c>
      <c r="C191" s="593"/>
      <c r="D191" s="593"/>
      <c r="E191" s="1962">
        <v>0</v>
      </c>
      <c r="F191" s="593"/>
      <c r="G191" s="593"/>
      <c r="H191" s="1962">
        <v>0</v>
      </c>
      <c r="I191" s="473"/>
      <c r="J191" s="593"/>
      <c r="K191" s="1643">
        <f t="shared" si="18"/>
        <v>0</v>
      </c>
      <c r="L191" s="1984">
        <v>0</v>
      </c>
    </row>
    <row r="192" spans="1:14" x14ac:dyDescent="0.2">
      <c r="A192" s="1477" t="s">
        <v>86</v>
      </c>
      <c r="B192" s="591">
        <v>4170</v>
      </c>
      <c r="C192" s="593"/>
      <c r="D192" s="593"/>
      <c r="E192" s="1962">
        <v>0</v>
      </c>
      <c r="F192" s="593"/>
      <c r="G192" s="593"/>
      <c r="H192" s="1962">
        <v>0</v>
      </c>
      <c r="I192" s="473"/>
      <c r="J192" s="593"/>
      <c r="K192" s="1643">
        <f t="shared" si="18"/>
        <v>0</v>
      </c>
      <c r="L192" s="1984">
        <v>0</v>
      </c>
    </row>
    <row r="193" spans="1:14" x14ac:dyDescent="0.2">
      <c r="A193" s="1481" t="s">
        <v>698</v>
      </c>
      <c r="B193" s="605">
        <v>4190</v>
      </c>
      <c r="C193" s="593"/>
      <c r="D193" s="593"/>
      <c r="E193" s="1962">
        <v>0</v>
      </c>
      <c r="F193" s="593"/>
      <c r="G193" s="593"/>
      <c r="H193" s="1962">
        <v>0</v>
      </c>
      <c r="I193" s="473"/>
      <c r="J193" s="593"/>
      <c r="K193" s="1643">
        <f t="shared" si="18"/>
        <v>0</v>
      </c>
      <c r="L193" s="1984">
        <v>0</v>
      </c>
    </row>
    <row r="194" spans="1:14" ht="12.75" customHeight="1" thickBot="1" x14ac:dyDescent="0.25">
      <c r="A194" s="1640" t="s">
        <v>1140</v>
      </c>
      <c r="B194" s="1641" t="s">
        <v>559</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931</v>
      </c>
      <c r="C195" s="593"/>
      <c r="D195" s="593"/>
      <c r="E195" s="1978">
        <v>0</v>
      </c>
      <c r="F195" s="593"/>
      <c r="G195" s="593"/>
      <c r="H195" s="1978">
        <v>0</v>
      </c>
      <c r="I195" s="473"/>
      <c r="J195" s="593"/>
      <c r="K195" s="1657">
        <f>SUM(E195,H195)</f>
        <v>0</v>
      </c>
      <c r="L195" s="1999">
        <v>0</v>
      </c>
    </row>
    <row r="196" spans="1:14" ht="12.75" customHeight="1" thickBot="1" x14ac:dyDescent="0.25">
      <c r="A196" s="1640" t="s">
        <v>1487</v>
      </c>
      <c r="B196" s="1641" t="s">
        <v>860</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2">
        <v>0</v>
      </c>
      <c r="I199" s="593"/>
      <c r="J199" s="593"/>
      <c r="K199" s="1643">
        <f>SUM(H199)</f>
        <v>0</v>
      </c>
      <c r="L199" s="1984">
        <v>0</v>
      </c>
    </row>
    <row r="200" spans="1:14" x14ac:dyDescent="0.2">
      <c r="A200" s="1477" t="s">
        <v>88</v>
      </c>
      <c r="B200" s="591">
        <v>5120</v>
      </c>
      <c r="C200" s="593"/>
      <c r="D200" s="593"/>
      <c r="E200" s="593"/>
      <c r="F200" s="593"/>
      <c r="G200" s="593"/>
      <c r="H200" s="1962">
        <v>0</v>
      </c>
      <c r="I200" s="593"/>
      <c r="J200" s="593"/>
      <c r="K200" s="1643">
        <f>SUM(H200)</f>
        <v>0</v>
      </c>
      <c r="L200" s="1984">
        <v>0</v>
      </c>
    </row>
    <row r="201" spans="1:14" ht="12.75" customHeight="1" x14ac:dyDescent="0.2">
      <c r="A201" s="1477" t="s">
        <v>1170</v>
      </c>
      <c r="B201" s="605" t="s">
        <v>617</v>
      </c>
      <c r="C201" s="593"/>
      <c r="D201" s="593"/>
      <c r="E201" s="593"/>
      <c r="F201" s="593"/>
      <c r="G201" s="593"/>
      <c r="H201" s="1962">
        <v>0</v>
      </c>
      <c r="I201" s="593"/>
      <c r="J201" s="593"/>
      <c r="K201" s="1643">
        <f>SUM(H201)</f>
        <v>0</v>
      </c>
      <c r="L201" s="1984">
        <v>0</v>
      </c>
    </row>
    <row r="202" spans="1:14" x14ac:dyDescent="0.2">
      <c r="A202" s="1477" t="s">
        <v>89</v>
      </c>
      <c r="B202" s="591" t="s">
        <v>589</v>
      </c>
      <c r="C202" s="593"/>
      <c r="D202" s="593"/>
      <c r="E202" s="593"/>
      <c r="F202" s="593"/>
      <c r="G202" s="593"/>
      <c r="H202" s="1962">
        <v>0</v>
      </c>
      <c r="I202" s="593"/>
      <c r="J202" s="593"/>
      <c r="K202" s="1643">
        <f>SUM(H202)</f>
        <v>0</v>
      </c>
      <c r="L202" s="1984">
        <v>0</v>
      </c>
    </row>
    <row r="203" spans="1:14" x14ac:dyDescent="0.2">
      <c r="A203" s="1489" t="s">
        <v>619</v>
      </c>
      <c r="B203" s="591" t="s">
        <v>618</v>
      </c>
      <c r="C203" s="593"/>
      <c r="D203" s="593"/>
      <c r="E203" s="593"/>
      <c r="F203" s="593"/>
      <c r="G203" s="593"/>
      <c r="H203" s="1964">
        <v>0</v>
      </c>
      <c r="I203" s="593"/>
      <c r="J203" s="593"/>
      <c r="K203" s="1643">
        <f>SUM(H203)</f>
        <v>0</v>
      </c>
      <c r="L203" s="1986">
        <v>0</v>
      </c>
    </row>
    <row r="204" spans="1:14" ht="13.5" thickBot="1" x14ac:dyDescent="0.25">
      <c r="A204" s="1640" t="s">
        <v>276</v>
      </c>
      <c r="B204" s="1641" t="s">
        <v>718</v>
      </c>
      <c r="C204" s="593"/>
      <c r="D204" s="593"/>
      <c r="E204" s="593"/>
      <c r="F204" s="593"/>
      <c r="G204" s="593"/>
      <c r="H204" s="1642">
        <f>SUM(H199:H203)</f>
        <v>0</v>
      </c>
      <c r="I204" s="593"/>
      <c r="J204" s="593"/>
      <c r="K204" s="1642">
        <f>SUM(K199:K203)</f>
        <v>0</v>
      </c>
      <c r="L204" s="1642">
        <f>SUM(L199:L203)</f>
        <v>0</v>
      </c>
    </row>
    <row r="205" spans="1:14" ht="15.75" customHeight="1" thickTop="1" x14ac:dyDescent="0.2">
      <c r="A205" s="654" t="s">
        <v>83</v>
      </c>
      <c r="B205" s="655" t="s">
        <v>38</v>
      </c>
      <c r="C205" s="593"/>
      <c r="D205" s="593"/>
      <c r="E205" s="593"/>
      <c r="F205" s="593"/>
      <c r="G205" s="593"/>
      <c r="H205" s="1972">
        <v>0</v>
      </c>
      <c r="I205" s="593"/>
      <c r="J205" s="593"/>
      <c r="K205" s="1657">
        <f>SUM(H205)</f>
        <v>0</v>
      </c>
      <c r="L205" s="1995">
        <v>0</v>
      </c>
    </row>
    <row r="206" spans="1:14" ht="30" customHeight="1" x14ac:dyDescent="0.2">
      <c r="A206" s="656" t="s">
        <v>1671</v>
      </c>
      <c r="B206" s="647" t="s">
        <v>31</v>
      </c>
      <c r="C206" s="593"/>
      <c r="D206" s="593"/>
      <c r="E206" s="593"/>
      <c r="F206" s="593"/>
      <c r="G206" s="593"/>
      <c r="H206" s="1962">
        <v>0</v>
      </c>
      <c r="I206" s="593"/>
      <c r="J206" s="593"/>
      <c r="K206" s="1643">
        <f>SUM(H206)</f>
        <v>0</v>
      </c>
      <c r="L206" s="1984">
        <v>0</v>
      </c>
    </row>
    <row r="207" spans="1:14" ht="15.75" customHeight="1" x14ac:dyDescent="0.2">
      <c r="A207" s="598" t="s">
        <v>766</v>
      </c>
      <c r="B207" s="647" t="s">
        <v>84</v>
      </c>
      <c r="C207" s="593"/>
      <c r="D207" s="593"/>
      <c r="E207" s="593"/>
      <c r="F207" s="593"/>
      <c r="G207" s="593"/>
      <c r="H207" s="1963">
        <v>0</v>
      </c>
      <c r="I207" s="593"/>
      <c r="J207" s="593"/>
      <c r="K207" s="1643">
        <f>H207</f>
        <v>0</v>
      </c>
      <c r="L207" s="1984">
        <v>0</v>
      </c>
    </row>
    <row r="208" spans="1:14" ht="12.75" customHeight="1" thickBot="1" x14ac:dyDescent="0.25">
      <c r="A208" s="1658" t="s">
        <v>638</v>
      </c>
      <c r="B208" s="1659" t="s">
        <v>492</v>
      </c>
      <c r="C208" s="593"/>
      <c r="D208" s="593"/>
      <c r="E208" s="593"/>
      <c r="F208" s="593"/>
      <c r="G208" s="593"/>
      <c r="H208" s="1649">
        <f>SUM(H204,H205,H206,H207)</f>
        <v>0</v>
      </c>
      <c r="I208" s="593"/>
      <c r="J208" s="593"/>
      <c r="K208" s="1649">
        <f>SUM(K204,K205,K206,K207)</f>
        <v>0</v>
      </c>
      <c r="L208" s="1649">
        <f>SUM(L204,L205,L206,L207)</f>
        <v>0</v>
      </c>
    </row>
    <row r="209" spans="1:14" ht="15.75" customHeight="1" thickTop="1" thickBot="1" x14ac:dyDescent="0.25">
      <c r="A209" s="1578" t="s">
        <v>872</v>
      </c>
      <c r="B209" s="1585" t="s">
        <v>861</v>
      </c>
      <c r="C209" s="600"/>
      <c r="D209" s="600"/>
      <c r="E209" s="600"/>
      <c r="F209" s="600"/>
      <c r="G209" s="600"/>
      <c r="H209" s="600"/>
      <c r="I209" s="593"/>
      <c r="J209" s="593"/>
      <c r="K209" s="600"/>
      <c r="L209" s="1997">
        <v>0</v>
      </c>
    </row>
    <row r="210" spans="1:14" ht="12.75" customHeight="1" thickTop="1" thickBot="1" x14ac:dyDescent="0.25">
      <c r="A210" s="1664" t="s">
        <v>277</v>
      </c>
      <c r="B210" s="1665"/>
      <c r="C210" s="1642">
        <f>SUM(C184,C185)</f>
        <v>299950</v>
      </c>
      <c r="D210" s="1642">
        <f>SUM(D184,D185)</f>
        <v>5824</v>
      </c>
      <c r="E210" s="1642">
        <f>SUM(E184,E185,E196)</f>
        <v>151792</v>
      </c>
      <c r="F210" s="1642">
        <f>SUM(F184,F185)</f>
        <v>50288</v>
      </c>
      <c r="G210" s="1642">
        <f>SUM(G184,G185)</f>
        <v>0</v>
      </c>
      <c r="H210" s="1642">
        <f>SUM(H184,H185,H196,H208,H209)</f>
        <v>228</v>
      </c>
      <c r="I210" s="1642">
        <f>SUM(I184,I185)</f>
        <v>17258</v>
      </c>
      <c r="J210" s="1642">
        <f>SUM(J184,J185)</f>
        <v>0</v>
      </c>
      <c r="K210" s="1643">
        <f>SUM(K184,K185,K196,K208,K209)</f>
        <v>525340</v>
      </c>
      <c r="L210" s="1642">
        <f>SUM(L184,L185,L196,L208,L209)</f>
        <v>530830</v>
      </c>
    </row>
    <row r="211" spans="1:14" ht="13.5" thickTop="1" x14ac:dyDescent="0.2">
      <c r="A211" s="2229" t="s">
        <v>996</v>
      </c>
      <c r="B211" s="2230"/>
      <c r="C211" s="595"/>
      <c r="D211" s="595"/>
      <c r="E211" s="595"/>
      <c r="F211" s="595"/>
      <c r="G211" s="595"/>
      <c r="H211" s="595"/>
      <c r="I211" s="593"/>
      <c r="J211" s="593"/>
      <c r="K211" s="1656">
        <f>'Revenues 9-14'!F268-'Expenditures 15-22'!K210</f>
        <v>288632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1" t="s">
        <v>965</v>
      </c>
      <c r="B213" s="2252"/>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7" t="s">
        <v>961</v>
      </c>
      <c r="B215" s="591">
        <v>1100</v>
      </c>
      <c r="C215" s="593"/>
      <c r="D215" s="1962">
        <v>40682</v>
      </c>
      <c r="E215" s="593"/>
      <c r="F215" s="593"/>
      <c r="G215" s="593"/>
      <c r="H215" s="593"/>
      <c r="I215" s="593"/>
      <c r="J215" s="593"/>
      <c r="K215" s="1643">
        <f>D215</f>
        <v>40682</v>
      </c>
      <c r="L215" s="1984">
        <v>39932</v>
      </c>
    </row>
    <row r="216" spans="1:14" x14ac:dyDescent="0.2">
      <c r="A216" s="1477" t="s">
        <v>163</v>
      </c>
      <c r="B216" s="591" t="s">
        <v>967</v>
      </c>
      <c r="C216" s="593"/>
      <c r="D216" s="1963">
        <v>0</v>
      </c>
      <c r="E216" s="593"/>
      <c r="F216" s="593"/>
      <c r="G216" s="593"/>
      <c r="H216" s="593"/>
      <c r="I216" s="593"/>
      <c r="J216" s="593"/>
      <c r="K216" s="1643">
        <f t="shared" ref="K216:K228" si="19">D216</f>
        <v>0</v>
      </c>
      <c r="L216" s="1984">
        <v>0</v>
      </c>
    </row>
    <row r="217" spans="1:14" x14ac:dyDescent="0.2">
      <c r="A217" s="1477" t="s">
        <v>164</v>
      </c>
      <c r="B217" s="591">
        <v>1200</v>
      </c>
      <c r="C217" s="593"/>
      <c r="D217" s="1962">
        <v>61222</v>
      </c>
      <c r="E217" s="593"/>
      <c r="F217" s="593"/>
      <c r="G217" s="593"/>
      <c r="H217" s="593"/>
      <c r="I217" s="593"/>
      <c r="J217" s="593"/>
      <c r="K217" s="1643">
        <f t="shared" si="19"/>
        <v>61222</v>
      </c>
      <c r="L217" s="1984">
        <v>63843</v>
      </c>
    </row>
    <row r="218" spans="1:14" x14ac:dyDescent="0.2">
      <c r="A218" s="1477" t="s">
        <v>278</v>
      </c>
      <c r="B218" s="591" t="s">
        <v>968</v>
      </c>
      <c r="C218" s="593"/>
      <c r="D218" s="1963">
        <v>11212</v>
      </c>
      <c r="E218" s="593"/>
      <c r="F218" s="593"/>
      <c r="G218" s="593"/>
      <c r="H218" s="593"/>
      <c r="I218" s="593"/>
      <c r="J218" s="593"/>
      <c r="K218" s="1643">
        <f t="shared" si="19"/>
        <v>11212</v>
      </c>
      <c r="L218" s="1984">
        <v>12319</v>
      </c>
    </row>
    <row r="219" spans="1:14" x14ac:dyDescent="0.2">
      <c r="A219" s="1477" t="s">
        <v>279</v>
      </c>
      <c r="B219" s="591">
        <v>1250</v>
      </c>
      <c r="C219" s="593"/>
      <c r="D219" s="1962">
        <v>4261</v>
      </c>
      <c r="E219" s="593"/>
      <c r="F219" s="593"/>
      <c r="G219" s="593"/>
      <c r="H219" s="593"/>
      <c r="I219" s="593"/>
      <c r="J219" s="593"/>
      <c r="K219" s="1643">
        <f t="shared" si="19"/>
        <v>4261</v>
      </c>
      <c r="L219" s="1984">
        <v>6853</v>
      </c>
    </row>
    <row r="220" spans="1:14" x14ac:dyDescent="0.2">
      <c r="A220" s="1477" t="s">
        <v>280</v>
      </c>
      <c r="B220" s="591" t="s">
        <v>161</v>
      </c>
      <c r="C220" s="593"/>
      <c r="D220" s="1963">
        <v>0</v>
      </c>
      <c r="E220" s="593"/>
      <c r="F220" s="593"/>
      <c r="G220" s="593"/>
      <c r="H220" s="593"/>
      <c r="I220" s="593"/>
      <c r="J220" s="593"/>
      <c r="K220" s="1643">
        <f t="shared" si="19"/>
        <v>0</v>
      </c>
      <c r="L220" s="1984">
        <v>0</v>
      </c>
    </row>
    <row r="221" spans="1:14" x14ac:dyDescent="0.2">
      <c r="A221" s="1477" t="s">
        <v>962</v>
      </c>
      <c r="B221" s="591">
        <v>1300</v>
      </c>
      <c r="C221" s="593"/>
      <c r="D221" s="1962">
        <v>0</v>
      </c>
      <c r="E221" s="593"/>
      <c r="F221" s="593"/>
      <c r="G221" s="593"/>
      <c r="H221" s="593"/>
      <c r="I221" s="593"/>
      <c r="J221" s="593"/>
      <c r="K221" s="1643">
        <f t="shared" si="19"/>
        <v>0</v>
      </c>
      <c r="L221" s="1984">
        <v>0</v>
      </c>
    </row>
    <row r="222" spans="1:14" x14ac:dyDescent="0.2">
      <c r="A222" s="1477" t="s">
        <v>723</v>
      </c>
      <c r="B222" s="591">
        <v>1400</v>
      </c>
      <c r="C222" s="593"/>
      <c r="D222" s="1962">
        <v>0</v>
      </c>
      <c r="E222" s="593"/>
      <c r="F222" s="593"/>
      <c r="G222" s="593"/>
      <c r="H222" s="593"/>
      <c r="I222" s="593"/>
      <c r="J222" s="593"/>
      <c r="K222" s="1643">
        <f t="shared" si="19"/>
        <v>0</v>
      </c>
      <c r="L222" s="1984">
        <v>0</v>
      </c>
    </row>
    <row r="223" spans="1:14" x14ac:dyDescent="0.2">
      <c r="A223" s="1477" t="s">
        <v>963</v>
      </c>
      <c r="B223" s="591">
        <v>1500</v>
      </c>
      <c r="C223" s="593"/>
      <c r="D223" s="1962">
        <v>0</v>
      </c>
      <c r="E223" s="593"/>
      <c r="F223" s="593"/>
      <c r="G223" s="593"/>
      <c r="H223" s="593"/>
      <c r="I223" s="593"/>
      <c r="J223" s="593"/>
      <c r="K223" s="1643">
        <f t="shared" si="19"/>
        <v>0</v>
      </c>
      <c r="L223" s="1984">
        <v>115</v>
      </c>
    </row>
    <row r="224" spans="1:14" x14ac:dyDescent="0.2">
      <c r="A224" s="1477" t="s">
        <v>964</v>
      </c>
      <c r="B224" s="591">
        <v>1600</v>
      </c>
      <c r="C224" s="593"/>
      <c r="D224" s="1962">
        <v>922</v>
      </c>
      <c r="E224" s="593"/>
      <c r="F224" s="593"/>
      <c r="G224" s="593"/>
      <c r="H224" s="593"/>
      <c r="I224" s="593"/>
      <c r="J224" s="593"/>
      <c r="K224" s="1643">
        <f t="shared" si="19"/>
        <v>922</v>
      </c>
      <c r="L224" s="1984">
        <v>979</v>
      </c>
    </row>
    <row r="225" spans="1:12" x14ac:dyDescent="0.2">
      <c r="A225" s="1477" t="s">
        <v>987</v>
      </c>
      <c r="B225" s="591">
        <v>1650</v>
      </c>
      <c r="C225" s="593"/>
      <c r="D225" s="1962">
        <v>1627</v>
      </c>
      <c r="E225" s="593"/>
      <c r="F225" s="593"/>
      <c r="G225" s="593"/>
      <c r="H225" s="593"/>
      <c r="I225" s="593"/>
      <c r="J225" s="593"/>
      <c r="K225" s="1643">
        <f t="shared" si="19"/>
        <v>1627</v>
      </c>
      <c r="L225" s="1984">
        <v>1632</v>
      </c>
    </row>
    <row r="226" spans="1:12" x14ac:dyDescent="0.2">
      <c r="A226" s="1477" t="s">
        <v>724</v>
      </c>
      <c r="B226" s="591" t="s">
        <v>162</v>
      </c>
      <c r="C226" s="593"/>
      <c r="D226" s="1963">
        <v>0</v>
      </c>
      <c r="E226" s="593"/>
      <c r="F226" s="593"/>
      <c r="G226" s="593"/>
      <c r="H226" s="593"/>
      <c r="I226" s="593"/>
      <c r="J226" s="593"/>
      <c r="K226" s="1643">
        <f t="shared" si="19"/>
        <v>0</v>
      </c>
      <c r="L226" s="1984">
        <v>0</v>
      </c>
    </row>
    <row r="227" spans="1:12" x14ac:dyDescent="0.2">
      <c r="A227" s="1477" t="s">
        <v>1087</v>
      </c>
      <c r="B227" s="591">
        <v>1800</v>
      </c>
      <c r="C227" s="593"/>
      <c r="D227" s="1962">
        <v>881</v>
      </c>
      <c r="E227" s="593"/>
      <c r="F227" s="593"/>
      <c r="G227" s="593"/>
      <c r="H227" s="593"/>
      <c r="I227" s="593"/>
      <c r="J227" s="593"/>
      <c r="K227" s="1643">
        <f t="shared" si="19"/>
        <v>881</v>
      </c>
      <c r="L227" s="1984">
        <v>886</v>
      </c>
    </row>
    <row r="228" spans="1:12" x14ac:dyDescent="0.2">
      <c r="A228" s="1477" t="s">
        <v>1088</v>
      </c>
      <c r="B228" s="591">
        <v>1900</v>
      </c>
      <c r="C228" s="593"/>
      <c r="D228" s="1962">
        <v>0</v>
      </c>
      <c r="E228" s="593"/>
      <c r="F228" s="593"/>
      <c r="G228" s="593"/>
      <c r="H228" s="593"/>
      <c r="I228" s="593"/>
      <c r="J228" s="593"/>
      <c r="K228" s="1643">
        <f t="shared" si="19"/>
        <v>0</v>
      </c>
      <c r="L228" s="1984">
        <v>0</v>
      </c>
    </row>
    <row r="229" spans="1:12" ht="12.75" customHeight="1" thickBot="1" x14ac:dyDescent="0.25">
      <c r="A229" s="1640" t="s">
        <v>715</v>
      </c>
      <c r="B229" s="1647" t="s">
        <v>570</v>
      </c>
      <c r="C229" s="593"/>
      <c r="D229" s="1642">
        <f>SUM(D215:D228)</f>
        <v>120807</v>
      </c>
      <c r="E229" s="593"/>
      <c r="F229" s="593"/>
      <c r="G229" s="593"/>
      <c r="H229" s="593"/>
      <c r="I229" s="593"/>
      <c r="J229" s="593"/>
      <c r="K229" s="1642">
        <f>SUM(K215:K228)</f>
        <v>120807</v>
      </c>
      <c r="L229" s="1642">
        <f>SUM(L215:L228)</f>
        <v>126559</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2">
        <v>1397</v>
      </c>
      <c r="E232" s="593"/>
      <c r="F232" s="593"/>
      <c r="G232" s="593"/>
      <c r="H232" s="593"/>
      <c r="I232" s="593"/>
      <c r="J232" s="593"/>
      <c r="K232" s="1643">
        <f t="shared" ref="K232:K237" si="20">D232</f>
        <v>1397</v>
      </c>
      <c r="L232" s="1984">
        <v>1534</v>
      </c>
    </row>
    <row r="233" spans="1:12" x14ac:dyDescent="0.2">
      <c r="A233" s="1477" t="s">
        <v>1090</v>
      </c>
      <c r="B233" s="591">
        <v>2120</v>
      </c>
      <c r="C233" s="593"/>
      <c r="D233" s="1962">
        <v>0</v>
      </c>
      <c r="E233" s="593"/>
      <c r="F233" s="593"/>
      <c r="G233" s="593"/>
      <c r="H233" s="593"/>
      <c r="I233" s="593"/>
      <c r="J233" s="593"/>
      <c r="K233" s="1643">
        <f t="shared" si="20"/>
        <v>0</v>
      </c>
      <c r="L233" s="1984">
        <v>0</v>
      </c>
    </row>
    <row r="234" spans="1:12" x14ac:dyDescent="0.2">
      <c r="A234" s="1477" t="s">
        <v>198</v>
      </c>
      <c r="B234" s="591">
        <v>2130</v>
      </c>
      <c r="C234" s="593"/>
      <c r="D234" s="1962">
        <v>10271</v>
      </c>
      <c r="E234" s="593"/>
      <c r="F234" s="593"/>
      <c r="G234" s="593"/>
      <c r="H234" s="593"/>
      <c r="I234" s="593"/>
      <c r="J234" s="593"/>
      <c r="K234" s="1643">
        <f t="shared" si="20"/>
        <v>10271</v>
      </c>
      <c r="L234" s="1984">
        <v>10786</v>
      </c>
    </row>
    <row r="235" spans="1:12" x14ac:dyDescent="0.2">
      <c r="A235" s="1477" t="s">
        <v>199</v>
      </c>
      <c r="B235" s="591">
        <v>2140</v>
      </c>
      <c r="C235" s="593"/>
      <c r="D235" s="1962">
        <v>703</v>
      </c>
      <c r="E235" s="593"/>
      <c r="F235" s="593"/>
      <c r="G235" s="593"/>
      <c r="H235" s="593"/>
      <c r="I235" s="593"/>
      <c r="J235" s="593"/>
      <c r="K235" s="1643">
        <f t="shared" si="20"/>
        <v>703</v>
      </c>
      <c r="L235" s="1984">
        <v>823</v>
      </c>
    </row>
    <row r="236" spans="1:12" x14ac:dyDescent="0.2">
      <c r="A236" s="1477" t="s">
        <v>200</v>
      </c>
      <c r="B236" s="591">
        <v>2150</v>
      </c>
      <c r="C236" s="593"/>
      <c r="D236" s="1962">
        <v>1808</v>
      </c>
      <c r="E236" s="593"/>
      <c r="F236" s="593"/>
      <c r="G236" s="593"/>
      <c r="H236" s="593"/>
      <c r="I236" s="593"/>
      <c r="J236" s="593"/>
      <c r="K236" s="1643">
        <f t="shared" si="20"/>
        <v>1808</v>
      </c>
      <c r="L236" s="1984">
        <v>2290</v>
      </c>
    </row>
    <row r="237" spans="1:12" x14ac:dyDescent="0.2">
      <c r="A237" s="1477" t="s">
        <v>165</v>
      </c>
      <c r="B237" s="591">
        <v>2190</v>
      </c>
      <c r="C237" s="593"/>
      <c r="D237" s="1962">
        <v>0</v>
      </c>
      <c r="E237" s="593"/>
      <c r="F237" s="593"/>
      <c r="G237" s="593"/>
      <c r="H237" s="593"/>
      <c r="I237" s="593"/>
      <c r="J237" s="593"/>
      <c r="K237" s="1643">
        <f t="shared" si="20"/>
        <v>0</v>
      </c>
      <c r="L237" s="1984">
        <v>0</v>
      </c>
    </row>
    <row r="238" spans="1:12" ht="12.75" customHeight="1" thickBot="1" x14ac:dyDescent="0.25">
      <c r="A238" s="1640" t="s">
        <v>560</v>
      </c>
      <c r="B238" s="1647" t="s">
        <v>716</v>
      </c>
      <c r="C238" s="593"/>
      <c r="D238" s="1642">
        <f>SUM(D232:D237)</f>
        <v>14179</v>
      </c>
      <c r="E238" s="593"/>
      <c r="F238" s="593"/>
      <c r="G238" s="593"/>
      <c r="H238" s="593"/>
      <c r="I238" s="593"/>
      <c r="J238" s="593"/>
      <c r="K238" s="1642">
        <f>SUM(K232:K237)</f>
        <v>14179</v>
      </c>
      <c r="L238" s="1642">
        <f>SUM(L232:L237)</f>
        <v>15433</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32</v>
      </c>
      <c r="E240" s="593"/>
      <c r="F240" s="593"/>
      <c r="G240" s="593"/>
      <c r="H240" s="593"/>
      <c r="I240" s="593"/>
      <c r="J240" s="593"/>
      <c r="K240" s="1644">
        <f>D240</f>
        <v>32</v>
      </c>
      <c r="L240" s="477">
        <v>145</v>
      </c>
    </row>
    <row r="241" spans="1:12" x14ac:dyDescent="0.2">
      <c r="A241" s="1477" t="s">
        <v>815</v>
      </c>
      <c r="B241" s="591">
        <v>2220</v>
      </c>
      <c r="C241" s="593"/>
      <c r="D241" s="1962">
        <v>3960</v>
      </c>
      <c r="E241" s="593"/>
      <c r="F241" s="593"/>
      <c r="G241" s="593"/>
      <c r="H241" s="593"/>
      <c r="I241" s="593"/>
      <c r="J241" s="593"/>
      <c r="K241" s="1644">
        <f>D241</f>
        <v>3960</v>
      </c>
      <c r="L241" s="1984">
        <v>4579</v>
      </c>
    </row>
    <row r="242" spans="1:12" x14ac:dyDescent="0.2">
      <c r="A242" s="1477" t="s">
        <v>816</v>
      </c>
      <c r="B242" s="591">
        <v>2230</v>
      </c>
      <c r="C242" s="593"/>
      <c r="D242" s="1962">
        <v>0</v>
      </c>
      <c r="E242" s="593"/>
      <c r="F242" s="593"/>
      <c r="G242" s="593"/>
      <c r="H242" s="593"/>
      <c r="I242" s="593"/>
      <c r="J242" s="593"/>
      <c r="K242" s="1644">
        <f>D242</f>
        <v>0</v>
      </c>
      <c r="L242" s="1984">
        <v>0</v>
      </c>
    </row>
    <row r="243" spans="1:12" ht="12.75" customHeight="1" thickBot="1" x14ac:dyDescent="0.25">
      <c r="A243" s="1666" t="s">
        <v>561</v>
      </c>
      <c r="B243" s="1667">
        <v>2200</v>
      </c>
      <c r="C243" s="593"/>
      <c r="D243" s="1642">
        <f>SUM(D240:D242)</f>
        <v>3992</v>
      </c>
      <c r="E243" s="593"/>
      <c r="F243" s="593"/>
      <c r="G243" s="593"/>
      <c r="H243" s="593"/>
      <c r="I243" s="593"/>
      <c r="J243" s="593"/>
      <c r="K243" s="1642">
        <f>SUM(K240:K242)</f>
        <v>3992</v>
      </c>
      <c r="L243" s="1642">
        <f>SUM(L240:L242)</f>
        <v>4724</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2038</v>
      </c>
      <c r="E245" s="593"/>
      <c r="F245" s="593"/>
      <c r="G245" s="593"/>
      <c r="H245" s="593"/>
      <c r="I245" s="593"/>
      <c r="J245" s="593"/>
      <c r="K245" s="1644">
        <f>D245</f>
        <v>2038</v>
      </c>
      <c r="L245" s="477">
        <v>2319</v>
      </c>
    </row>
    <row r="246" spans="1:12" x14ac:dyDescent="0.2">
      <c r="A246" s="1477" t="s">
        <v>818</v>
      </c>
      <c r="B246" s="591">
        <v>2320</v>
      </c>
      <c r="C246" s="593"/>
      <c r="D246" s="1962">
        <v>11387</v>
      </c>
      <c r="E246" s="593"/>
      <c r="F246" s="593"/>
      <c r="G246" s="593"/>
      <c r="H246" s="593"/>
      <c r="I246" s="593"/>
      <c r="J246" s="593"/>
      <c r="K246" s="1644">
        <f t="shared" ref="K246:K256" si="21">D246</f>
        <v>11387</v>
      </c>
      <c r="L246" s="1984">
        <v>12244</v>
      </c>
    </row>
    <row r="247" spans="1:12" x14ac:dyDescent="0.2">
      <c r="A247" s="1477" t="s">
        <v>819</v>
      </c>
      <c r="B247" s="591">
        <v>2330</v>
      </c>
      <c r="C247" s="593"/>
      <c r="D247" s="1962">
        <v>6712</v>
      </c>
      <c r="E247" s="593"/>
      <c r="F247" s="593"/>
      <c r="G247" s="593"/>
      <c r="H247" s="593"/>
      <c r="I247" s="593"/>
      <c r="J247" s="593"/>
      <c r="K247" s="1644">
        <f t="shared" si="21"/>
        <v>6712</v>
      </c>
      <c r="L247" s="1984">
        <v>7391</v>
      </c>
    </row>
    <row r="248" spans="1:12" x14ac:dyDescent="0.2">
      <c r="A248" s="1478" t="s">
        <v>299</v>
      </c>
      <c r="B248" s="579" t="s">
        <v>281</v>
      </c>
      <c r="C248" s="593"/>
      <c r="D248" s="1965">
        <v>0</v>
      </c>
      <c r="E248" s="593"/>
      <c r="F248" s="593"/>
      <c r="G248" s="593"/>
      <c r="H248" s="593"/>
      <c r="I248" s="593"/>
      <c r="J248" s="593"/>
      <c r="K248" s="1644">
        <f t="shared" si="21"/>
        <v>0</v>
      </c>
      <c r="L248" s="1984">
        <v>0</v>
      </c>
    </row>
    <row r="249" spans="1:12" x14ac:dyDescent="0.2">
      <c r="A249" s="1479" t="s">
        <v>1805</v>
      </c>
      <c r="B249" s="658" t="s">
        <v>282</v>
      </c>
      <c r="C249" s="593"/>
      <c r="D249" s="1965">
        <v>0</v>
      </c>
      <c r="E249" s="593"/>
      <c r="F249" s="593"/>
      <c r="G249" s="593"/>
      <c r="H249" s="593"/>
      <c r="I249" s="593"/>
      <c r="J249" s="593"/>
      <c r="K249" s="1644">
        <f t="shared" si="21"/>
        <v>0</v>
      </c>
      <c r="L249" s="1984">
        <v>0</v>
      </c>
    </row>
    <row r="250" spans="1:12" x14ac:dyDescent="0.2">
      <c r="A250" s="1478" t="s">
        <v>1806</v>
      </c>
      <c r="B250" s="579" t="s">
        <v>283</v>
      </c>
      <c r="C250" s="593"/>
      <c r="D250" s="1965">
        <v>0</v>
      </c>
      <c r="E250" s="593"/>
      <c r="F250" s="593"/>
      <c r="G250" s="593"/>
      <c r="H250" s="593"/>
      <c r="I250" s="593"/>
      <c r="J250" s="593"/>
      <c r="K250" s="1644">
        <f t="shared" si="21"/>
        <v>0</v>
      </c>
      <c r="L250" s="1984">
        <v>0</v>
      </c>
    </row>
    <row r="251" spans="1:12" x14ac:dyDescent="0.2">
      <c r="A251" s="1478" t="s">
        <v>238</v>
      </c>
      <c r="B251" s="579" t="s">
        <v>284</v>
      </c>
      <c r="C251" s="593"/>
      <c r="D251" s="1965">
        <v>0</v>
      </c>
      <c r="E251" s="593"/>
      <c r="F251" s="593"/>
      <c r="G251" s="593"/>
      <c r="H251" s="593"/>
      <c r="I251" s="593"/>
      <c r="J251" s="593"/>
      <c r="K251" s="1644">
        <f t="shared" si="21"/>
        <v>0</v>
      </c>
      <c r="L251" s="1984">
        <v>0</v>
      </c>
    </row>
    <row r="252" spans="1:12" x14ac:dyDescent="0.2">
      <c r="A252" s="1478" t="s">
        <v>702</v>
      </c>
      <c r="B252" s="579" t="s">
        <v>285</v>
      </c>
      <c r="C252" s="593"/>
      <c r="D252" s="1965">
        <v>0</v>
      </c>
      <c r="E252" s="593"/>
      <c r="F252" s="593"/>
      <c r="G252" s="593"/>
      <c r="H252" s="593"/>
      <c r="I252" s="593"/>
      <c r="J252" s="593"/>
      <c r="K252" s="1644">
        <f t="shared" si="21"/>
        <v>0</v>
      </c>
      <c r="L252" s="1984">
        <v>0</v>
      </c>
    </row>
    <row r="253" spans="1:12" x14ac:dyDescent="0.2">
      <c r="A253" s="1478" t="s">
        <v>239</v>
      </c>
      <c r="B253" s="579" t="s">
        <v>286</v>
      </c>
      <c r="C253" s="593"/>
      <c r="D253" s="1965">
        <v>0</v>
      </c>
      <c r="E253" s="593"/>
      <c r="F253" s="593"/>
      <c r="G253" s="593"/>
      <c r="H253" s="593"/>
      <c r="I253" s="593"/>
      <c r="J253" s="593"/>
      <c r="K253" s="1644">
        <f t="shared" si="21"/>
        <v>0</v>
      </c>
      <c r="L253" s="1984">
        <v>0</v>
      </c>
    </row>
    <row r="254" spans="1:12" ht="22.5" x14ac:dyDescent="0.2">
      <c r="A254" s="1478" t="s">
        <v>1029</v>
      </c>
      <c r="B254" s="658" t="s">
        <v>287</v>
      </c>
      <c r="C254" s="593"/>
      <c r="D254" s="1965">
        <v>0</v>
      </c>
      <c r="E254" s="593"/>
      <c r="F254" s="593"/>
      <c r="G254" s="593"/>
      <c r="H254" s="593"/>
      <c r="I254" s="593"/>
      <c r="J254" s="593"/>
      <c r="K254" s="1644">
        <f t="shared" si="21"/>
        <v>0</v>
      </c>
      <c r="L254" s="1984">
        <v>0</v>
      </c>
    </row>
    <row r="255" spans="1:12" x14ac:dyDescent="0.2">
      <c r="A255" s="1478" t="s">
        <v>1030</v>
      </c>
      <c r="B255" s="579" t="s">
        <v>288</v>
      </c>
      <c r="C255" s="593"/>
      <c r="D255" s="1965">
        <v>0</v>
      </c>
      <c r="E255" s="593"/>
      <c r="F255" s="593"/>
      <c r="G255" s="593"/>
      <c r="H255" s="593"/>
      <c r="I255" s="593"/>
      <c r="J255" s="593"/>
      <c r="K255" s="1644">
        <f t="shared" si="21"/>
        <v>0</v>
      </c>
      <c r="L255" s="1984">
        <v>0</v>
      </c>
    </row>
    <row r="256" spans="1:12" x14ac:dyDescent="0.2">
      <c r="A256" s="1478" t="s">
        <v>971</v>
      </c>
      <c r="B256" s="591" t="s">
        <v>289</v>
      </c>
      <c r="C256" s="593"/>
      <c r="D256" s="1965">
        <v>0</v>
      </c>
      <c r="E256" s="593"/>
      <c r="F256" s="593"/>
      <c r="G256" s="593"/>
      <c r="H256" s="593"/>
      <c r="I256" s="593"/>
      <c r="J256" s="593"/>
      <c r="K256" s="1644">
        <f t="shared" si="21"/>
        <v>0</v>
      </c>
      <c r="L256" s="1984">
        <v>0</v>
      </c>
    </row>
    <row r="257" spans="1:14" ht="12.75" customHeight="1" thickBot="1" x14ac:dyDescent="0.25">
      <c r="A257" s="1640" t="s">
        <v>717</v>
      </c>
      <c r="B257" s="1668">
        <v>2300</v>
      </c>
      <c r="C257" s="593"/>
      <c r="D257" s="1642">
        <f>SUM(D245:D256)</f>
        <v>20137</v>
      </c>
      <c r="E257" s="593"/>
      <c r="F257" s="593"/>
      <c r="G257" s="593"/>
      <c r="H257" s="593"/>
      <c r="I257" s="593"/>
      <c r="J257" s="593"/>
      <c r="K257" s="1642">
        <f>SUM(K245:K256)</f>
        <v>20137</v>
      </c>
      <c r="L257" s="1642">
        <f>SUM(L245:L256)</f>
        <v>21954</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11510</v>
      </c>
      <c r="E259" s="593"/>
      <c r="F259" s="593"/>
      <c r="G259" s="593"/>
      <c r="H259" s="593"/>
      <c r="I259" s="593"/>
      <c r="J259" s="593"/>
      <c r="K259" s="1644">
        <f>D259</f>
        <v>11510</v>
      </c>
      <c r="L259" s="477">
        <v>13188</v>
      </c>
    </row>
    <row r="260" spans="1:14" s="574" customFormat="1" x14ac:dyDescent="0.2">
      <c r="A260" s="1495" t="s">
        <v>1804</v>
      </c>
      <c r="B260" s="605">
        <v>2490</v>
      </c>
      <c r="C260" s="593"/>
      <c r="D260" s="1962">
        <v>0</v>
      </c>
      <c r="E260" s="593"/>
      <c r="F260" s="593"/>
      <c r="G260" s="593"/>
      <c r="H260" s="593"/>
      <c r="I260" s="593"/>
      <c r="J260" s="593"/>
      <c r="K260" s="1644">
        <f>D260</f>
        <v>0</v>
      </c>
      <c r="L260" s="1984">
        <v>0</v>
      </c>
      <c r="M260" s="210"/>
      <c r="N260" s="210"/>
    </row>
    <row r="261" spans="1:14" ht="12.75" customHeight="1" thickBot="1" x14ac:dyDescent="0.25">
      <c r="A261" s="1664" t="s">
        <v>263</v>
      </c>
      <c r="B261" s="1669" t="s">
        <v>34</v>
      </c>
      <c r="C261" s="593"/>
      <c r="D261" s="1642">
        <f>SUM(D259:D260)</f>
        <v>11510</v>
      </c>
      <c r="E261" s="593"/>
      <c r="F261" s="593"/>
      <c r="G261" s="593"/>
      <c r="H261" s="593"/>
      <c r="I261" s="593"/>
      <c r="J261" s="593"/>
      <c r="K261" s="1642">
        <f>SUM(K259:K260)</f>
        <v>11510</v>
      </c>
      <c r="L261" s="1642">
        <f>SUM(L259:L260)</f>
        <v>13188</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2">
        <v>18348</v>
      </c>
      <c r="E263" s="593"/>
      <c r="F263" s="593"/>
      <c r="G263" s="593"/>
      <c r="H263" s="593"/>
      <c r="I263" s="593"/>
      <c r="J263" s="593"/>
      <c r="K263" s="1644">
        <f>D263</f>
        <v>18348</v>
      </c>
      <c r="L263" s="477">
        <v>20873</v>
      </c>
    </row>
    <row r="264" spans="1:14" x14ac:dyDescent="0.2">
      <c r="A264" s="1477" t="s">
        <v>463</v>
      </c>
      <c r="B264" s="660">
        <v>2520</v>
      </c>
      <c r="C264" s="593"/>
      <c r="D264" s="1962">
        <v>18282</v>
      </c>
      <c r="E264" s="593"/>
      <c r="F264" s="593"/>
      <c r="G264" s="593"/>
      <c r="H264" s="593"/>
      <c r="I264" s="593"/>
      <c r="J264" s="593"/>
      <c r="K264" s="1644">
        <f t="shared" ref="K264:K269" si="22">D264</f>
        <v>18282</v>
      </c>
      <c r="L264" s="1984">
        <v>19667</v>
      </c>
    </row>
    <row r="265" spans="1:14" x14ac:dyDescent="0.2">
      <c r="A265" s="1477" t="s">
        <v>4</v>
      </c>
      <c r="B265" s="591">
        <v>2530</v>
      </c>
      <c r="C265" s="593"/>
      <c r="D265" s="1962">
        <v>0</v>
      </c>
      <c r="E265" s="593"/>
      <c r="F265" s="593"/>
      <c r="G265" s="593"/>
      <c r="H265" s="593"/>
      <c r="I265" s="593"/>
      <c r="J265" s="593"/>
      <c r="K265" s="1644">
        <f t="shared" si="22"/>
        <v>0</v>
      </c>
      <c r="L265" s="1984">
        <v>0</v>
      </c>
    </row>
    <row r="266" spans="1:14" x14ac:dyDescent="0.2">
      <c r="A266" s="1477" t="s">
        <v>197</v>
      </c>
      <c r="B266" s="591">
        <v>2540</v>
      </c>
      <c r="C266" s="593"/>
      <c r="D266" s="1962">
        <v>50004</v>
      </c>
      <c r="E266" s="593"/>
      <c r="F266" s="593"/>
      <c r="G266" s="593"/>
      <c r="H266" s="593"/>
      <c r="I266" s="593"/>
      <c r="J266" s="593"/>
      <c r="K266" s="1644">
        <f t="shared" si="22"/>
        <v>50004</v>
      </c>
      <c r="L266" s="1984">
        <v>51734</v>
      </c>
    </row>
    <row r="267" spans="1:14" x14ac:dyDescent="0.2">
      <c r="A267" s="1477" t="s">
        <v>953</v>
      </c>
      <c r="B267" s="591">
        <v>2550</v>
      </c>
      <c r="C267" s="593"/>
      <c r="D267" s="1962">
        <v>51265</v>
      </c>
      <c r="E267" s="593"/>
      <c r="F267" s="593"/>
      <c r="G267" s="593"/>
      <c r="H267" s="593"/>
      <c r="I267" s="593"/>
      <c r="J267" s="593"/>
      <c r="K267" s="1644">
        <f t="shared" si="22"/>
        <v>51265</v>
      </c>
      <c r="L267" s="1984">
        <v>54767</v>
      </c>
    </row>
    <row r="268" spans="1:14" x14ac:dyDescent="0.2">
      <c r="A268" s="1477" t="s">
        <v>100</v>
      </c>
      <c r="B268" s="591">
        <v>2560</v>
      </c>
      <c r="C268" s="593"/>
      <c r="D268" s="1962">
        <v>2281</v>
      </c>
      <c r="E268" s="593"/>
      <c r="F268" s="593"/>
      <c r="G268" s="593"/>
      <c r="H268" s="593"/>
      <c r="I268" s="593"/>
      <c r="J268" s="593"/>
      <c r="K268" s="1644">
        <f t="shared" si="22"/>
        <v>2281</v>
      </c>
      <c r="L268" s="1984">
        <v>3465</v>
      </c>
    </row>
    <row r="269" spans="1:14" x14ac:dyDescent="0.2">
      <c r="A269" s="1477" t="s">
        <v>101</v>
      </c>
      <c r="B269" s="591">
        <v>2570</v>
      </c>
      <c r="C269" s="593"/>
      <c r="D269" s="1962">
        <v>0</v>
      </c>
      <c r="E269" s="593"/>
      <c r="F269" s="593"/>
      <c r="G269" s="593"/>
      <c r="H269" s="593"/>
      <c r="I269" s="593"/>
      <c r="J269" s="593"/>
      <c r="K269" s="1644">
        <f t="shared" si="22"/>
        <v>0</v>
      </c>
      <c r="L269" s="1984">
        <v>0</v>
      </c>
    </row>
    <row r="270" spans="1:14" ht="12.75" customHeight="1" thickBot="1" x14ac:dyDescent="0.25">
      <c r="A270" s="1640" t="s">
        <v>719</v>
      </c>
      <c r="B270" s="1647" t="s">
        <v>35</v>
      </c>
      <c r="C270" s="593"/>
      <c r="D270" s="1642">
        <f>SUM(D263:D269)</f>
        <v>140180</v>
      </c>
      <c r="E270" s="593"/>
      <c r="F270" s="593"/>
      <c r="G270" s="593"/>
      <c r="H270" s="593"/>
      <c r="I270" s="593"/>
      <c r="J270" s="593"/>
      <c r="K270" s="1642">
        <f>SUM(K263:K269)</f>
        <v>140180</v>
      </c>
      <c r="L270" s="1642">
        <f>SUM(L263:L269)</f>
        <v>150506</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4">
        <f>D272</f>
        <v>0</v>
      </c>
      <c r="L272" s="477">
        <v>0</v>
      </c>
    </row>
    <row r="273" spans="1:12" x14ac:dyDescent="0.2">
      <c r="A273" s="1477" t="s">
        <v>607</v>
      </c>
      <c r="B273" s="605">
        <v>2620</v>
      </c>
      <c r="C273" s="593"/>
      <c r="D273" s="1962">
        <v>0</v>
      </c>
      <c r="E273" s="593"/>
      <c r="F273" s="593"/>
      <c r="G273" s="593"/>
      <c r="H273" s="593"/>
      <c r="I273" s="593"/>
      <c r="J273" s="593"/>
      <c r="K273" s="1644">
        <f>D273</f>
        <v>0</v>
      </c>
      <c r="L273" s="1984">
        <v>0</v>
      </c>
    </row>
    <row r="274" spans="1:12" ht="12" customHeight="1" x14ac:dyDescent="0.2">
      <c r="A274" s="1477" t="s">
        <v>1061</v>
      </c>
      <c r="B274" s="591">
        <v>2630</v>
      </c>
      <c r="C274" s="593"/>
      <c r="D274" s="1962">
        <v>0</v>
      </c>
      <c r="E274" s="593"/>
      <c r="F274" s="593"/>
      <c r="G274" s="593"/>
      <c r="H274" s="593"/>
      <c r="I274" s="593"/>
      <c r="J274" s="593"/>
      <c r="K274" s="1644">
        <f>D274</f>
        <v>0</v>
      </c>
      <c r="L274" s="1984">
        <v>0</v>
      </c>
    </row>
    <row r="275" spans="1:12" x14ac:dyDescent="0.2">
      <c r="A275" s="1477" t="s">
        <v>403</v>
      </c>
      <c r="B275" s="591">
        <v>2640</v>
      </c>
      <c r="C275" s="593"/>
      <c r="D275" s="1962">
        <v>0</v>
      </c>
      <c r="E275" s="593"/>
      <c r="F275" s="593"/>
      <c r="G275" s="593"/>
      <c r="H275" s="593"/>
      <c r="I275" s="593"/>
      <c r="J275" s="593"/>
      <c r="K275" s="1644">
        <f>D275</f>
        <v>0</v>
      </c>
      <c r="L275" s="1984">
        <v>0</v>
      </c>
    </row>
    <row r="276" spans="1:12" x14ac:dyDescent="0.2">
      <c r="A276" s="1477" t="s">
        <v>404</v>
      </c>
      <c r="B276" s="591">
        <v>2660</v>
      </c>
      <c r="C276" s="593"/>
      <c r="D276" s="1962">
        <v>15115</v>
      </c>
      <c r="E276" s="593"/>
      <c r="F276" s="593"/>
      <c r="G276" s="593"/>
      <c r="H276" s="593"/>
      <c r="I276" s="593"/>
      <c r="J276" s="593"/>
      <c r="K276" s="1644">
        <f>D276</f>
        <v>15115</v>
      </c>
      <c r="L276" s="1984">
        <v>15336</v>
      </c>
    </row>
    <row r="277" spans="1:12" ht="12.75" customHeight="1" thickBot="1" x14ac:dyDescent="0.25">
      <c r="A277" s="1663" t="s">
        <v>37</v>
      </c>
      <c r="B277" s="1641" t="s">
        <v>36</v>
      </c>
      <c r="C277" s="593"/>
      <c r="D277" s="1642">
        <f>SUM(D272:D276)</f>
        <v>15115</v>
      </c>
      <c r="E277" s="593"/>
      <c r="F277" s="593"/>
      <c r="G277" s="593"/>
      <c r="H277" s="593"/>
      <c r="I277" s="593"/>
      <c r="J277" s="593"/>
      <c r="K277" s="1642">
        <f>SUM(K272:K276)</f>
        <v>15115</v>
      </c>
      <c r="L277" s="1642">
        <f>SUM(L272:L276)</f>
        <v>15336</v>
      </c>
    </row>
    <row r="278" spans="1:12" ht="13.5" customHeight="1" thickTop="1" x14ac:dyDescent="0.2">
      <c r="A278" s="1483" t="s">
        <v>980</v>
      </c>
      <c r="B278" s="631" t="s">
        <v>574</v>
      </c>
      <c r="C278" s="593"/>
      <c r="D278" s="1978">
        <v>0</v>
      </c>
      <c r="E278" s="593"/>
      <c r="F278" s="593"/>
      <c r="G278" s="593"/>
      <c r="H278" s="593"/>
      <c r="I278" s="593"/>
      <c r="J278" s="593"/>
      <c r="K278" s="1657">
        <f>D278</f>
        <v>0</v>
      </c>
      <c r="L278" s="1999">
        <v>0</v>
      </c>
    </row>
    <row r="279" spans="1:12" ht="12.75" customHeight="1" thickBot="1" x14ac:dyDescent="0.25">
      <c r="A279" s="1670" t="s">
        <v>811</v>
      </c>
      <c r="B279" s="1653">
        <v>2000</v>
      </c>
      <c r="C279" s="593"/>
      <c r="D279" s="1649">
        <f>SUM(D238,D243,D257,D261,D270,D277,D278)</f>
        <v>205113</v>
      </c>
      <c r="E279" s="593"/>
      <c r="F279" s="593"/>
      <c r="G279" s="593"/>
      <c r="H279" s="593"/>
      <c r="I279" s="593"/>
      <c r="J279" s="593"/>
      <c r="K279" s="1649">
        <f>SUM(K238,K243,K257,K261,K270,K277,K278)</f>
        <v>205113</v>
      </c>
      <c r="L279" s="1649">
        <f>SUM(L238,L243,L257,L261,L270,L277,L278)</f>
        <v>221141</v>
      </c>
    </row>
    <row r="280" spans="1:12" ht="15.75" customHeight="1" thickTop="1" thickBot="1" x14ac:dyDescent="0.25">
      <c r="A280" s="1596" t="s">
        <v>875</v>
      </c>
      <c r="B280" s="1585">
        <v>3000</v>
      </c>
      <c r="C280" s="593"/>
      <c r="D280" s="1975">
        <v>0</v>
      </c>
      <c r="E280" s="593"/>
      <c r="F280" s="593"/>
      <c r="G280" s="593"/>
      <c r="H280" s="593"/>
      <c r="I280" s="593"/>
      <c r="J280" s="593"/>
      <c r="K280" s="1651">
        <f>D280</f>
        <v>0</v>
      </c>
      <c r="L280" s="1997">
        <v>0</v>
      </c>
    </row>
    <row r="281" spans="1:12" ht="15.75" customHeight="1" thickTop="1" x14ac:dyDescent="0.2">
      <c r="A281" s="1586" t="s">
        <v>142</v>
      </c>
      <c r="B281" s="1587" t="s">
        <v>860</v>
      </c>
      <c r="C281" s="593"/>
      <c r="D281" s="554"/>
      <c r="E281" s="593"/>
      <c r="F281" s="593"/>
      <c r="G281" s="593"/>
      <c r="H281" s="593"/>
      <c r="I281" s="593"/>
      <c r="J281" s="593"/>
      <c r="K281" s="593"/>
      <c r="L281" s="593"/>
    </row>
    <row r="282" spans="1:12" ht="15.75" customHeight="1" x14ac:dyDescent="0.2">
      <c r="A282" s="1802" t="s">
        <v>496</v>
      </c>
      <c r="B282" s="665" t="s">
        <v>1845</v>
      </c>
      <c r="C282" s="593"/>
      <c r="D282" s="1963">
        <v>0</v>
      </c>
      <c r="E282" s="593"/>
      <c r="F282" s="593"/>
      <c r="G282" s="593"/>
      <c r="H282" s="593"/>
      <c r="I282" s="593"/>
      <c r="J282" s="593"/>
      <c r="K282" s="1643">
        <f>D282</f>
        <v>0</v>
      </c>
      <c r="L282" s="1985">
        <v>0</v>
      </c>
    </row>
    <row r="283" spans="1:12" x14ac:dyDescent="0.2">
      <c r="A283" s="1477" t="s">
        <v>304</v>
      </c>
      <c r="B283" s="591">
        <v>4120</v>
      </c>
      <c r="C283" s="593"/>
      <c r="D283" s="1962">
        <v>0</v>
      </c>
      <c r="E283" s="593"/>
      <c r="F283" s="593"/>
      <c r="G283" s="593"/>
      <c r="H283" s="593"/>
      <c r="I283" s="593"/>
      <c r="J283" s="593"/>
      <c r="K283" s="1643">
        <f>D283</f>
        <v>0</v>
      </c>
      <c r="L283" s="1984">
        <v>0</v>
      </c>
    </row>
    <row r="284" spans="1:12" x14ac:dyDescent="0.2">
      <c r="A284" s="1477" t="s">
        <v>697</v>
      </c>
      <c r="B284" s="591">
        <v>4140</v>
      </c>
      <c r="C284" s="593"/>
      <c r="D284" s="1963">
        <v>0</v>
      </c>
      <c r="E284" s="593"/>
      <c r="F284" s="593"/>
      <c r="G284" s="593"/>
      <c r="H284" s="593"/>
      <c r="I284" s="593"/>
      <c r="J284" s="593"/>
      <c r="K284" s="1643">
        <f>D284</f>
        <v>0</v>
      </c>
      <c r="L284" s="1984">
        <v>0</v>
      </c>
    </row>
    <row r="285" spans="1:12" ht="12.75" customHeight="1" thickBot="1" x14ac:dyDescent="0.25">
      <c r="A285" s="1640" t="s">
        <v>1487</v>
      </c>
      <c r="B285" s="1641" t="s">
        <v>860</v>
      </c>
      <c r="C285" s="593"/>
      <c r="D285" s="1642">
        <f>SUM(D282:D284)</f>
        <v>0</v>
      </c>
      <c r="E285" s="593"/>
      <c r="F285" s="593"/>
      <c r="G285" s="593"/>
      <c r="H285" s="593"/>
      <c r="I285" s="593"/>
      <c r="J285" s="593"/>
      <c r="K285" s="1642">
        <f>SUM(K282:K284)</f>
        <v>0</v>
      </c>
      <c r="L285" s="1642">
        <f>SUM(L282:L284)</f>
        <v>0</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2">
        <v>0</v>
      </c>
      <c r="I288" s="593"/>
      <c r="J288" s="593"/>
      <c r="K288" s="1643">
        <f>H288</f>
        <v>0</v>
      </c>
      <c r="L288" s="1984">
        <v>0</v>
      </c>
    </row>
    <row r="289" spans="1:14" x14ac:dyDescent="0.2">
      <c r="A289" s="1477" t="s">
        <v>88</v>
      </c>
      <c r="B289" s="591">
        <v>5120</v>
      </c>
      <c r="C289" s="593"/>
      <c r="D289" s="593"/>
      <c r="E289" s="593"/>
      <c r="F289" s="593"/>
      <c r="G289" s="593"/>
      <c r="H289" s="1962">
        <v>0</v>
      </c>
      <c r="I289" s="593"/>
      <c r="J289" s="593"/>
      <c r="K289" s="1643">
        <f>H289</f>
        <v>0</v>
      </c>
      <c r="L289" s="1984">
        <v>0</v>
      </c>
    </row>
    <row r="290" spans="1:14" ht="12.75" customHeight="1" x14ac:dyDescent="0.2">
      <c r="A290" s="1477" t="s">
        <v>1170</v>
      </c>
      <c r="B290" s="605" t="s">
        <v>617</v>
      </c>
      <c r="C290" s="593"/>
      <c r="D290" s="593"/>
      <c r="E290" s="593"/>
      <c r="F290" s="593"/>
      <c r="G290" s="593"/>
      <c r="H290" s="1962">
        <v>0</v>
      </c>
      <c r="I290" s="593"/>
      <c r="J290" s="593"/>
      <c r="K290" s="1643">
        <f>H290</f>
        <v>0</v>
      </c>
      <c r="L290" s="1984">
        <v>0</v>
      </c>
    </row>
    <row r="291" spans="1:14" x14ac:dyDescent="0.2">
      <c r="A291" s="1477" t="s">
        <v>89</v>
      </c>
      <c r="B291" s="591" t="s">
        <v>589</v>
      </c>
      <c r="C291" s="593"/>
      <c r="D291" s="593"/>
      <c r="E291" s="593"/>
      <c r="F291" s="593"/>
      <c r="G291" s="593"/>
      <c r="H291" s="1962">
        <v>0</v>
      </c>
      <c r="I291" s="593"/>
      <c r="J291" s="593"/>
      <c r="K291" s="1643">
        <f>H291</f>
        <v>0</v>
      </c>
      <c r="L291" s="1984">
        <v>0</v>
      </c>
    </row>
    <row r="292" spans="1:14" x14ac:dyDescent="0.2">
      <c r="A292" s="1477" t="s">
        <v>762</v>
      </c>
      <c r="B292" s="591" t="s">
        <v>618</v>
      </c>
      <c r="C292" s="593"/>
      <c r="D292" s="593"/>
      <c r="E292" s="593"/>
      <c r="F292" s="593"/>
      <c r="G292" s="593"/>
      <c r="H292" s="1962">
        <v>0</v>
      </c>
      <c r="I292" s="593"/>
      <c r="J292" s="593"/>
      <c r="K292" s="1643">
        <f>H292</f>
        <v>0</v>
      </c>
      <c r="L292" s="1984">
        <v>0</v>
      </c>
    </row>
    <row r="293" spans="1:14" ht="12.75" customHeight="1" thickBot="1" x14ac:dyDescent="0.25">
      <c r="A293" s="1640" t="s">
        <v>484</v>
      </c>
      <c r="B293" s="1641" t="s">
        <v>492</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1998">
        <v>0</v>
      </c>
    </row>
    <row r="295" spans="1:14" ht="12.75" customHeight="1" thickTop="1" thickBot="1" x14ac:dyDescent="0.25">
      <c r="A295" s="2247" t="s">
        <v>505</v>
      </c>
      <c r="B295" s="2248"/>
      <c r="C295" s="593"/>
      <c r="D295" s="1642">
        <f>SUM(D229,D279,D280,D285)</f>
        <v>325920</v>
      </c>
      <c r="E295" s="593"/>
      <c r="F295" s="593"/>
      <c r="G295" s="593"/>
      <c r="H295" s="1642">
        <f>H293</f>
        <v>0</v>
      </c>
      <c r="I295" s="593"/>
      <c r="J295" s="593"/>
      <c r="K295" s="1642">
        <f>SUM(K229,K279,K280,K285,K293,K294)</f>
        <v>325920</v>
      </c>
      <c r="L295" s="1642">
        <f>SUM(L229,L279,L280,L285,L293,L294)</f>
        <v>347700</v>
      </c>
    </row>
    <row r="296" spans="1:14" ht="13.5" thickTop="1" x14ac:dyDescent="0.2">
      <c r="A296" s="2229" t="s">
        <v>996</v>
      </c>
      <c r="B296" s="2230"/>
      <c r="C296" s="593"/>
      <c r="D296" s="595"/>
      <c r="E296" s="593"/>
      <c r="F296" s="593"/>
      <c r="G296" s="593"/>
      <c r="H296" s="662"/>
      <c r="I296" s="593"/>
      <c r="J296" s="593"/>
      <c r="K296" s="1656">
        <f>'Revenues 9-14'!G268-'Expenditures 15-22'!K295</f>
        <v>47135</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9" t="s">
        <v>143</v>
      </c>
      <c r="B298" s="2233"/>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2">
        <v>0</v>
      </c>
      <c r="D301" s="1962">
        <v>0</v>
      </c>
      <c r="E301" s="1962">
        <v>15</v>
      </c>
      <c r="F301" s="1962">
        <v>0</v>
      </c>
      <c r="G301" s="1962">
        <v>522314</v>
      </c>
      <c r="H301" s="1962">
        <v>0</v>
      </c>
      <c r="I301" s="1963">
        <v>0</v>
      </c>
      <c r="J301" s="1963">
        <v>0</v>
      </c>
      <c r="K301" s="1643">
        <f>SUM(C301:J301)</f>
        <v>522329</v>
      </c>
      <c r="L301" s="1985">
        <v>173087</v>
      </c>
    </row>
    <row r="302" spans="1:14" ht="13.5" customHeight="1" x14ac:dyDescent="0.2">
      <c r="A302" s="1490" t="s">
        <v>980</v>
      </c>
      <c r="B302" s="591" t="s">
        <v>574</v>
      </c>
      <c r="C302" s="1962">
        <v>0</v>
      </c>
      <c r="D302" s="1962">
        <v>0</v>
      </c>
      <c r="E302" s="1962">
        <v>0</v>
      </c>
      <c r="F302" s="1962">
        <v>0</v>
      </c>
      <c r="G302" s="1962">
        <v>0</v>
      </c>
      <c r="H302" s="1962">
        <v>0</v>
      </c>
      <c r="I302" s="1963">
        <v>0</v>
      </c>
      <c r="J302" s="1963">
        <v>0</v>
      </c>
      <c r="K302" s="1643">
        <f>SUM(C302:J302)</f>
        <v>0</v>
      </c>
      <c r="L302" s="1984">
        <v>0</v>
      </c>
    </row>
    <row r="303" spans="1:14" ht="12.75" customHeight="1" thickBot="1" x14ac:dyDescent="0.25">
      <c r="A303" s="1640" t="s">
        <v>811</v>
      </c>
      <c r="B303" s="1641" t="s">
        <v>569</v>
      </c>
      <c r="C303" s="1649">
        <f>SUM(C301:C302)</f>
        <v>0</v>
      </c>
      <c r="D303" s="1649">
        <f t="shared" ref="D303:L303" si="23">SUM(D301:D302)</f>
        <v>0</v>
      </c>
      <c r="E303" s="1649">
        <f t="shared" si="23"/>
        <v>15</v>
      </c>
      <c r="F303" s="1649">
        <f t="shared" si="23"/>
        <v>0</v>
      </c>
      <c r="G303" s="1649">
        <f t="shared" si="23"/>
        <v>522314</v>
      </c>
      <c r="H303" s="1649">
        <f t="shared" si="23"/>
        <v>0</v>
      </c>
      <c r="I303" s="1649">
        <f t="shared" si="23"/>
        <v>0</v>
      </c>
      <c r="J303" s="1649">
        <f t="shared" si="23"/>
        <v>0</v>
      </c>
      <c r="K303" s="1649">
        <f t="shared" si="23"/>
        <v>522329</v>
      </c>
      <c r="L303" s="1649">
        <f t="shared" si="23"/>
        <v>173087</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3">
        <v>0</v>
      </c>
      <c r="F306" s="593"/>
      <c r="G306" s="593"/>
      <c r="H306" s="1963">
        <v>0</v>
      </c>
      <c r="I306" s="593"/>
      <c r="J306" s="593"/>
      <c r="K306" s="1643">
        <f>SUM(E306,H306)</f>
        <v>0</v>
      </c>
      <c r="L306" s="1985">
        <v>0</v>
      </c>
    </row>
    <row r="307" spans="1:14" x14ac:dyDescent="0.2">
      <c r="A307" s="1477" t="s">
        <v>304</v>
      </c>
      <c r="B307" s="591">
        <v>4120</v>
      </c>
      <c r="C307" s="593"/>
      <c r="D307" s="593"/>
      <c r="E307" s="1963">
        <v>0</v>
      </c>
      <c r="F307" s="593"/>
      <c r="G307" s="593"/>
      <c r="H307" s="1963">
        <v>0</v>
      </c>
      <c r="I307" s="473"/>
      <c r="J307" s="593"/>
      <c r="K307" s="1643">
        <f>SUM(E307,H307)</f>
        <v>0</v>
      </c>
      <c r="L307" s="1984">
        <v>0</v>
      </c>
    </row>
    <row r="308" spans="1:14" x14ac:dyDescent="0.2">
      <c r="A308" s="1477" t="s">
        <v>697</v>
      </c>
      <c r="B308" s="591">
        <v>4140</v>
      </c>
      <c r="C308" s="593"/>
      <c r="D308" s="593"/>
      <c r="E308" s="1963">
        <v>0</v>
      </c>
      <c r="F308" s="593"/>
      <c r="G308" s="593"/>
      <c r="H308" s="1963">
        <v>0</v>
      </c>
      <c r="I308" s="473"/>
      <c r="J308" s="593"/>
      <c r="K308" s="1643">
        <f>SUM(E308,H308)</f>
        <v>0</v>
      </c>
      <c r="L308" s="1984">
        <v>0</v>
      </c>
    </row>
    <row r="309" spans="1:14" ht="12.75" customHeight="1" x14ac:dyDescent="0.2">
      <c r="A309" s="1481" t="s">
        <v>698</v>
      </c>
      <c r="B309" s="605">
        <v>4190</v>
      </c>
      <c r="C309" s="593"/>
      <c r="D309" s="593"/>
      <c r="E309" s="1963">
        <v>0</v>
      </c>
      <c r="F309" s="593"/>
      <c r="G309" s="593"/>
      <c r="H309" s="1963">
        <v>0</v>
      </c>
      <c r="I309" s="473"/>
      <c r="J309" s="593"/>
      <c r="K309" s="1643">
        <f>SUM(E309,H309)</f>
        <v>0</v>
      </c>
      <c r="L309" s="1984">
        <v>0</v>
      </c>
    </row>
    <row r="310" spans="1:14" ht="12.75" customHeight="1" thickBot="1" x14ac:dyDescent="0.25">
      <c r="A310" s="1640" t="s">
        <v>1487</v>
      </c>
      <c r="B310" s="1647" t="s">
        <v>860</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895</v>
      </c>
      <c r="B311" s="1583" t="s">
        <v>861</v>
      </c>
      <c r="C311" s="600"/>
      <c r="D311" s="600"/>
      <c r="E311" s="600"/>
      <c r="F311" s="600"/>
      <c r="G311" s="600"/>
      <c r="H311" s="600"/>
      <c r="I311" s="600"/>
      <c r="J311" s="593"/>
      <c r="K311" s="600"/>
      <c r="L311" s="1997">
        <v>0</v>
      </c>
    </row>
    <row r="312" spans="1:14" s="649" customFormat="1" ht="12.75" customHeight="1" thickTop="1" thickBot="1" x14ac:dyDescent="0.25">
      <c r="A312" s="2244" t="s">
        <v>277</v>
      </c>
      <c r="B312" s="2245"/>
      <c r="C312" s="1642">
        <f>SUM(C303)</f>
        <v>0</v>
      </c>
      <c r="D312" s="1642">
        <f>SUM(D303)</f>
        <v>0</v>
      </c>
      <c r="E312" s="1642">
        <f>SUM(E303,E310)</f>
        <v>15</v>
      </c>
      <c r="F312" s="1642">
        <f>SUM(F303)</f>
        <v>0</v>
      </c>
      <c r="G312" s="1642">
        <f>SUM(G303)</f>
        <v>522314</v>
      </c>
      <c r="H312" s="1642">
        <f>SUM(H303,H310)</f>
        <v>0</v>
      </c>
      <c r="I312" s="1642">
        <f>SUM(I303)</f>
        <v>0</v>
      </c>
      <c r="J312" s="1642">
        <f>SUM(J303)</f>
        <v>0</v>
      </c>
      <c r="K312" s="1642">
        <f>SUM(K303,K310,K311)</f>
        <v>522329</v>
      </c>
      <c r="L312" s="1642">
        <f>SUM(L303,L310,L311)</f>
        <v>173087</v>
      </c>
      <c r="M312" s="640"/>
      <c r="N312" s="640"/>
    </row>
    <row r="313" spans="1:14" ht="13.5" thickTop="1" x14ac:dyDescent="0.2">
      <c r="A313" s="2240" t="s">
        <v>996</v>
      </c>
      <c r="B313" s="2241"/>
      <c r="C313" s="603"/>
      <c r="D313" s="603"/>
      <c r="E313" s="603"/>
      <c r="F313" s="603"/>
      <c r="G313" s="603"/>
      <c r="H313" s="603"/>
      <c r="I313" s="603"/>
      <c r="J313" s="603"/>
      <c r="K313" s="1657">
        <f>'Revenues 9-14'!H268-'Expenditures 15-22'!K312</f>
        <v>-260211</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3" t="s">
        <v>149</v>
      </c>
      <c r="B315" s="2254"/>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5" t="s">
        <v>898</v>
      </c>
      <c r="B317" s="2254"/>
      <c r="C317" s="1528"/>
      <c r="D317" s="1529"/>
      <c r="E317" s="1529"/>
      <c r="F317" s="1529"/>
      <c r="G317" s="1529"/>
      <c r="H317" s="1529"/>
      <c r="I317" s="1529"/>
      <c r="J317" s="1529"/>
      <c r="K317" s="1529"/>
      <c r="L317" s="1530"/>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3">
        <v>0</v>
      </c>
      <c r="D319" s="1963">
        <v>0</v>
      </c>
      <c r="E319" s="1963">
        <v>0</v>
      </c>
      <c r="F319" s="1963">
        <v>0</v>
      </c>
      <c r="G319" s="1963">
        <v>0</v>
      </c>
      <c r="H319" s="1963">
        <v>0</v>
      </c>
      <c r="I319" s="1963">
        <v>0</v>
      </c>
      <c r="J319" s="1963">
        <v>0</v>
      </c>
      <c r="K319" s="1643">
        <f>SUM(C319:J319)</f>
        <v>0</v>
      </c>
      <c r="L319" s="1985">
        <v>0</v>
      </c>
      <c r="M319" s="640"/>
      <c r="N319" s="640"/>
    </row>
    <row r="320" spans="1:14" s="649" customFormat="1" x14ac:dyDescent="0.2">
      <c r="A320" s="1496" t="s">
        <v>1805</v>
      </c>
      <c r="B320" s="673" t="s">
        <v>282</v>
      </c>
      <c r="C320" s="1963">
        <v>0</v>
      </c>
      <c r="D320" s="1963">
        <v>0</v>
      </c>
      <c r="E320" s="1963">
        <v>76308</v>
      </c>
      <c r="F320" s="1963">
        <v>0</v>
      </c>
      <c r="G320" s="1963">
        <v>0</v>
      </c>
      <c r="H320" s="1963">
        <v>0</v>
      </c>
      <c r="I320" s="1963">
        <v>0</v>
      </c>
      <c r="J320" s="1963">
        <v>0</v>
      </c>
      <c r="K320" s="1643">
        <f t="shared" ref="K320:K327" si="24">SUM(C320:J320)</f>
        <v>76308</v>
      </c>
      <c r="L320" s="1985">
        <v>99000</v>
      </c>
      <c r="M320" s="640"/>
      <c r="N320" s="640"/>
    </row>
    <row r="321" spans="1:14" s="649" customFormat="1" x14ac:dyDescent="0.2">
      <c r="A321" s="1492" t="s">
        <v>300</v>
      </c>
      <c r="B321" s="672" t="s">
        <v>283</v>
      </c>
      <c r="C321" s="1963">
        <v>0</v>
      </c>
      <c r="D321" s="1963">
        <v>0</v>
      </c>
      <c r="E321" s="1963">
        <v>593</v>
      </c>
      <c r="F321" s="1963">
        <v>0</v>
      </c>
      <c r="G321" s="1963">
        <v>0</v>
      </c>
      <c r="H321" s="1963">
        <v>0</v>
      </c>
      <c r="I321" s="1963">
        <v>0</v>
      </c>
      <c r="J321" s="1963">
        <v>0</v>
      </c>
      <c r="K321" s="1643">
        <f t="shared" si="24"/>
        <v>593</v>
      </c>
      <c r="L321" s="1985">
        <v>1000</v>
      </c>
      <c r="M321" s="640"/>
      <c r="N321" s="640"/>
    </row>
    <row r="322" spans="1:14" s="649" customFormat="1" x14ac:dyDescent="0.2">
      <c r="A322" s="1492" t="s">
        <v>238</v>
      </c>
      <c r="B322" s="672" t="s">
        <v>284</v>
      </c>
      <c r="C322" s="1963">
        <v>0</v>
      </c>
      <c r="D322" s="1963">
        <v>0</v>
      </c>
      <c r="E322" s="1963">
        <v>40073</v>
      </c>
      <c r="F322" s="1963">
        <v>0</v>
      </c>
      <c r="G322" s="1963">
        <v>0</v>
      </c>
      <c r="H322" s="1963">
        <v>0</v>
      </c>
      <c r="I322" s="1963">
        <v>0</v>
      </c>
      <c r="J322" s="1963">
        <v>0</v>
      </c>
      <c r="K322" s="1643">
        <f t="shared" si="24"/>
        <v>40073</v>
      </c>
      <c r="L322" s="1985">
        <v>40100</v>
      </c>
      <c r="M322" s="640"/>
      <c r="N322" s="640"/>
    </row>
    <row r="323" spans="1:14" s="649" customFormat="1" x14ac:dyDescent="0.2">
      <c r="A323" s="1492" t="s">
        <v>702</v>
      </c>
      <c r="B323" s="672" t="s">
        <v>285</v>
      </c>
      <c r="C323" s="1963">
        <v>0</v>
      </c>
      <c r="D323" s="1963">
        <v>0</v>
      </c>
      <c r="E323" s="1963">
        <v>0</v>
      </c>
      <c r="F323" s="1963">
        <v>0</v>
      </c>
      <c r="G323" s="1963">
        <v>0</v>
      </c>
      <c r="H323" s="1963">
        <v>0</v>
      </c>
      <c r="I323" s="1963">
        <v>0</v>
      </c>
      <c r="J323" s="1963">
        <v>0</v>
      </c>
      <c r="K323" s="1643">
        <f t="shared" si="24"/>
        <v>0</v>
      </c>
      <c r="L323" s="1985">
        <v>0</v>
      </c>
      <c r="M323" s="640"/>
      <c r="N323" s="640"/>
    </row>
    <row r="324" spans="1:14" s="649" customFormat="1" x14ac:dyDescent="0.2">
      <c r="A324" s="1492" t="s">
        <v>239</v>
      </c>
      <c r="B324" s="672" t="s">
        <v>286</v>
      </c>
      <c r="C324" s="1963">
        <v>0</v>
      </c>
      <c r="D324" s="1963">
        <v>0</v>
      </c>
      <c r="E324" s="1963">
        <v>0</v>
      </c>
      <c r="F324" s="1963">
        <v>0</v>
      </c>
      <c r="G324" s="1963">
        <v>0</v>
      </c>
      <c r="H324" s="1963">
        <v>0</v>
      </c>
      <c r="I324" s="1963">
        <v>0</v>
      </c>
      <c r="J324" s="1963">
        <v>0</v>
      </c>
      <c r="K324" s="1643">
        <f t="shared" si="24"/>
        <v>0</v>
      </c>
      <c r="L324" s="1985">
        <v>0</v>
      </c>
      <c r="M324" s="640"/>
      <c r="N324" s="640"/>
    </row>
    <row r="325" spans="1:14" s="649" customFormat="1" ht="22.5" x14ac:dyDescent="0.2">
      <c r="A325" s="1492" t="s">
        <v>1029</v>
      </c>
      <c r="B325" s="673" t="s">
        <v>287</v>
      </c>
      <c r="C325" s="1963">
        <v>0</v>
      </c>
      <c r="D325" s="1963">
        <v>0</v>
      </c>
      <c r="E325" s="1963">
        <v>0</v>
      </c>
      <c r="F325" s="1963">
        <v>0</v>
      </c>
      <c r="G325" s="1963">
        <v>0</v>
      </c>
      <c r="H325" s="1963">
        <v>0</v>
      </c>
      <c r="I325" s="1963">
        <v>0</v>
      </c>
      <c r="J325" s="1963">
        <v>0</v>
      </c>
      <c r="K325" s="1643">
        <f t="shared" si="24"/>
        <v>0</v>
      </c>
      <c r="L325" s="1985">
        <v>0</v>
      </c>
      <c r="M325" s="640"/>
      <c r="N325" s="640"/>
    </row>
    <row r="326" spans="1:14" s="649" customFormat="1" x14ac:dyDescent="0.2">
      <c r="A326" s="1492" t="s">
        <v>1030</v>
      </c>
      <c r="B326" s="672" t="s">
        <v>288</v>
      </c>
      <c r="C326" s="1963">
        <v>0</v>
      </c>
      <c r="D326" s="1963">
        <v>0</v>
      </c>
      <c r="E326" s="1963">
        <v>0</v>
      </c>
      <c r="F326" s="1963">
        <v>0</v>
      </c>
      <c r="G326" s="1963">
        <v>0</v>
      </c>
      <c r="H326" s="1963">
        <v>0</v>
      </c>
      <c r="I326" s="1963">
        <v>0</v>
      </c>
      <c r="J326" s="1963">
        <v>0</v>
      </c>
      <c r="K326" s="1643">
        <f t="shared" si="24"/>
        <v>0</v>
      </c>
      <c r="L326" s="1985">
        <v>0</v>
      </c>
      <c r="M326" s="640"/>
      <c r="N326" s="640"/>
    </row>
    <row r="327" spans="1:14" s="649" customFormat="1" x14ac:dyDescent="0.2">
      <c r="A327" s="1492" t="s">
        <v>971</v>
      </c>
      <c r="B327" s="672" t="s">
        <v>289</v>
      </c>
      <c r="C327" s="1963">
        <v>0</v>
      </c>
      <c r="D327" s="1963">
        <v>0</v>
      </c>
      <c r="E327" s="1963">
        <v>0</v>
      </c>
      <c r="F327" s="1963">
        <v>0</v>
      </c>
      <c r="G327" s="1963">
        <v>0</v>
      </c>
      <c r="H327" s="1963">
        <v>0</v>
      </c>
      <c r="I327" s="1963">
        <v>0</v>
      </c>
      <c r="J327" s="1963">
        <v>0</v>
      </c>
      <c r="K327" s="1643">
        <f t="shared" si="24"/>
        <v>0</v>
      </c>
      <c r="L327" s="1985">
        <v>0</v>
      </c>
      <c r="M327" s="640"/>
      <c r="N327" s="640"/>
    </row>
    <row r="328" spans="1:14" s="649" customFormat="1" x14ac:dyDescent="0.2">
      <c r="A328" s="1493" t="s">
        <v>472</v>
      </c>
      <c r="B328" s="665" t="s">
        <v>1132</v>
      </c>
      <c r="C328" s="1965">
        <v>0</v>
      </c>
      <c r="D328" s="1965">
        <v>0</v>
      </c>
      <c r="E328" s="1965">
        <v>0</v>
      </c>
      <c r="F328" s="1965">
        <v>0</v>
      </c>
      <c r="G328" s="1965">
        <v>0</v>
      </c>
      <c r="H328" s="1965">
        <v>0</v>
      </c>
      <c r="I328" s="1965">
        <v>0</v>
      </c>
      <c r="J328" s="1965">
        <v>0</v>
      </c>
      <c r="K328" s="1671">
        <f>SUM(C328:J328)</f>
        <v>0</v>
      </c>
      <c r="L328" s="1987">
        <v>0</v>
      </c>
      <c r="M328" s="640"/>
      <c r="N328" s="640"/>
    </row>
    <row r="329" spans="1:14" s="649" customFormat="1" x14ac:dyDescent="0.2">
      <c r="A329" s="1493" t="s">
        <v>1133</v>
      </c>
      <c r="B329" s="665" t="s">
        <v>1134</v>
      </c>
      <c r="C329" s="1965">
        <v>0</v>
      </c>
      <c r="D329" s="1965">
        <v>0</v>
      </c>
      <c r="E329" s="1965">
        <v>0</v>
      </c>
      <c r="F329" s="1965">
        <v>0</v>
      </c>
      <c r="G329" s="1965">
        <v>0</v>
      </c>
      <c r="H329" s="1965">
        <v>0</v>
      </c>
      <c r="I329" s="1965">
        <v>0</v>
      </c>
      <c r="J329" s="1965">
        <v>0</v>
      </c>
      <c r="K329" s="1671">
        <f>SUM(C329:J329)</f>
        <v>0</v>
      </c>
      <c r="L329" s="1987">
        <v>0</v>
      </c>
      <c r="M329" s="640"/>
      <c r="N329" s="640"/>
    </row>
    <row r="330" spans="1:14" s="649" customFormat="1" ht="12.75" customHeight="1" thickBot="1" x14ac:dyDescent="0.25">
      <c r="A330" s="1672" t="s">
        <v>717</v>
      </c>
      <c r="B330" s="1641" t="s">
        <v>569</v>
      </c>
      <c r="C330" s="1642">
        <f>SUM(C319:C329)</f>
        <v>0</v>
      </c>
      <c r="D330" s="1642">
        <f t="shared" ref="D330:J330" si="25">SUM(D319:D329)</f>
        <v>0</v>
      </c>
      <c r="E330" s="1642">
        <f t="shared" si="25"/>
        <v>116974</v>
      </c>
      <c r="F330" s="1642">
        <f t="shared" si="25"/>
        <v>0</v>
      </c>
      <c r="G330" s="1642">
        <f t="shared" si="25"/>
        <v>0</v>
      </c>
      <c r="H330" s="1642">
        <f t="shared" si="25"/>
        <v>0</v>
      </c>
      <c r="I330" s="1642">
        <f t="shared" si="25"/>
        <v>0</v>
      </c>
      <c r="J330" s="1642">
        <f t="shared" si="25"/>
        <v>0</v>
      </c>
      <c r="K330" s="1642">
        <f>SUM(K319:K329)</f>
        <v>116974</v>
      </c>
      <c r="L330" s="1642">
        <f>SUM(L319:L329)</f>
        <v>140100</v>
      </c>
      <c r="M330" s="640"/>
      <c r="N330" s="640"/>
    </row>
    <row r="331" spans="1:14" s="649" customFormat="1" ht="12.75" customHeight="1" thickTop="1" x14ac:dyDescent="0.2">
      <c r="A331" s="1803" t="s">
        <v>1851</v>
      </c>
      <c r="B331" s="623"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1845</v>
      </c>
      <c r="C332" s="1805"/>
      <c r="D332" s="1805"/>
      <c r="E332" s="1805"/>
      <c r="F332" s="1805"/>
      <c r="G332" s="1805"/>
      <c r="H332" s="1963">
        <v>0</v>
      </c>
      <c r="I332" s="1805"/>
      <c r="J332" s="1805"/>
      <c r="K332" s="1643">
        <f>H332</f>
        <v>0</v>
      </c>
      <c r="L332" s="1985">
        <v>0</v>
      </c>
      <c r="M332" s="640"/>
      <c r="N332" s="640"/>
    </row>
    <row r="333" spans="1:14" s="649" customFormat="1" ht="12.75" customHeight="1" x14ac:dyDescent="0.2">
      <c r="A333" s="1804" t="s">
        <v>304</v>
      </c>
      <c r="B333" s="1799" t="s">
        <v>1847</v>
      </c>
      <c r="C333" s="1805"/>
      <c r="D333" s="1805"/>
      <c r="E333" s="1805"/>
      <c r="F333" s="1805"/>
      <c r="G333" s="1805"/>
      <c r="H333" s="1963">
        <v>0</v>
      </c>
      <c r="I333" s="1805"/>
      <c r="J333" s="1805"/>
      <c r="K333" s="1643">
        <f>H333</f>
        <v>0</v>
      </c>
      <c r="L333" s="1985">
        <v>0</v>
      </c>
      <c r="M333" s="640"/>
      <c r="N333" s="640"/>
    </row>
    <row r="334" spans="1:14" s="649" customFormat="1" ht="12.75" customHeight="1" thickBot="1" x14ac:dyDescent="0.25">
      <c r="A334" s="1804" t="s">
        <v>1852</v>
      </c>
      <c r="B334" s="1799" t="s">
        <v>860</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3">
        <f>H337</f>
        <v>0</v>
      </c>
      <c r="L337" s="474">
        <v>0</v>
      </c>
    </row>
    <row r="338" spans="1:14" ht="12.75" customHeight="1" x14ac:dyDescent="0.2">
      <c r="A338" s="1491" t="s">
        <v>1170</v>
      </c>
      <c r="B338" s="665" t="s">
        <v>617</v>
      </c>
      <c r="C338" s="615"/>
      <c r="D338" s="615"/>
      <c r="E338" s="615"/>
      <c r="F338" s="615"/>
      <c r="G338" s="615"/>
      <c r="H338" s="474">
        <v>0</v>
      </c>
      <c r="I338" s="615"/>
      <c r="J338" s="615"/>
      <c r="K338" s="1643">
        <f>H338</f>
        <v>0</v>
      </c>
      <c r="L338" s="474">
        <v>0</v>
      </c>
    </row>
    <row r="339" spans="1:14" x14ac:dyDescent="0.2">
      <c r="A339" s="1477" t="s">
        <v>901</v>
      </c>
      <c r="B339" s="605">
        <v>5150</v>
      </c>
      <c r="C339" s="615"/>
      <c r="D339" s="615"/>
      <c r="E339" s="615"/>
      <c r="F339" s="615"/>
      <c r="G339" s="615"/>
      <c r="H339" s="1963">
        <v>0</v>
      </c>
      <c r="I339" s="615"/>
      <c r="J339" s="615"/>
      <c r="K339" s="1643">
        <f>H339</f>
        <v>0</v>
      </c>
      <c r="L339" s="1985">
        <v>0</v>
      </c>
    </row>
    <row r="340" spans="1:14" ht="13.5" thickBot="1" x14ac:dyDescent="0.25">
      <c r="A340" s="1666" t="s">
        <v>902</v>
      </c>
      <c r="B340" s="1641" t="s">
        <v>492</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903</v>
      </c>
      <c r="B341" s="1583" t="s">
        <v>861</v>
      </c>
      <c r="C341" s="593"/>
      <c r="D341" s="593"/>
      <c r="E341" s="473"/>
      <c r="F341" s="467"/>
      <c r="G341" s="467"/>
      <c r="H341" s="473"/>
      <c r="I341" s="473"/>
      <c r="J341" s="467"/>
      <c r="K341" s="473"/>
      <c r="L341" s="1997">
        <v>0</v>
      </c>
    </row>
    <row r="342" spans="1:14" ht="12.75" customHeight="1" thickTop="1" thickBot="1" x14ac:dyDescent="0.25">
      <c r="A342" s="1658" t="s">
        <v>505</v>
      </c>
      <c r="B342" s="1673"/>
      <c r="C342" s="1642">
        <f>SUM(C330)</f>
        <v>0</v>
      </c>
      <c r="D342" s="1642">
        <f>SUM(D330)</f>
        <v>0</v>
      </c>
      <c r="E342" s="1642">
        <f>SUM(E330)</f>
        <v>116974</v>
      </c>
      <c r="F342" s="1642">
        <f>SUM(F330)</f>
        <v>0</v>
      </c>
      <c r="G342" s="1642">
        <f>SUM(G330)</f>
        <v>0</v>
      </c>
      <c r="H342" s="1642">
        <f>SUM(H330,H334,H340)</f>
        <v>0</v>
      </c>
      <c r="I342" s="1642">
        <f>SUM(I330)</f>
        <v>0</v>
      </c>
      <c r="J342" s="1642">
        <f>SUM(J330)</f>
        <v>0</v>
      </c>
      <c r="K342" s="1642">
        <f>SUM(K330,K334,K340)</f>
        <v>116974</v>
      </c>
      <c r="L342" s="1649">
        <f>SUM(L330,L340,L341)</f>
        <v>140100</v>
      </c>
    </row>
    <row r="343" spans="1:14" ht="12.75" customHeight="1" thickTop="1" x14ac:dyDescent="0.2">
      <c r="A343" s="2242" t="s">
        <v>996</v>
      </c>
      <c r="B343" s="2243"/>
      <c r="C343" s="593"/>
      <c r="D343" s="593"/>
      <c r="E343" s="593"/>
      <c r="F343" s="593"/>
      <c r="G343" s="593"/>
      <c r="H343" s="593"/>
      <c r="I343" s="593"/>
      <c r="J343" s="593"/>
      <c r="K343" s="1656">
        <f>'Revenues 9-14'!J268-'Expenditures 15-22'!K342</f>
        <v>-52692</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2" t="s">
        <v>966</v>
      </c>
      <c r="B345" s="2233"/>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2">
        <v>0</v>
      </c>
      <c r="D348" s="1962">
        <v>0</v>
      </c>
      <c r="E348" s="1962">
        <v>0</v>
      </c>
      <c r="F348" s="1962">
        <v>0</v>
      </c>
      <c r="G348" s="1962">
        <v>0</v>
      </c>
      <c r="H348" s="1962">
        <v>0</v>
      </c>
      <c r="I348" s="1963">
        <v>0</v>
      </c>
      <c r="J348" s="1963">
        <v>0</v>
      </c>
      <c r="K348" s="1643">
        <f>SUM(C348:J348)</f>
        <v>0</v>
      </c>
      <c r="L348" s="1984">
        <v>163754</v>
      </c>
    </row>
    <row r="349" spans="1:14" x14ac:dyDescent="0.2">
      <c r="A349" s="1477" t="s">
        <v>197</v>
      </c>
      <c r="B349" s="591">
        <v>2540</v>
      </c>
      <c r="C349" s="1962">
        <v>0</v>
      </c>
      <c r="D349" s="1962">
        <v>0</v>
      </c>
      <c r="E349" s="1962">
        <v>0</v>
      </c>
      <c r="F349" s="1962">
        <v>0</v>
      </c>
      <c r="G349" s="1962">
        <v>0</v>
      </c>
      <c r="H349" s="1962">
        <v>0</v>
      </c>
      <c r="I349" s="1963">
        <v>0</v>
      </c>
      <c r="J349" s="1963">
        <v>0</v>
      </c>
      <c r="K349" s="1643">
        <f>SUM(C349:J349)</f>
        <v>0</v>
      </c>
      <c r="L349" s="1984">
        <v>0</v>
      </c>
    </row>
    <row r="350" spans="1:14" ht="12.75" customHeight="1" thickBot="1" x14ac:dyDescent="0.25">
      <c r="A350" s="1640" t="s">
        <v>719</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163754</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624</v>
      </c>
      <c r="B352" s="1647" t="s">
        <v>569</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163754</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1853</v>
      </c>
      <c r="B354" s="658" t="s">
        <v>1845</v>
      </c>
      <c r="C354" s="593"/>
      <c r="D354" s="593"/>
      <c r="E354" s="593"/>
      <c r="F354" s="593"/>
      <c r="G354" s="593"/>
      <c r="H354" s="1965">
        <v>0</v>
      </c>
      <c r="I354" s="676"/>
      <c r="J354" s="593"/>
      <c r="K354" s="1671">
        <f>H354</f>
        <v>0</v>
      </c>
      <c r="L354" s="1986">
        <v>0</v>
      </c>
    </row>
    <row r="355" spans="1:14" ht="12.75" customHeight="1" x14ac:dyDescent="0.2">
      <c r="A355" s="1486" t="s">
        <v>1854</v>
      </c>
      <c r="B355" s="665" t="s">
        <v>1847</v>
      </c>
      <c r="C355" s="593"/>
      <c r="D355" s="593"/>
      <c r="E355" s="593"/>
      <c r="F355" s="593"/>
      <c r="G355" s="593"/>
      <c r="H355" s="1963">
        <v>0</v>
      </c>
      <c r="I355" s="676"/>
      <c r="J355" s="593"/>
      <c r="K355" s="1715">
        <f>H355</f>
        <v>0</v>
      </c>
      <c r="L355" s="1985">
        <v>0</v>
      </c>
    </row>
    <row r="356" spans="1:14" ht="12.75" customHeight="1" x14ac:dyDescent="0.2">
      <c r="A356" s="1806" t="s">
        <v>698</v>
      </c>
      <c r="B356" s="658" t="s">
        <v>558</v>
      </c>
      <c r="C356" s="593"/>
      <c r="D356" s="593"/>
      <c r="E356" s="593"/>
      <c r="F356" s="593"/>
      <c r="G356" s="593"/>
      <c r="H356" s="1967">
        <v>0</v>
      </c>
      <c r="I356" s="676"/>
      <c r="J356" s="593"/>
      <c r="K356" s="1712">
        <f>H356</f>
        <v>0</v>
      </c>
      <c r="L356" s="1989">
        <v>0</v>
      </c>
    </row>
    <row r="357" spans="1:14" ht="12.75" customHeight="1" thickBot="1" x14ac:dyDescent="0.25">
      <c r="A357" s="1640" t="s">
        <v>1487</v>
      </c>
      <c r="B357" s="1641" t="s">
        <v>860</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79">
        <v>0</v>
      </c>
      <c r="I360" s="593"/>
      <c r="J360" s="593"/>
      <c r="K360" s="1643">
        <f>SUM(C360:J360)</f>
        <v>0</v>
      </c>
      <c r="L360" s="1984">
        <v>0</v>
      </c>
    </row>
    <row r="361" spans="1:14" ht="12.75" customHeight="1" x14ac:dyDescent="0.2">
      <c r="A361" s="1478" t="s">
        <v>619</v>
      </c>
      <c r="B361" s="579" t="s">
        <v>618</v>
      </c>
      <c r="C361" s="593"/>
      <c r="D361" s="593"/>
      <c r="E361" s="593"/>
      <c r="F361" s="593"/>
      <c r="G361" s="593"/>
      <c r="H361" s="1979">
        <v>0</v>
      </c>
      <c r="I361" s="593"/>
      <c r="J361" s="593"/>
      <c r="K361" s="1643">
        <f>SUM(C361:J361)</f>
        <v>0</v>
      </c>
      <c r="L361" s="1984">
        <v>0</v>
      </c>
    </row>
    <row r="362" spans="1:14" ht="12.75" customHeight="1" thickBot="1" x14ac:dyDescent="0.25">
      <c r="A362" s="1640" t="s">
        <v>626</v>
      </c>
      <c r="B362" s="1641" t="s">
        <v>718</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0">
        <v>0</v>
      </c>
      <c r="I363" s="615"/>
      <c r="J363" s="615"/>
      <c r="K363" s="1671">
        <f>SUM(C363:J363)</f>
        <v>0</v>
      </c>
      <c r="L363" s="1989">
        <v>0</v>
      </c>
      <c r="M363" s="640"/>
      <c r="N363" s="640"/>
    </row>
    <row r="364" spans="1:14" s="681" customFormat="1" ht="29.25" customHeight="1" x14ac:dyDescent="0.2">
      <c r="A364" s="677" t="s">
        <v>1672</v>
      </c>
      <c r="B364" s="678">
        <v>5300</v>
      </c>
      <c r="C364" s="679"/>
      <c r="D364" s="680"/>
      <c r="E364" s="680"/>
      <c r="F364" s="679"/>
      <c r="G364" s="680"/>
      <c r="H364" s="1983">
        <v>0</v>
      </c>
      <c r="I364" s="680"/>
      <c r="J364" s="680"/>
      <c r="K364" s="1643">
        <f>SUM(C364:J364)</f>
        <v>0</v>
      </c>
      <c r="L364" s="2000">
        <v>0</v>
      </c>
    </row>
    <row r="365" spans="1:14" s="649" customFormat="1" ht="12.75" customHeight="1" thickBot="1" x14ac:dyDescent="0.25">
      <c r="A365" s="1494" t="s">
        <v>590</v>
      </c>
      <c r="B365" s="634" t="s">
        <v>492</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949</v>
      </c>
      <c r="B366" s="1585" t="s">
        <v>861</v>
      </c>
      <c r="C366" s="600"/>
      <c r="D366" s="600"/>
      <c r="E366" s="600"/>
      <c r="F366" s="600"/>
      <c r="G366" s="600"/>
      <c r="H366" s="600"/>
      <c r="I366" s="600"/>
      <c r="J366" s="593"/>
      <c r="K366" s="600"/>
      <c r="L366" s="1996">
        <v>0</v>
      </c>
      <c r="M366" s="586"/>
      <c r="N366" s="586"/>
    </row>
    <row r="367" spans="1:14" ht="12.75" customHeight="1" thickTop="1" thickBot="1" x14ac:dyDescent="0.25">
      <c r="A367" s="1664" t="s">
        <v>505</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163754</v>
      </c>
    </row>
    <row r="368" spans="1:14" ht="13.5" thickTop="1" x14ac:dyDescent="0.2">
      <c r="A368" s="2229" t="s">
        <v>996</v>
      </c>
      <c r="B368" s="2230"/>
      <c r="C368" s="630"/>
      <c r="D368" s="630"/>
      <c r="E368" s="603"/>
      <c r="F368" s="603"/>
      <c r="G368" s="603"/>
      <c r="H368" s="603"/>
      <c r="I368" s="603"/>
      <c r="J368" s="600"/>
      <c r="K368" s="1643">
        <f>'Revenues 9-14'!K268-'Expenditures 15-22'!K367</f>
        <v>228123</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F38" sqref="F38"/>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1" t="s">
        <v>104</v>
      </c>
    </row>
    <row r="2" spans="1:6" ht="39.75" customHeight="1" x14ac:dyDescent="0.2">
      <c r="A2" s="2256" t="s">
        <v>1802</v>
      </c>
      <c r="B2" s="1500" t="s">
        <v>1951</v>
      </c>
      <c r="C2" s="687" t="s">
        <v>1952</v>
      </c>
      <c r="D2" s="687" t="s">
        <v>1953</v>
      </c>
      <c r="E2" s="687" t="s">
        <v>1954</v>
      </c>
      <c r="F2" s="687" t="s">
        <v>1955</v>
      </c>
    </row>
    <row r="3" spans="1:6" ht="12" customHeight="1" x14ac:dyDescent="0.2">
      <c r="A3" s="2257"/>
      <c r="B3" s="1497"/>
      <c r="C3" s="1498"/>
      <c r="D3" s="1499" t="s">
        <v>256</v>
      </c>
      <c r="E3" s="1498"/>
      <c r="F3" s="1499" t="s">
        <v>257</v>
      </c>
    </row>
    <row r="4" spans="1:6" ht="13.7" customHeight="1" x14ac:dyDescent="0.2">
      <c r="A4" s="688" t="s">
        <v>1155</v>
      </c>
      <c r="B4" s="1721">
        <f>'Revenues 9-14'!C5</f>
        <v>7049761</v>
      </c>
      <c r="C4" s="2004">
        <v>3745998</v>
      </c>
      <c r="D4" s="1724">
        <f>B4-C4</f>
        <v>3303763</v>
      </c>
      <c r="E4" s="2006">
        <v>7343195</v>
      </c>
      <c r="F4" s="1724">
        <f>E4-C4</f>
        <v>3597197</v>
      </c>
    </row>
    <row r="5" spans="1:6" ht="13.7" customHeight="1" x14ac:dyDescent="0.2">
      <c r="A5" s="688" t="s">
        <v>870</v>
      </c>
      <c r="B5" s="1722">
        <f>'Revenues 9-14'!D5</f>
        <v>1246065</v>
      </c>
      <c r="C5" s="2003">
        <v>666921</v>
      </c>
      <c r="D5" s="1725">
        <f t="shared" ref="D5:D18" si="0">B5-C5</f>
        <v>579144</v>
      </c>
      <c r="E5" s="2005">
        <v>1307351</v>
      </c>
      <c r="F5" s="1725">
        <f>E5-C5</f>
        <v>640430</v>
      </c>
    </row>
    <row r="6" spans="1:6" ht="13.7" customHeight="1" x14ac:dyDescent="0.2">
      <c r="A6" s="688" t="s">
        <v>411</v>
      </c>
      <c r="B6" s="1722">
        <f>'Revenues 9-14'!E5</f>
        <v>0</v>
      </c>
      <c r="C6" s="2003">
        <v>0</v>
      </c>
      <c r="D6" s="1725">
        <f t="shared" si="0"/>
        <v>0</v>
      </c>
      <c r="E6" s="2005">
        <v>0</v>
      </c>
      <c r="F6" s="1725">
        <f t="shared" ref="F6:F18" si="1">E6-C6</f>
        <v>0</v>
      </c>
    </row>
    <row r="7" spans="1:6" ht="13.7" customHeight="1" x14ac:dyDescent="0.2">
      <c r="A7" s="688" t="s">
        <v>155</v>
      </c>
      <c r="B7" s="1722">
        <f>'Revenues 9-14'!F5</f>
        <v>664396</v>
      </c>
      <c r="C7" s="2003">
        <v>353036</v>
      </c>
      <c r="D7" s="1725">
        <f t="shared" si="0"/>
        <v>311360</v>
      </c>
      <c r="E7" s="2005">
        <v>692049.14</v>
      </c>
      <c r="F7" s="1725">
        <f t="shared" si="1"/>
        <v>339013.14</v>
      </c>
    </row>
    <row r="8" spans="1:6" ht="13.7" customHeight="1" x14ac:dyDescent="0.2">
      <c r="A8" s="688" t="s">
        <v>1179</v>
      </c>
      <c r="B8" s="1722">
        <f>'Revenues 9-14'!G5</f>
        <v>143953</v>
      </c>
      <c r="C8" s="2003">
        <v>77233</v>
      </c>
      <c r="D8" s="1725">
        <f t="shared" si="0"/>
        <v>66720</v>
      </c>
      <c r="E8" s="2005">
        <v>151398</v>
      </c>
      <c r="F8" s="1725">
        <f t="shared" si="1"/>
        <v>74165</v>
      </c>
    </row>
    <row r="9" spans="1:6" ht="13.7" customHeight="1" x14ac:dyDescent="0.2">
      <c r="A9" s="688" t="s">
        <v>408</v>
      </c>
      <c r="B9" s="1722">
        <f>'Revenues 9-14'!H5</f>
        <v>0</v>
      </c>
      <c r="C9" s="2003">
        <v>0</v>
      </c>
      <c r="D9" s="1725">
        <f t="shared" si="0"/>
        <v>0</v>
      </c>
      <c r="E9" s="2005">
        <v>0</v>
      </c>
      <c r="F9" s="1725">
        <f t="shared" si="1"/>
        <v>0</v>
      </c>
    </row>
    <row r="10" spans="1:6" ht="13.7" customHeight="1" x14ac:dyDescent="0.2">
      <c r="A10" s="688" t="s">
        <v>407</v>
      </c>
      <c r="B10" s="1722">
        <f>'Revenues 9-14'!I5</f>
        <v>58471</v>
      </c>
      <c r="C10" s="2003">
        <v>25219</v>
      </c>
      <c r="D10" s="1725">
        <f t="shared" si="0"/>
        <v>33252</v>
      </c>
      <c r="E10" s="2005">
        <v>49435</v>
      </c>
      <c r="F10" s="1725">
        <f t="shared" si="1"/>
        <v>24216</v>
      </c>
    </row>
    <row r="11" spans="1:6" x14ac:dyDescent="0.2">
      <c r="A11" s="688" t="s">
        <v>409</v>
      </c>
      <c r="B11" s="1722">
        <f>'Revenues 9-14'!J5</f>
        <v>59690</v>
      </c>
      <c r="C11" s="2003">
        <v>37569</v>
      </c>
      <c r="D11" s="1725">
        <f t="shared" si="0"/>
        <v>22121</v>
      </c>
      <c r="E11" s="2005">
        <v>73646</v>
      </c>
      <c r="F11" s="1725">
        <f t="shared" si="1"/>
        <v>36077</v>
      </c>
    </row>
    <row r="12" spans="1:6" ht="13.7" customHeight="1" x14ac:dyDescent="0.2">
      <c r="A12" s="688" t="s">
        <v>157</v>
      </c>
      <c r="B12" s="1722">
        <f>'Revenues 9-14'!K5</f>
        <v>225238</v>
      </c>
      <c r="C12" s="2003">
        <v>120843</v>
      </c>
      <c r="D12" s="1725">
        <f t="shared" si="0"/>
        <v>104395</v>
      </c>
      <c r="E12" s="2005">
        <v>236886</v>
      </c>
      <c r="F12" s="1725">
        <f t="shared" si="1"/>
        <v>116043</v>
      </c>
    </row>
    <row r="13" spans="1:6" ht="13.7" customHeight="1" x14ac:dyDescent="0.2">
      <c r="A13" s="688" t="s">
        <v>936</v>
      </c>
      <c r="B13" s="1722">
        <f>SUM('Revenues 9-14'!C6:D6)</f>
        <v>0</v>
      </c>
      <c r="C13" s="2003">
        <v>0</v>
      </c>
      <c r="D13" s="1725">
        <f t="shared" si="0"/>
        <v>0</v>
      </c>
      <c r="E13" s="2005">
        <v>0</v>
      </c>
      <c r="F13" s="1725">
        <f t="shared" si="1"/>
        <v>0</v>
      </c>
    </row>
    <row r="14" spans="1:6" ht="13.7" customHeight="1" x14ac:dyDescent="0.2">
      <c r="A14" s="688" t="s">
        <v>410</v>
      </c>
      <c r="B14" s="1722">
        <f>SUM('Revenues 9-14'!C7:D7,'Revenues 9-14'!F7:H7)</f>
        <v>806764</v>
      </c>
      <c r="C14" s="2003">
        <v>428690</v>
      </c>
      <c r="D14" s="1725">
        <f t="shared" si="0"/>
        <v>378074</v>
      </c>
      <c r="E14" s="2005">
        <v>840350</v>
      </c>
      <c r="F14" s="1725">
        <f t="shared" si="1"/>
        <v>411660</v>
      </c>
    </row>
    <row r="15" spans="1:6" ht="13.7" customHeight="1" x14ac:dyDescent="0.2">
      <c r="A15" s="688" t="s">
        <v>1158</v>
      </c>
      <c r="B15" s="1722">
        <f>SUM('Revenues 9-14'!D9:E9,'Revenues 9-14'!H9)</f>
        <v>0</v>
      </c>
      <c r="C15" s="2003">
        <v>0</v>
      </c>
      <c r="D15" s="1725">
        <f t="shared" si="0"/>
        <v>0</v>
      </c>
      <c r="E15" s="2005">
        <v>0</v>
      </c>
      <c r="F15" s="1725">
        <f t="shared" si="1"/>
        <v>0</v>
      </c>
    </row>
    <row r="16" spans="1:6" ht="13.7" customHeight="1" x14ac:dyDescent="0.2">
      <c r="A16" s="688" t="s">
        <v>1159</v>
      </c>
      <c r="B16" s="1722">
        <f>'Revenues 9-14'!G8</f>
        <v>205645</v>
      </c>
      <c r="C16" s="2003">
        <v>110334</v>
      </c>
      <c r="D16" s="1725">
        <f t="shared" si="0"/>
        <v>95311</v>
      </c>
      <c r="E16" s="2005">
        <v>216284</v>
      </c>
      <c r="F16" s="1725">
        <f t="shared" si="1"/>
        <v>105950</v>
      </c>
    </row>
    <row r="17" spans="1:6" ht="13.7" customHeight="1" x14ac:dyDescent="0.2">
      <c r="A17" s="688" t="s">
        <v>1160</v>
      </c>
      <c r="B17" s="1722">
        <f>'Revenues 9-14'!C10</f>
        <v>0</v>
      </c>
      <c r="C17" s="2003">
        <v>0</v>
      </c>
      <c r="D17" s="1725">
        <f t="shared" si="0"/>
        <v>0</v>
      </c>
      <c r="E17" s="565"/>
      <c r="F17" s="1725">
        <f t="shared" si="1"/>
        <v>0</v>
      </c>
    </row>
    <row r="18" spans="1:6" ht="13.7" customHeight="1" x14ac:dyDescent="0.2">
      <c r="A18" s="688" t="s">
        <v>762</v>
      </c>
      <c r="B18" s="1722">
        <f>SUM('Revenues 9-14'!C11:K11)</f>
        <v>0</v>
      </c>
      <c r="C18" s="2003">
        <v>0</v>
      </c>
      <c r="D18" s="1725">
        <f t="shared" si="0"/>
        <v>0</v>
      </c>
      <c r="E18" s="565"/>
      <c r="F18" s="1725">
        <f t="shared" si="1"/>
        <v>0</v>
      </c>
    </row>
    <row r="19" spans="1:6" ht="13.7" customHeight="1" thickBot="1" x14ac:dyDescent="0.25">
      <c r="A19" s="1726" t="s">
        <v>1161</v>
      </c>
      <c r="B19" s="1723">
        <f>SUM(B4:B18)</f>
        <v>10459983</v>
      </c>
      <c r="C19" s="1723">
        <f>SUM(C4:C18)</f>
        <v>5565843</v>
      </c>
      <c r="D19" s="1723">
        <f>SUM(D4:D18)</f>
        <v>4894140</v>
      </c>
      <c r="E19" s="1723">
        <f>SUM(E4:E18)</f>
        <v>10910594.140000001</v>
      </c>
      <c r="F19" s="1723">
        <f>SUM(F4:F18)</f>
        <v>5344751.1399999997</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activeCell="A32" sqref="A3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78" t="s">
        <v>629</v>
      </c>
      <c r="B1" s="2276"/>
      <c r="C1" s="694"/>
    </row>
    <row r="2" spans="1:7" ht="33.75" x14ac:dyDescent="0.2">
      <c r="A2" s="2283" t="s">
        <v>1802</v>
      </c>
      <c r="B2" s="2284"/>
      <c r="C2" s="1852" t="s">
        <v>1956</v>
      </c>
      <c r="D2" s="696" t="s">
        <v>1957</v>
      </c>
      <c r="E2" s="696" t="s">
        <v>1958</v>
      </c>
      <c r="F2" s="1852" t="s">
        <v>1959</v>
      </c>
    </row>
    <row r="3" spans="1:7" ht="15.75" customHeight="1" x14ac:dyDescent="0.2">
      <c r="A3" s="2285" t="s">
        <v>1114</v>
      </c>
      <c r="B3" s="2286"/>
      <c r="C3" s="2279"/>
      <c r="D3" s="2280"/>
      <c r="E3" s="2280"/>
      <c r="F3" s="2281"/>
    </row>
    <row r="4" spans="1:7" ht="12.75" customHeight="1" thickBot="1" x14ac:dyDescent="0.25">
      <c r="A4" s="2273" t="s">
        <v>630</v>
      </c>
      <c r="B4" s="2274"/>
      <c r="C4" s="562"/>
      <c r="D4" s="562"/>
      <c r="E4" s="562"/>
      <c r="F4" s="1727">
        <f>SUM(C4+D4)-E4</f>
        <v>0</v>
      </c>
    </row>
    <row r="5" spans="1:7" ht="15.75" customHeight="1" thickTop="1" x14ac:dyDescent="0.2">
      <c r="A5" s="2277" t="s">
        <v>1110</v>
      </c>
      <c r="B5" s="2272"/>
      <c r="C5" s="2266"/>
      <c r="D5" s="2267"/>
      <c r="E5" s="2267"/>
      <c r="F5" s="2268"/>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69" t="s">
        <v>631</v>
      </c>
      <c r="B15" s="2270"/>
      <c r="C15" s="1727">
        <f>SUM(C6:C14)</f>
        <v>0</v>
      </c>
      <c r="D15" s="1727">
        <f>SUM(D6:D14)</f>
        <v>0</v>
      </c>
      <c r="E15" s="1727">
        <f>SUM(E6:E14)</f>
        <v>0</v>
      </c>
      <c r="F15" s="1727">
        <f>SUM(F6:F14)</f>
        <v>0</v>
      </c>
      <c r="G15" s="540"/>
    </row>
    <row r="16" spans="1:7" s="202" customFormat="1" ht="15.75" customHeight="1" thickTop="1" x14ac:dyDescent="0.2">
      <c r="A16" s="2282" t="s">
        <v>1111</v>
      </c>
      <c r="B16" s="2272"/>
      <c r="C16" s="2266"/>
      <c r="D16" s="2267"/>
      <c r="E16" s="2267"/>
      <c r="F16" s="2268"/>
    </row>
    <row r="17" spans="1:11" ht="12.75" customHeight="1" thickBot="1" x14ac:dyDescent="0.25">
      <c r="A17" s="2264" t="s">
        <v>64</v>
      </c>
      <c r="B17" s="2265"/>
      <c r="C17" s="699"/>
      <c r="D17" s="565"/>
      <c r="E17" s="699"/>
      <c r="F17" s="1727">
        <f>SUM(C17+D17)-E17</f>
        <v>0</v>
      </c>
    </row>
    <row r="18" spans="1:11" ht="12.75" customHeight="1" thickTop="1" thickBot="1" x14ac:dyDescent="0.25">
      <c r="A18" s="2264" t="s">
        <v>6</v>
      </c>
      <c r="B18" s="2265"/>
      <c r="C18" s="699"/>
      <c r="D18" s="565"/>
      <c r="E18" s="699"/>
      <c r="F18" s="1727">
        <f>SUM(C18+D18)-E18</f>
        <v>0</v>
      </c>
    </row>
    <row r="19" spans="1:11" ht="12.75" customHeight="1" thickTop="1" thickBot="1" x14ac:dyDescent="0.25">
      <c r="A19" s="2264" t="s">
        <v>388</v>
      </c>
      <c r="B19" s="2265"/>
      <c r="C19" s="699"/>
      <c r="D19" s="565"/>
      <c r="E19" s="699"/>
      <c r="F19" s="1727">
        <f>SUM(C19+D19)-E19</f>
        <v>0</v>
      </c>
    </row>
    <row r="20" spans="1:11" ht="12.75" customHeight="1" thickTop="1" thickBot="1" x14ac:dyDescent="0.25">
      <c r="A20" s="2264" t="s">
        <v>448</v>
      </c>
      <c r="B20" s="2265"/>
      <c r="C20" s="699"/>
      <c r="D20" s="565"/>
      <c r="E20" s="699"/>
      <c r="F20" s="1727">
        <f>SUM(C20+D20)-E20</f>
        <v>0</v>
      </c>
    </row>
    <row r="21" spans="1:11" ht="14.25" thickTop="1" thickBot="1" x14ac:dyDescent="0.25">
      <c r="A21" s="2269" t="s">
        <v>632</v>
      </c>
      <c r="B21" s="2270"/>
      <c r="C21" s="1727">
        <f>SUM(C17:C20)</f>
        <v>0</v>
      </c>
      <c r="D21" s="1727">
        <f>SUM(D17:D20)</f>
        <v>0</v>
      </c>
      <c r="E21" s="1727">
        <f>SUM(E17:E20)</f>
        <v>0</v>
      </c>
      <c r="F21" s="1727">
        <f>SUM(F17:F20)</f>
        <v>0</v>
      </c>
      <c r="G21" s="540"/>
    </row>
    <row r="22" spans="1:11" ht="15.75" customHeight="1" thickTop="1" x14ac:dyDescent="0.2">
      <c r="A22" s="2271" t="s">
        <v>1112</v>
      </c>
      <c r="B22" s="2272"/>
      <c r="C22" s="2266"/>
      <c r="D22" s="2267"/>
      <c r="E22" s="2267"/>
      <c r="F22" s="2268"/>
    </row>
    <row r="23" spans="1:11" ht="13.5" thickBot="1" x14ac:dyDescent="0.25">
      <c r="A23" s="2273" t="s">
        <v>633</v>
      </c>
      <c r="B23" s="2274"/>
      <c r="C23" s="562"/>
      <c r="D23" s="562"/>
      <c r="E23" s="562"/>
      <c r="F23" s="1727">
        <f>SUM(C23+D23)-E23</f>
        <v>0</v>
      </c>
      <c r="G23" s="540"/>
    </row>
    <row r="24" spans="1:11" ht="15.75" customHeight="1" thickTop="1" x14ac:dyDescent="0.2">
      <c r="A24" s="2271" t="s">
        <v>1113</v>
      </c>
      <c r="B24" s="2272"/>
      <c r="C24" s="2266"/>
      <c r="D24" s="2267"/>
      <c r="E24" s="2267"/>
      <c r="F24" s="2268"/>
    </row>
    <row r="25" spans="1:11" ht="13.5" thickBot="1" x14ac:dyDescent="0.25">
      <c r="A25" s="2273" t="s">
        <v>634</v>
      </c>
      <c r="B25" s="2274"/>
      <c r="C25" s="562"/>
      <c r="D25" s="562"/>
      <c r="E25" s="562"/>
      <c r="F25" s="1727">
        <f>SUM(C25+D25)-E25</f>
        <v>0</v>
      </c>
      <c r="G25" s="540"/>
    </row>
    <row r="26" spans="1:11" ht="15.75" customHeight="1" thickTop="1" x14ac:dyDescent="0.2">
      <c r="A26" s="2277" t="s">
        <v>657</v>
      </c>
      <c r="B26" s="2272"/>
      <c r="C26" s="700"/>
      <c r="D26" s="700"/>
      <c r="E26" s="700"/>
      <c r="F26" s="701"/>
    </row>
    <row r="27" spans="1:11" ht="13.5" thickBot="1" x14ac:dyDescent="0.25">
      <c r="A27" s="2269" t="s">
        <v>1070</v>
      </c>
      <c r="B27" s="2270"/>
      <c r="C27" s="565"/>
      <c r="D27" s="565"/>
      <c r="E27" s="565"/>
      <c r="F27" s="1727">
        <f>SUM(C27+D27)-E27</f>
        <v>0</v>
      </c>
      <c r="G27" s="540"/>
    </row>
    <row r="28" spans="1:11" ht="7.5" customHeight="1" thickTop="1" x14ac:dyDescent="0.2">
      <c r="A28" s="570"/>
    </row>
    <row r="29" spans="1:11" ht="23.25" customHeight="1" x14ac:dyDescent="0.2">
      <c r="A29" s="2275" t="s">
        <v>582</v>
      </c>
      <c r="B29" s="2276"/>
      <c r="C29" s="702"/>
      <c r="D29" s="702"/>
      <c r="E29" s="702"/>
      <c r="F29" s="702"/>
      <c r="G29" s="702"/>
      <c r="H29" s="702"/>
      <c r="I29" s="702"/>
      <c r="J29" s="702"/>
    </row>
    <row r="30" spans="1:11" ht="33.75" x14ac:dyDescent="0.2">
      <c r="A30" s="1501" t="s">
        <v>1071</v>
      </c>
      <c r="B30" s="703" t="s">
        <v>1124</v>
      </c>
      <c r="C30" s="1853" t="s">
        <v>583</v>
      </c>
      <c r="D30" s="1853" t="s">
        <v>1673</v>
      </c>
      <c r="E30" s="1853" t="s">
        <v>1960</v>
      </c>
      <c r="F30" s="1853" t="s">
        <v>1961</v>
      </c>
      <c r="G30" s="1853" t="s">
        <v>1911</v>
      </c>
      <c r="H30" s="1853" t="s">
        <v>1962</v>
      </c>
      <c r="I30" s="1853" t="s">
        <v>1963</v>
      </c>
      <c r="J30" s="1854" t="s">
        <v>2</v>
      </c>
      <c r="K30" s="704"/>
    </row>
    <row r="31" spans="1:11" ht="12" customHeight="1" x14ac:dyDescent="0.2">
      <c r="A31" s="705" t="s">
        <v>2076</v>
      </c>
      <c r="B31" s="706">
        <v>41310</v>
      </c>
      <c r="C31" s="707">
        <v>5490000</v>
      </c>
      <c r="D31" s="708">
        <v>3</v>
      </c>
      <c r="E31" s="707">
        <v>2880000</v>
      </c>
      <c r="F31" s="707"/>
      <c r="G31" s="707"/>
      <c r="H31" s="707">
        <v>550000</v>
      </c>
      <c r="I31" s="1728">
        <f>((E31+F31)-H31)+G31</f>
        <v>2330000</v>
      </c>
      <c r="J31" s="707">
        <v>2327818</v>
      </c>
      <c r="K31" s="709"/>
    </row>
    <row r="32" spans="1:11" ht="12" customHeight="1" x14ac:dyDescent="0.2">
      <c r="A32" s="705"/>
      <c r="B32" s="706"/>
      <c r="C32" s="707"/>
      <c r="D32" s="708"/>
      <c r="E32" s="707"/>
      <c r="F32" s="707"/>
      <c r="G32" s="707"/>
      <c r="H32" s="707"/>
      <c r="I32" s="1728">
        <f>((E32+F32)-H32)+G32</f>
        <v>0</v>
      </c>
      <c r="J32" s="707"/>
      <c r="K32" s="709"/>
    </row>
    <row r="33" spans="1:11" ht="12" customHeight="1" x14ac:dyDescent="0.2">
      <c r="A33" s="705"/>
      <c r="B33" s="706"/>
      <c r="C33" s="707"/>
      <c r="D33" s="708"/>
      <c r="E33" s="707"/>
      <c r="F33" s="707"/>
      <c r="G33" s="707"/>
      <c r="H33" s="707"/>
      <c r="I33" s="1728">
        <f t="shared" ref="I33:I48" si="1">((E33+F33)-H33)+G33</f>
        <v>0</v>
      </c>
      <c r="J33" s="707"/>
      <c r="K33" s="709"/>
    </row>
    <row r="34" spans="1:11" ht="12" customHeight="1" x14ac:dyDescent="0.2">
      <c r="A34" s="705"/>
      <c r="B34" s="706"/>
      <c r="C34" s="707"/>
      <c r="D34" s="708"/>
      <c r="E34" s="707"/>
      <c r="F34" s="707"/>
      <c r="G34" s="707"/>
      <c r="H34" s="707"/>
      <c r="I34" s="1728">
        <f t="shared" si="1"/>
        <v>0</v>
      </c>
      <c r="J34" s="707"/>
      <c r="K34" s="710"/>
    </row>
    <row r="35" spans="1:11" ht="12" customHeight="1" x14ac:dyDescent="0.2">
      <c r="A35" s="705"/>
      <c r="B35" s="706"/>
      <c r="C35" s="711"/>
      <c r="D35" s="708"/>
      <c r="E35" s="711"/>
      <c r="F35" s="711"/>
      <c r="G35" s="711"/>
      <c r="H35" s="711"/>
      <c r="I35" s="1728">
        <f t="shared" si="1"/>
        <v>0</v>
      </c>
      <c r="J35" s="711"/>
      <c r="K35" s="710"/>
    </row>
    <row r="36" spans="1:11" ht="12" customHeight="1" x14ac:dyDescent="0.2">
      <c r="A36" s="705"/>
      <c r="B36" s="706"/>
      <c r="C36" s="707"/>
      <c r="D36" s="708"/>
      <c r="E36" s="707"/>
      <c r="F36" s="707"/>
      <c r="G36" s="707"/>
      <c r="H36" s="707"/>
      <c r="I36" s="1728">
        <f t="shared" si="1"/>
        <v>0</v>
      </c>
      <c r="J36" s="707"/>
      <c r="K36" s="712"/>
    </row>
    <row r="37" spans="1:11" ht="12" customHeight="1" x14ac:dyDescent="0.2">
      <c r="A37" s="705"/>
      <c r="B37" s="706"/>
      <c r="C37" s="466"/>
      <c r="D37" s="713"/>
      <c r="E37" s="466"/>
      <c r="F37" s="466"/>
      <c r="G37" s="466"/>
      <c r="H37" s="466"/>
      <c r="I37" s="1728">
        <f t="shared" si="1"/>
        <v>0</v>
      </c>
      <c r="J37" s="466"/>
      <c r="K37" s="710"/>
    </row>
    <row r="38" spans="1:11" ht="12" customHeight="1" x14ac:dyDescent="0.2">
      <c r="A38" s="705"/>
      <c r="B38" s="706"/>
      <c r="C38" s="707"/>
      <c r="D38" s="714"/>
      <c r="E38" s="715"/>
      <c r="F38" s="715"/>
      <c r="G38" s="715"/>
      <c r="H38" s="715"/>
      <c r="I38" s="1728">
        <f t="shared" si="1"/>
        <v>0</v>
      </c>
      <c r="J38" s="716" t="s">
        <v>264</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5490000</v>
      </c>
      <c r="D49" s="718"/>
      <c r="E49" s="1728">
        <f t="shared" ref="E49:J49" si="2">SUM(E31:E48)</f>
        <v>2880000</v>
      </c>
      <c r="F49" s="1728">
        <f t="shared" si="2"/>
        <v>0</v>
      </c>
      <c r="G49" s="1728">
        <f t="shared" si="2"/>
        <v>0</v>
      </c>
      <c r="H49" s="1728">
        <f t="shared" si="2"/>
        <v>550000</v>
      </c>
      <c r="I49" s="1728">
        <f t="shared" si="2"/>
        <v>2330000</v>
      </c>
      <c r="J49" s="1728">
        <f t="shared" si="2"/>
        <v>2327818</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58" t="s">
        <v>584</v>
      </c>
      <c r="C52" s="2259"/>
      <c r="D52" s="2259"/>
      <c r="E52" s="722" t="s">
        <v>845</v>
      </c>
      <c r="F52" s="2260"/>
      <c r="G52" s="2261"/>
      <c r="H52" s="709"/>
      <c r="I52" s="709"/>
      <c r="J52" s="719"/>
    </row>
    <row r="53" spans="1:11" ht="11.25" customHeight="1" x14ac:dyDescent="0.2">
      <c r="A53" s="723" t="s">
        <v>913</v>
      </c>
      <c r="B53" s="724" t="s">
        <v>951</v>
      </c>
      <c r="C53" s="719"/>
      <c r="D53" s="710"/>
      <c r="E53" s="722" t="s">
        <v>497</v>
      </c>
      <c r="F53" s="2262"/>
      <c r="G53" s="2263"/>
      <c r="H53" s="709"/>
      <c r="I53" s="709"/>
      <c r="J53" s="719"/>
    </row>
    <row r="54" spans="1:11" ht="11.25" customHeight="1" x14ac:dyDescent="0.2">
      <c r="A54" s="725" t="s">
        <v>914</v>
      </c>
      <c r="B54" s="720" t="s">
        <v>952</v>
      </c>
      <c r="C54" s="719"/>
      <c r="D54" s="710"/>
      <c r="E54" s="722" t="s">
        <v>498</v>
      </c>
      <c r="F54" s="2262"/>
      <c r="G54" s="2263"/>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7" t="s">
        <v>856</v>
      </c>
      <c r="B1" s="2288"/>
      <c r="C1" s="2288"/>
      <c r="D1" s="2288"/>
      <c r="E1" s="2288"/>
      <c r="F1" s="2288"/>
      <c r="G1" s="2289"/>
      <c r="H1" s="1502"/>
      <c r="I1" s="733"/>
      <c r="J1" s="433"/>
    </row>
    <row r="2" spans="1:11" ht="26.25" x14ac:dyDescent="0.2">
      <c r="A2" s="2306" t="s">
        <v>1677</v>
      </c>
      <c r="B2" s="2307"/>
      <c r="C2" s="2307"/>
      <c r="D2" s="2307"/>
      <c r="E2" s="2308"/>
      <c r="F2" s="734" t="s">
        <v>904</v>
      </c>
      <c r="G2" s="735" t="s">
        <v>1674</v>
      </c>
      <c r="H2" s="735" t="s">
        <v>410</v>
      </c>
      <c r="I2" s="735" t="s">
        <v>1158</v>
      </c>
      <c r="J2" s="735" t="s">
        <v>1812</v>
      </c>
      <c r="K2" s="735" t="s">
        <v>138</v>
      </c>
    </row>
    <row r="3" spans="1:11" x14ac:dyDescent="0.2">
      <c r="A3" s="2309" t="s">
        <v>1964</v>
      </c>
      <c r="B3" s="2310"/>
      <c r="C3" s="2310"/>
      <c r="D3" s="2310"/>
      <c r="E3" s="2311"/>
      <c r="F3" s="736"/>
      <c r="G3" s="737"/>
      <c r="H3" s="737"/>
      <c r="I3" s="737"/>
      <c r="J3" s="738"/>
      <c r="K3" s="738"/>
    </row>
    <row r="4" spans="1:11" x14ac:dyDescent="0.2">
      <c r="A4" s="2312" t="s">
        <v>369</v>
      </c>
      <c r="B4" s="2313"/>
      <c r="C4" s="2313"/>
      <c r="D4" s="2313"/>
      <c r="E4" s="2259"/>
      <c r="F4" s="739"/>
      <c r="G4" s="740"/>
      <c r="H4" s="741"/>
      <c r="I4" s="740"/>
      <c r="J4" s="742"/>
      <c r="K4" s="742"/>
    </row>
    <row r="5" spans="1:11" x14ac:dyDescent="0.2">
      <c r="A5" s="2290" t="s">
        <v>1069</v>
      </c>
      <c r="B5" s="2291"/>
      <c r="C5" s="2291"/>
      <c r="D5" s="2291"/>
      <c r="E5" s="2292"/>
      <c r="F5" s="743" t="s">
        <v>848</v>
      </c>
      <c r="G5" s="744"/>
      <c r="H5" s="737">
        <v>806764</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90" t="s">
        <v>1813</v>
      </c>
      <c r="B10" s="2291"/>
      <c r="C10" s="2291"/>
      <c r="D10" s="2291"/>
      <c r="E10" s="2293"/>
      <c r="F10" s="756" t="s">
        <v>862</v>
      </c>
      <c r="G10" s="755"/>
      <c r="H10" s="757"/>
      <c r="I10" s="737"/>
      <c r="J10" s="738"/>
      <c r="K10" s="738"/>
    </row>
    <row r="11" spans="1:11" x14ac:dyDescent="0.2">
      <c r="A11" s="2290" t="s">
        <v>160</v>
      </c>
      <c r="B11" s="2291"/>
      <c r="C11" s="2291"/>
      <c r="D11" s="2291"/>
      <c r="E11" s="2292"/>
      <c r="F11" s="743" t="s">
        <v>852</v>
      </c>
      <c r="G11" s="744"/>
      <c r="H11" s="737"/>
      <c r="I11" s="737"/>
      <c r="J11" s="738"/>
      <c r="K11" s="746"/>
    </row>
    <row r="12" spans="1:11" ht="13.5" thickBot="1" x14ac:dyDescent="0.25">
      <c r="A12" s="2317" t="s">
        <v>905</v>
      </c>
      <c r="B12" s="2318"/>
      <c r="C12" s="2318"/>
      <c r="D12" s="2318"/>
      <c r="E12" s="2319"/>
      <c r="F12" s="1729"/>
      <c r="G12" s="1730">
        <f>SUM(G5:G11)</f>
        <v>0</v>
      </c>
      <c r="H12" s="1730">
        <f>SUM(H5:H11)</f>
        <v>806764</v>
      </c>
      <c r="I12" s="1730">
        <f>SUM(I5:I11)</f>
        <v>0</v>
      </c>
      <c r="J12" s="1730">
        <f>SUM(J5:J11)</f>
        <v>0</v>
      </c>
      <c r="K12" s="1730">
        <f>SUM(K5:K11)</f>
        <v>0</v>
      </c>
    </row>
    <row r="13" spans="1:11" ht="13.5" thickTop="1" x14ac:dyDescent="0.2">
      <c r="A13" s="2314" t="s">
        <v>370</v>
      </c>
      <c r="B13" s="2315"/>
      <c r="C13" s="2315"/>
      <c r="D13" s="2315"/>
      <c r="E13" s="2316"/>
      <c r="F13" s="758"/>
      <c r="G13" s="759"/>
      <c r="H13" s="760"/>
      <c r="I13" s="761"/>
      <c r="J13" s="761"/>
      <c r="K13" s="761"/>
    </row>
    <row r="14" spans="1:11" x14ac:dyDescent="0.2">
      <c r="A14" s="2297" t="s">
        <v>456</v>
      </c>
      <c r="B14" s="2297"/>
      <c r="C14" s="2297"/>
      <c r="D14" s="2297"/>
      <c r="E14" s="2298"/>
      <c r="F14" s="762" t="s">
        <v>854</v>
      </c>
      <c r="G14" s="755"/>
      <c r="H14" s="737">
        <v>806764</v>
      </c>
      <c r="I14" s="744"/>
      <c r="J14" s="746"/>
      <c r="K14" s="738"/>
    </row>
    <row r="15" spans="1:11" x14ac:dyDescent="0.2">
      <c r="A15" s="2291" t="s">
        <v>4</v>
      </c>
      <c r="B15" s="2291"/>
      <c r="C15" s="2291"/>
      <c r="D15" s="2291"/>
      <c r="E15" s="2292"/>
      <c r="F15" s="762" t="s">
        <v>855</v>
      </c>
      <c r="G15" s="744"/>
      <c r="H15" s="737"/>
      <c r="I15" s="737"/>
      <c r="J15" s="738"/>
      <c r="K15" s="738"/>
    </row>
    <row r="16" spans="1:11" x14ac:dyDescent="0.2">
      <c r="A16" s="2291" t="s">
        <v>298</v>
      </c>
      <c r="B16" s="2291"/>
      <c r="C16" s="2291"/>
      <c r="D16" s="2291"/>
      <c r="E16" s="2292"/>
      <c r="F16" s="762" t="s">
        <v>923</v>
      </c>
      <c r="G16" s="745"/>
      <c r="H16" s="740"/>
      <c r="I16" s="740"/>
      <c r="J16" s="742"/>
      <c r="K16" s="742"/>
    </row>
    <row r="17" spans="1:11" x14ac:dyDescent="0.2">
      <c r="A17" s="2322" t="s">
        <v>935</v>
      </c>
      <c r="B17" s="2322"/>
      <c r="C17" s="2322"/>
      <c r="D17" s="2322"/>
      <c r="E17" s="2323"/>
      <c r="F17" s="763"/>
      <c r="G17" s="764"/>
      <c r="H17" s="765"/>
      <c r="I17" s="765"/>
      <c r="J17" s="766"/>
      <c r="K17" s="767"/>
    </row>
    <row r="18" spans="1:11" x14ac:dyDescent="0.2">
      <c r="A18" s="2301" t="s">
        <v>368</v>
      </c>
      <c r="B18" s="2302"/>
      <c r="C18" s="2302"/>
      <c r="D18" s="2302"/>
      <c r="E18" s="2303"/>
      <c r="F18" s="762" t="s">
        <v>932</v>
      </c>
      <c r="G18" s="755"/>
      <c r="H18" s="755"/>
      <c r="I18" s="755"/>
      <c r="J18" s="738"/>
      <c r="K18" s="768"/>
    </row>
    <row r="19" spans="1:11" ht="21.75" customHeight="1" x14ac:dyDescent="0.2">
      <c r="A19" s="2299" t="s">
        <v>1809</v>
      </c>
      <c r="B19" s="2299"/>
      <c r="C19" s="2299"/>
      <c r="D19" s="2299"/>
      <c r="E19" s="2300"/>
      <c r="F19" s="762" t="s">
        <v>933</v>
      </c>
      <c r="G19" s="755"/>
      <c r="H19" s="755"/>
      <c r="I19" s="755"/>
      <c r="J19" s="738"/>
      <c r="K19" s="768"/>
    </row>
    <row r="20" spans="1:11" x14ac:dyDescent="0.2">
      <c r="A20" s="2301" t="s">
        <v>1814</v>
      </c>
      <c r="B20" s="2302"/>
      <c r="C20" s="2302"/>
      <c r="D20" s="2302"/>
      <c r="E20" s="2303"/>
      <c r="F20" s="762" t="s">
        <v>934</v>
      </c>
      <c r="G20" s="755"/>
      <c r="H20" s="755"/>
      <c r="I20" s="755"/>
      <c r="J20" s="738"/>
      <c r="K20" s="768"/>
    </row>
    <row r="21" spans="1:11" ht="13.5" thickBot="1" x14ac:dyDescent="0.25">
      <c r="A21" s="2320" t="s">
        <v>638</v>
      </c>
      <c r="B21" s="2320"/>
      <c r="C21" s="2320"/>
      <c r="D21" s="2320"/>
      <c r="E21" s="2320"/>
      <c r="F21" s="1731"/>
      <c r="G21" s="765"/>
      <c r="H21" s="769"/>
      <c r="I21" s="769"/>
      <c r="J21" s="1732">
        <f>SUM(J18:J20)</f>
        <v>0</v>
      </c>
      <c r="K21" s="766"/>
    </row>
    <row r="22" spans="1:11" ht="13.5" thickTop="1" x14ac:dyDescent="0.2">
      <c r="A22" s="2291" t="s">
        <v>1815</v>
      </c>
      <c r="B22" s="2291"/>
      <c r="C22" s="2291"/>
      <c r="D22" s="2291"/>
      <c r="E22" s="2292"/>
      <c r="F22" s="762" t="s">
        <v>862</v>
      </c>
      <c r="G22" s="755"/>
      <c r="H22" s="737"/>
      <c r="I22" s="737"/>
      <c r="J22" s="770"/>
      <c r="K22" s="738"/>
    </row>
    <row r="23" spans="1:11" ht="13.5" thickBot="1" x14ac:dyDescent="0.25">
      <c r="A23" s="2321" t="s">
        <v>906</v>
      </c>
      <c r="B23" s="2320"/>
      <c r="C23" s="2320"/>
      <c r="D23" s="2320"/>
      <c r="E23" s="2320"/>
      <c r="F23" s="1733"/>
      <c r="G23" s="1730">
        <f>SUM(G14:G16,G21,G22)</f>
        <v>0</v>
      </c>
      <c r="H23" s="1730">
        <f>SUM(H14:H16,H21,H22)</f>
        <v>806764</v>
      </c>
      <c r="I23" s="1730">
        <f>SUM(I14:I16,I21,I22)</f>
        <v>0</v>
      </c>
      <c r="J23" s="1730">
        <f>SUM(J14:J16,J21,J22)</f>
        <v>0</v>
      </c>
      <c r="K23" s="1730">
        <f>SUM(K14:K16,K21,K22)</f>
        <v>0</v>
      </c>
    </row>
    <row r="24" spans="1:11" ht="14.25" thickTop="1" thickBot="1" x14ac:dyDescent="0.25">
      <c r="A24" s="2321" t="s">
        <v>1965</v>
      </c>
      <c r="B24" s="2320"/>
      <c r="C24" s="2320"/>
      <c r="D24" s="2320"/>
      <c r="E24" s="2320"/>
      <c r="F24" s="1734"/>
      <c r="G24" s="1735">
        <f>SUM(G3,G12)-G23</f>
        <v>0</v>
      </c>
      <c r="H24" s="1735">
        <f>SUM(H3,H12)-H23</f>
        <v>0</v>
      </c>
      <c r="I24" s="1735">
        <f>SUM(I3,I12)-I23</f>
        <v>0</v>
      </c>
      <c r="J24" s="1735">
        <f>SUM(J3,J12)-J23</f>
        <v>0</v>
      </c>
      <c r="K24" s="1735">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48" t="s">
        <v>1910</v>
      </c>
      <c r="B28" s="1849"/>
      <c r="C28" s="1849"/>
      <c r="D28" s="1849"/>
      <c r="E28" s="1850"/>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4"/>
      <c r="I31" s="2295"/>
      <c r="J31" s="2295"/>
      <c r="K31" s="2295"/>
    </row>
    <row r="32" spans="1:11" x14ac:dyDescent="0.2">
      <c r="A32" s="782"/>
      <c r="B32" s="237"/>
      <c r="C32" s="237"/>
      <c r="D32" s="237"/>
      <c r="E32" s="778"/>
      <c r="F32" s="784" t="s">
        <v>540</v>
      </c>
      <c r="G32" s="737"/>
      <c r="H32" s="2296"/>
      <c r="I32" s="2295"/>
      <c r="J32" s="2295"/>
      <c r="K32" s="2295"/>
    </row>
    <row r="33" spans="1:11" ht="1.5" customHeight="1" x14ac:dyDescent="0.2">
      <c r="A33" s="785" t="s">
        <v>1169</v>
      </c>
      <c r="B33" s="364"/>
      <c r="C33" s="364"/>
      <c r="D33" s="364"/>
      <c r="E33" s="364"/>
      <c r="F33" s="364"/>
      <c r="G33" s="786"/>
      <c r="H33" s="2296"/>
      <c r="I33" s="2295"/>
      <c r="J33" s="2295"/>
      <c r="K33" s="2295"/>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1" t="s">
        <v>541</v>
      </c>
      <c r="B41" s="2304"/>
      <c r="C41" s="2304"/>
      <c r="D41" s="2304"/>
      <c r="E41" s="2304"/>
      <c r="F41" s="2305"/>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3" t="s">
        <v>1810</v>
      </c>
      <c r="B46" s="408" t="s">
        <v>1675</v>
      </c>
    </row>
    <row r="47" spans="1:11" s="796" customFormat="1" ht="12.75" customHeight="1" x14ac:dyDescent="0.2">
      <c r="A47" s="794"/>
      <c r="B47" s="795" t="s">
        <v>1676</v>
      </c>
      <c r="E47" s="795"/>
      <c r="K47" s="797"/>
    </row>
    <row r="48" spans="1:11" ht="12.75" customHeight="1" x14ac:dyDescent="0.2">
      <c r="A48" s="1504"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6" t="s">
        <v>1909</v>
      </c>
      <c r="B1" s="2327"/>
      <c r="C1" s="2328"/>
      <c r="D1" s="799"/>
      <c r="E1" s="800"/>
      <c r="F1" s="800"/>
      <c r="G1" s="801"/>
      <c r="H1" s="802"/>
      <c r="I1" s="803"/>
      <c r="J1" s="2324"/>
      <c r="K1" s="2325"/>
      <c r="L1" s="2325"/>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1" t="s">
        <v>892</v>
      </c>
      <c r="B3" s="1602">
        <v>210</v>
      </c>
      <c r="C3" s="808"/>
      <c r="D3" s="808"/>
      <c r="E3" s="808"/>
      <c r="F3" s="1732">
        <f>(C3+D3)-E3</f>
        <v>0</v>
      </c>
      <c r="G3" s="809"/>
      <c r="H3" s="808"/>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893</v>
      </c>
      <c r="B5" s="813">
        <v>221</v>
      </c>
      <c r="C5" s="814">
        <v>3873232</v>
      </c>
      <c r="D5" s="814"/>
      <c r="E5" s="814"/>
      <c r="F5" s="1732">
        <f>(C5+D5)-E5</f>
        <v>3873232</v>
      </c>
      <c r="G5" s="810"/>
      <c r="H5" s="815"/>
      <c r="I5" s="815"/>
      <c r="J5" s="815"/>
      <c r="K5" s="766"/>
      <c r="L5" s="1741">
        <f>F5-K5</f>
        <v>3873232</v>
      </c>
    </row>
    <row r="6" spans="1:14" ht="14.25" thickTop="1" thickBot="1" x14ac:dyDescent="0.25">
      <c r="A6" s="751" t="s">
        <v>1117</v>
      </c>
      <c r="B6" s="813">
        <v>222</v>
      </c>
      <c r="C6" s="738"/>
      <c r="D6" s="738"/>
      <c r="E6" s="738"/>
      <c r="F6" s="1732">
        <f>(C6+D6)-E6</f>
        <v>0</v>
      </c>
      <c r="G6" s="810">
        <v>50</v>
      </c>
      <c r="H6" s="738"/>
      <c r="I6" s="738"/>
      <c r="J6" s="738"/>
      <c r="K6" s="1741">
        <f>(H6+I6)-J6</f>
        <v>0</v>
      </c>
      <c r="L6" s="1741">
        <f>F6-K6</f>
        <v>0</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1118</v>
      </c>
      <c r="B8" s="813">
        <v>231</v>
      </c>
      <c r="C8" s="817">
        <v>11644195</v>
      </c>
      <c r="D8" s="817"/>
      <c r="E8" s="817">
        <v>260368</v>
      </c>
      <c r="F8" s="1732">
        <f>(C8+D8)-E8</f>
        <v>11383827</v>
      </c>
      <c r="G8" s="816">
        <v>50</v>
      </c>
      <c r="H8" s="738">
        <v>7178503</v>
      </c>
      <c r="I8" s="738">
        <v>261380</v>
      </c>
      <c r="J8" s="738">
        <v>260368</v>
      </c>
      <c r="K8" s="1741">
        <f>(H8+I8)-J8</f>
        <v>7179515</v>
      </c>
      <c r="L8" s="1741">
        <f>F8-K8</f>
        <v>4204312</v>
      </c>
    </row>
    <row r="9" spans="1:14" ht="14.25" thickTop="1" thickBot="1" x14ac:dyDescent="0.25">
      <c r="A9" s="751" t="s">
        <v>1119</v>
      </c>
      <c r="B9" s="813">
        <v>232</v>
      </c>
      <c r="C9" s="738"/>
      <c r="D9" s="738"/>
      <c r="E9" s="738"/>
      <c r="F9" s="1732">
        <f>(C9+D9)-E9</f>
        <v>0</v>
      </c>
      <c r="G9" s="816">
        <v>20</v>
      </c>
      <c r="H9" s="738"/>
      <c r="I9" s="738"/>
      <c r="J9" s="738"/>
      <c r="K9" s="1741">
        <f>(H9+I9)-J9</f>
        <v>0</v>
      </c>
      <c r="L9" s="1741">
        <f>F9-K9</f>
        <v>0</v>
      </c>
    </row>
    <row r="10" spans="1:14" ht="24" thickTop="1" thickBot="1" x14ac:dyDescent="0.25">
      <c r="A10" s="818" t="s">
        <v>1120</v>
      </c>
      <c r="B10" s="813">
        <v>240</v>
      </c>
      <c r="C10" s="819">
        <v>682186</v>
      </c>
      <c r="D10" s="819">
        <v>130335</v>
      </c>
      <c r="E10" s="819">
        <v>63028</v>
      </c>
      <c r="F10" s="1736">
        <f>(C10+D10)-E10</f>
        <v>749493</v>
      </c>
      <c r="G10" s="816">
        <v>20</v>
      </c>
      <c r="H10" s="820">
        <v>461886</v>
      </c>
      <c r="I10" s="820">
        <v>30357</v>
      </c>
      <c r="J10" s="820">
        <v>63028</v>
      </c>
      <c r="K10" s="1741">
        <f>(H10+I10)-J10</f>
        <v>429215</v>
      </c>
      <c r="L10" s="1741">
        <f>F10-K10</f>
        <v>320278</v>
      </c>
    </row>
    <row r="11" spans="1:14" ht="13.5" thickTop="1" x14ac:dyDescent="0.2">
      <c r="A11" s="1604" t="s">
        <v>1136</v>
      </c>
      <c r="B11" s="1602">
        <v>250</v>
      </c>
      <c r="C11" s="754"/>
      <c r="D11" s="754"/>
      <c r="E11" s="754"/>
      <c r="F11" s="746"/>
      <c r="G11" s="816"/>
      <c r="H11" s="754"/>
      <c r="I11" s="754"/>
      <c r="J11" s="754"/>
      <c r="K11" s="746"/>
      <c r="L11" s="746"/>
    </row>
    <row r="12" spans="1:14" ht="13.5" thickBot="1" x14ac:dyDescent="0.25">
      <c r="A12" s="821" t="s">
        <v>1121</v>
      </c>
      <c r="B12" s="813">
        <v>251</v>
      </c>
      <c r="C12" s="817">
        <v>1538564</v>
      </c>
      <c r="D12" s="817">
        <v>250053</v>
      </c>
      <c r="E12" s="817">
        <v>715508</v>
      </c>
      <c r="F12" s="1732">
        <f>(C12+D12)-E12</f>
        <v>1073109</v>
      </c>
      <c r="G12" s="816">
        <v>10</v>
      </c>
      <c r="H12" s="738">
        <v>1214171</v>
      </c>
      <c r="I12" s="738">
        <v>37349</v>
      </c>
      <c r="J12" s="738">
        <v>715508</v>
      </c>
      <c r="K12" s="1741">
        <f>(H12+I12)-J12</f>
        <v>536012</v>
      </c>
      <c r="L12" s="1741">
        <f>F12-K12</f>
        <v>537097</v>
      </c>
    </row>
    <row r="13" spans="1:14" ht="14.25" thickTop="1" thickBot="1" x14ac:dyDescent="0.25">
      <c r="A13" s="821" t="s">
        <v>1122</v>
      </c>
      <c r="B13" s="813">
        <v>252</v>
      </c>
      <c r="C13" s="817"/>
      <c r="D13" s="817"/>
      <c r="E13" s="817"/>
      <c r="F13" s="1732">
        <f>(C13+D13)-E13</f>
        <v>0</v>
      </c>
      <c r="G13" s="816">
        <v>5</v>
      </c>
      <c r="H13" s="738"/>
      <c r="I13" s="738"/>
      <c r="J13" s="738"/>
      <c r="K13" s="1741">
        <f>(H13+I13)-J13</f>
        <v>0</v>
      </c>
      <c r="L13" s="1741">
        <f>F13-K13</f>
        <v>0</v>
      </c>
    </row>
    <row r="14" spans="1:14" ht="14.25" thickTop="1" thickBot="1" x14ac:dyDescent="0.25">
      <c r="A14" s="821" t="s">
        <v>1123</v>
      </c>
      <c r="B14" s="813">
        <v>253</v>
      </c>
      <c r="C14" s="738"/>
      <c r="D14" s="738"/>
      <c r="E14" s="738"/>
      <c r="F14" s="1732">
        <f>(C14+D14)-E14</f>
        <v>0</v>
      </c>
      <c r="G14" s="816">
        <v>3</v>
      </c>
      <c r="H14" s="738"/>
      <c r="I14" s="738"/>
      <c r="J14" s="738"/>
      <c r="K14" s="1741">
        <f>(H14+I14)-J14</f>
        <v>0</v>
      </c>
      <c r="L14" s="1741">
        <f>F14-K14</f>
        <v>0</v>
      </c>
    </row>
    <row r="15" spans="1:14" ht="15" customHeight="1" thickTop="1" thickBot="1" x14ac:dyDescent="0.25">
      <c r="A15" s="1603" t="s">
        <v>528</v>
      </c>
      <c r="B15" s="1602">
        <v>260</v>
      </c>
      <c r="C15" s="817"/>
      <c r="D15" s="817">
        <v>529060</v>
      </c>
      <c r="E15" s="817"/>
      <c r="F15" s="1732">
        <f>(C15+D15)-E15</f>
        <v>529060</v>
      </c>
      <c r="G15" s="822" t="s">
        <v>862</v>
      </c>
      <c r="H15" s="754"/>
      <c r="I15" s="754"/>
      <c r="J15" s="754"/>
      <c r="K15" s="754"/>
      <c r="L15" s="1741">
        <f>F15-K15</f>
        <v>529060</v>
      </c>
    </row>
    <row r="16" spans="1:14" ht="15" customHeight="1" thickTop="1" thickBot="1" x14ac:dyDescent="0.25">
      <c r="A16" s="1737" t="s">
        <v>643</v>
      </c>
      <c r="B16" s="1738">
        <v>200</v>
      </c>
      <c r="C16" s="1732">
        <f>SUM(C3,C5:C6,C8:C10,C12:C15)</f>
        <v>17738177</v>
      </c>
      <c r="D16" s="1732">
        <f>SUM(D3,D5:D6,D8:D10,D12:D15)</f>
        <v>909448</v>
      </c>
      <c r="E16" s="1732">
        <f>SUM(E3,E5:E6,E8:E10,E12:E15)</f>
        <v>1038904</v>
      </c>
      <c r="F16" s="1732">
        <f>SUM(F3,F5:F6,F8:F10,F12:F15)</f>
        <v>17608721</v>
      </c>
      <c r="G16" s="816"/>
      <c r="H16" s="1732">
        <f>SUM(H3,H6,H8:H10,H12:H14,)</f>
        <v>8854560</v>
      </c>
      <c r="I16" s="1732">
        <f>SUM(I3,I6,I8:I10,I12:I14,)</f>
        <v>329086</v>
      </c>
      <c r="J16" s="1732">
        <f>SUM(J3,J6,J8:J10,J12:J14,)</f>
        <v>1038904</v>
      </c>
      <c r="K16" s="1732">
        <f>(H16+I16)-J16</f>
        <v>8144742</v>
      </c>
      <c r="L16" s="1732">
        <f>F16-K16</f>
        <v>9463979</v>
      </c>
    </row>
    <row r="17" spans="1:12" ht="15" customHeight="1" thickTop="1" thickBot="1" x14ac:dyDescent="0.25">
      <c r="A17" s="1605" t="s">
        <v>291</v>
      </c>
      <c r="B17" s="1602">
        <v>700</v>
      </c>
      <c r="C17" s="742"/>
      <c r="D17" s="742"/>
      <c r="E17" s="742"/>
      <c r="F17" s="1732">
        <f>SUM('Expenditures 15-22'!I114,'Expenditures 15-22'!I151,'Expenditures 15-22'!I210,'Expenditures 15-22'!I312,'Expenditures 15-22'!I342,'Expenditures 15-22'!I367)</f>
        <v>65500</v>
      </c>
      <c r="G17" s="810">
        <v>10</v>
      </c>
      <c r="H17" s="742"/>
      <c r="I17" s="1741">
        <f>F17/G17</f>
        <v>6550</v>
      </c>
      <c r="J17" s="742"/>
      <c r="K17" s="768"/>
      <c r="L17" s="768"/>
    </row>
    <row r="18" spans="1:12" ht="14.25" thickTop="1" thickBot="1" x14ac:dyDescent="0.25">
      <c r="A18" s="1739" t="s">
        <v>685</v>
      </c>
      <c r="B18" s="1740"/>
      <c r="C18" s="744"/>
      <c r="D18" s="744"/>
      <c r="E18" s="744"/>
      <c r="F18" s="823"/>
      <c r="G18" s="824"/>
      <c r="H18" s="746"/>
      <c r="I18" s="1732">
        <f>SUM(I16,I17)</f>
        <v>335636</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157" activePane="bottomLeft" state="frozen"/>
      <selection activeCell="AF22" sqref="AF22"/>
      <selection pane="bottomLeft" activeCell="F173" sqref="F17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2" t="s">
        <v>1975</v>
      </c>
      <c r="B1" s="2333"/>
      <c r="C1" s="2333"/>
      <c r="D1" s="2333"/>
      <c r="E1" s="2333"/>
      <c r="F1" s="2334"/>
      <c r="G1" s="828"/>
    </row>
    <row r="2" spans="1:7" ht="15" customHeight="1" thickBot="1" x14ac:dyDescent="0.25">
      <c r="A2" s="2335" t="s">
        <v>477</v>
      </c>
      <c r="B2" s="2336"/>
      <c r="C2" s="2336"/>
      <c r="D2" s="2336"/>
      <c r="E2" s="2336"/>
      <c r="F2" s="2337"/>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8"/>
      <c r="B5" s="2339"/>
      <c r="C5" s="2339"/>
      <c r="D5" s="2339"/>
      <c r="E5" s="2339"/>
      <c r="F5" s="2339"/>
    </row>
    <row r="6" spans="1:7" ht="13.5" customHeight="1" thickBot="1" x14ac:dyDescent="0.25">
      <c r="A6" s="2329" t="s">
        <v>1104</v>
      </c>
      <c r="B6" s="2330"/>
      <c r="C6" s="2330"/>
      <c r="D6" s="2330"/>
      <c r="E6" s="2330"/>
      <c r="F6" s="2331"/>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76">
        <f>'Expenditures 15-22'!K114</f>
        <v>8821046</v>
      </c>
      <c r="G8" s="838"/>
    </row>
    <row r="9" spans="1:7" x14ac:dyDescent="0.2">
      <c r="A9" s="842" t="s">
        <v>460</v>
      </c>
      <c r="B9" s="843" t="s">
        <v>1877</v>
      </c>
      <c r="C9" s="844"/>
      <c r="D9" s="842" t="s">
        <v>501</v>
      </c>
      <c r="E9" s="841"/>
      <c r="F9" s="1877">
        <f>'Expenditures 15-22'!K151</f>
        <v>1215468</v>
      </c>
      <c r="G9" s="845"/>
    </row>
    <row r="10" spans="1:7" x14ac:dyDescent="0.2">
      <c r="A10" s="842" t="s">
        <v>499</v>
      </c>
      <c r="B10" s="843" t="s">
        <v>1878</v>
      </c>
      <c r="C10" s="844"/>
      <c r="D10" s="842" t="s">
        <v>501</v>
      </c>
      <c r="E10" s="841"/>
      <c r="F10" s="1877">
        <f>'Expenditures 15-22'!K174</f>
        <v>612313</v>
      </c>
      <c r="G10" s="845"/>
    </row>
    <row r="11" spans="1:7" x14ac:dyDescent="0.2">
      <c r="A11" s="842" t="s">
        <v>461</v>
      </c>
      <c r="B11" s="843" t="s">
        <v>1879</v>
      </c>
      <c r="C11" s="844"/>
      <c r="D11" s="842" t="s">
        <v>501</v>
      </c>
      <c r="E11" s="841"/>
      <c r="F11" s="1877">
        <f>'Expenditures 15-22'!K210</f>
        <v>525340</v>
      </c>
      <c r="G11" s="845"/>
    </row>
    <row r="12" spans="1:7" x14ac:dyDescent="0.2">
      <c r="A12" s="842" t="s">
        <v>462</v>
      </c>
      <c r="B12" s="843" t="s">
        <v>1880</v>
      </c>
      <c r="C12" s="844"/>
      <c r="D12" s="842" t="s">
        <v>501</v>
      </c>
      <c r="E12" s="841"/>
      <c r="F12" s="1877">
        <f>'Expenditures 15-22'!K295</f>
        <v>325920</v>
      </c>
      <c r="G12" s="845"/>
    </row>
    <row r="13" spans="1:7" x14ac:dyDescent="0.2">
      <c r="A13" s="842" t="s">
        <v>106</v>
      </c>
      <c r="B13" s="843" t="s">
        <v>1881</v>
      </c>
      <c r="C13" s="844"/>
      <c r="D13" s="842" t="s">
        <v>501</v>
      </c>
      <c r="E13" s="841"/>
      <c r="F13" s="1877">
        <f>'Expenditures 15-22'!K342</f>
        <v>116974</v>
      </c>
      <c r="G13" s="846"/>
    </row>
    <row r="14" spans="1:7" ht="12" customHeight="1" thickBot="1" x14ac:dyDescent="0.25">
      <c r="A14" s="1742"/>
      <c r="B14" s="1743"/>
      <c r="C14" s="1744"/>
      <c r="D14" s="1745" t="s">
        <v>501</v>
      </c>
      <c r="E14" s="1746" t="s">
        <v>958</v>
      </c>
      <c r="F14" s="1747">
        <f>SUM(F8:F13)</f>
        <v>11617061</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78">
        <f>'Revenues 9-14'!F43</f>
        <v>0</v>
      </c>
      <c r="G18" s="838"/>
    </row>
    <row r="19" spans="1:7" x14ac:dyDescent="0.2">
      <c r="A19" s="842" t="s">
        <v>461</v>
      </c>
      <c r="B19" s="843" t="s">
        <v>1011</v>
      </c>
      <c r="C19" s="850">
        <f>'Revenues 9-14'!B47</f>
        <v>1421</v>
      </c>
      <c r="D19" s="851" t="str">
        <f>'Revenues 9-14'!A47</f>
        <v>Summer Sch - Transp. Fees from Pupils or Parents (In State)</v>
      </c>
      <c r="E19" s="852"/>
      <c r="F19" s="1879">
        <f>'Revenues 9-14'!F47</f>
        <v>0</v>
      </c>
      <c r="G19" s="838"/>
    </row>
    <row r="20" spans="1:7" x14ac:dyDescent="0.2">
      <c r="A20" s="842" t="s">
        <v>461</v>
      </c>
      <c r="B20" s="843" t="s">
        <v>1012</v>
      </c>
      <c r="C20" s="848">
        <f>'Revenues 9-14'!B48</f>
        <v>1422</v>
      </c>
      <c r="D20" s="849" t="str">
        <f>'Revenues 9-14'!A48</f>
        <v>Summer Sch - Transp. Fees from Other Districts (In State)</v>
      </c>
      <c r="E20" s="841"/>
      <c r="F20" s="1880">
        <f>'Revenues 9-14'!F48</f>
        <v>0</v>
      </c>
      <c r="G20" s="838"/>
    </row>
    <row r="21" spans="1:7" x14ac:dyDescent="0.2">
      <c r="A21" s="842" t="s">
        <v>461</v>
      </c>
      <c r="B21" s="843" t="s">
        <v>1013</v>
      </c>
      <c r="C21" s="850">
        <f>'Revenues 9-14'!B49</f>
        <v>1423</v>
      </c>
      <c r="D21" s="849" t="str">
        <f>'Revenues 9-14'!A49</f>
        <v>Summer Sch - Transp. Fees from Other Sources (In State)</v>
      </c>
      <c r="E21" s="841"/>
      <c r="F21" s="1881">
        <f>'Revenues 9-14'!F49</f>
        <v>0</v>
      </c>
      <c r="G21" s="838"/>
    </row>
    <row r="22" spans="1:7" x14ac:dyDescent="0.2">
      <c r="A22" s="842" t="s">
        <v>461</v>
      </c>
      <c r="B22" s="843" t="s">
        <v>1014</v>
      </c>
      <c r="C22" s="850">
        <f>'Revenues 9-14'!B50</f>
        <v>1424</v>
      </c>
      <c r="D22" s="849" t="str">
        <f>'Revenues 9-14'!A50</f>
        <v>Summer Sch - Transp. Fees from Other Sources (Out of State)</v>
      </c>
      <c r="E22" s="841"/>
      <c r="F22" s="1881">
        <f>'Revenues 9-14'!F50</f>
        <v>0</v>
      </c>
      <c r="G22" s="838"/>
    </row>
    <row r="23" spans="1:7" x14ac:dyDescent="0.2">
      <c r="A23" s="842" t="s">
        <v>461</v>
      </c>
      <c r="B23" s="843" t="s">
        <v>1015</v>
      </c>
      <c r="C23" s="848">
        <f>'Revenues 9-14'!B52</f>
        <v>1432</v>
      </c>
      <c r="D23" s="849" t="str">
        <f>'Revenues 9-14'!A52</f>
        <v>CTE - Transp Fees from Other Districts (In State)</v>
      </c>
      <c r="E23" s="841"/>
      <c r="F23" s="1881">
        <f>'Revenues 9-14'!F52</f>
        <v>0</v>
      </c>
      <c r="G23" s="838"/>
    </row>
    <row r="24" spans="1:7" x14ac:dyDescent="0.2">
      <c r="A24" s="842" t="s">
        <v>461</v>
      </c>
      <c r="B24" s="843" t="s">
        <v>1016</v>
      </c>
      <c r="C24" s="848">
        <f>'Revenues 9-14'!B56</f>
        <v>1442</v>
      </c>
      <c r="D24" s="849" t="str">
        <f>'Revenues 9-14'!A56</f>
        <v>Special Ed - Transp Fees from Other Districts (In State)</v>
      </c>
      <c r="E24" s="841"/>
      <c r="F24" s="1881">
        <f>'Revenues 9-14'!F56</f>
        <v>0</v>
      </c>
      <c r="G24" s="838"/>
    </row>
    <row r="25" spans="1:7" x14ac:dyDescent="0.2">
      <c r="A25" s="842" t="s">
        <v>461</v>
      </c>
      <c r="B25" s="843" t="s">
        <v>1017</v>
      </c>
      <c r="C25" s="848">
        <f>'Revenues 9-14'!B59</f>
        <v>1451</v>
      </c>
      <c r="D25" s="849" t="str">
        <f>'Revenues 9-14'!A59</f>
        <v>Adult - Transp Fees from Pupils or Parents (In State)</v>
      </c>
      <c r="E25" s="841"/>
      <c r="F25" s="1881">
        <f>'Revenues 9-14'!F59</f>
        <v>0</v>
      </c>
      <c r="G25" s="838"/>
    </row>
    <row r="26" spans="1:7" x14ac:dyDescent="0.2">
      <c r="A26" s="842" t="s">
        <v>461</v>
      </c>
      <c r="B26" s="843" t="s">
        <v>1018</v>
      </c>
      <c r="C26" s="848">
        <f>'Revenues 9-14'!B60</f>
        <v>1452</v>
      </c>
      <c r="D26" s="849" t="str">
        <f>'Revenues 9-14'!A60</f>
        <v>Adult - Transp Fees from Other Districts (In State)</v>
      </c>
      <c r="E26" s="841"/>
      <c r="F26" s="1881">
        <f>'Revenues 9-14'!F60</f>
        <v>0</v>
      </c>
      <c r="G26" s="838"/>
    </row>
    <row r="27" spans="1:7" x14ac:dyDescent="0.2">
      <c r="A27" s="842" t="s">
        <v>461</v>
      </c>
      <c r="B27" s="843" t="s">
        <v>1019</v>
      </c>
      <c r="C27" s="848">
        <f>'Revenues 9-14'!B61</f>
        <v>1453</v>
      </c>
      <c r="D27" s="849" t="str">
        <f>'Revenues 9-14'!A61</f>
        <v>Adult - Transp Fees from Other Sources (In State)</v>
      </c>
      <c r="E27" s="841"/>
      <c r="F27" s="1881">
        <f>'Revenues 9-14'!F61</f>
        <v>0</v>
      </c>
      <c r="G27" s="838"/>
    </row>
    <row r="28" spans="1:7" x14ac:dyDescent="0.2">
      <c r="A28" s="842" t="s">
        <v>461</v>
      </c>
      <c r="B28" s="843" t="s">
        <v>1020</v>
      </c>
      <c r="C28" s="848">
        <f>'Revenues 9-14'!B62</f>
        <v>1454</v>
      </c>
      <c r="D28" s="849" t="str">
        <f>'Revenues 9-14'!A62</f>
        <v>Adult - Transp Fees from Other Sources (Out of State)</v>
      </c>
      <c r="E28" s="841"/>
      <c r="F28" s="1881">
        <f>'Revenues 9-14'!F62</f>
        <v>0</v>
      </c>
      <c r="G28" s="838"/>
    </row>
    <row r="29" spans="1:7" x14ac:dyDescent="0.2">
      <c r="A29" s="842" t="s">
        <v>1097</v>
      </c>
      <c r="B29" s="843" t="s">
        <v>810</v>
      </c>
      <c r="C29" s="853">
        <f>'Revenues 9-14'!B149</f>
        <v>3410</v>
      </c>
      <c r="D29" s="854" t="str">
        <f>'Revenues 9-14'!A149</f>
        <v>Adult Ed (from ICCB)</v>
      </c>
      <c r="E29" s="841"/>
      <c r="F29" s="1881">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2">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1">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1">
        <f>SUM('Revenues 9-14'!D212,'Revenues 9-14'!F212)</f>
        <v>0</v>
      </c>
      <c r="G32" s="838"/>
    </row>
    <row r="33" spans="1:7" x14ac:dyDescent="0.2">
      <c r="A33" s="842" t="s">
        <v>460</v>
      </c>
      <c r="B33" s="843" t="s">
        <v>2002</v>
      </c>
      <c r="C33" s="848">
        <f>'Revenues 9-14'!B222</f>
        <v>4810</v>
      </c>
      <c r="D33" s="856" t="str">
        <f>'Revenues 9-14'!A222</f>
        <v>Federal - Adult Education</v>
      </c>
      <c r="E33" s="841"/>
      <c r="F33" s="1881">
        <f>'Revenues 9-14'!D222</f>
        <v>0</v>
      </c>
      <c r="G33" s="838"/>
    </row>
    <row r="34" spans="1:7" x14ac:dyDescent="0.2">
      <c r="A34" s="842" t="s">
        <v>459</v>
      </c>
      <c r="B34" s="842" t="s">
        <v>1469</v>
      </c>
      <c r="C34" s="859" t="str">
        <f>'Expenditures 15-22'!B7</f>
        <v>1125</v>
      </c>
      <c r="D34" s="860" t="str">
        <f>'Expenditures 15-22'!A7</f>
        <v>Pre-K Programs</v>
      </c>
      <c r="E34" s="841"/>
      <c r="F34" s="1881">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1">
        <f>'Expenditures 15-22'!K9-SUM('Expenditures 15-22'!G9+'Expenditures 15-22'!I9)</f>
        <v>233394</v>
      </c>
      <c r="G35" s="838"/>
    </row>
    <row r="36" spans="1:7" x14ac:dyDescent="0.2">
      <c r="A36" s="842" t="s">
        <v>459</v>
      </c>
      <c r="B36" s="842" t="s">
        <v>116</v>
      </c>
      <c r="C36" s="859" t="str">
        <f>'Expenditures 15-22'!B11</f>
        <v>1275</v>
      </c>
      <c r="D36" s="860" t="str">
        <f>'Expenditures 15-22'!A11</f>
        <v>Remedial and Supplemental Programs Pre-K</v>
      </c>
      <c r="E36" s="841"/>
      <c r="F36" s="1881">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1">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1">
        <f>'Expenditures 15-22'!K15-SUM('Expenditures 15-22'!G15,'Expenditures 15-22'!I15)</f>
        <v>24119</v>
      </c>
      <c r="G38" s="838"/>
    </row>
    <row r="39" spans="1:7" x14ac:dyDescent="0.2">
      <c r="A39" s="842" t="s">
        <v>459</v>
      </c>
      <c r="B39" s="842" t="s">
        <v>117</v>
      </c>
      <c r="C39" s="859" t="str">
        <f>'Expenditures 15-22'!B20</f>
        <v>1910</v>
      </c>
      <c r="D39" s="861" t="str">
        <f>'Expenditures 15-22'!A20</f>
        <v>Pre-K Programs - Private Tuition</v>
      </c>
      <c r="E39" s="841"/>
      <c r="F39" s="1881">
        <f>'Expenditures 15-22'!K20</f>
        <v>0</v>
      </c>
      <c r="G39" s="838"/>
    </row>
    <row r="40" spans="1:7" x14ac:dyDescent="0.2">
      <c r="A40" s="842" t="s">
        <v>459</v>
      </c>
      <c r="B40" s="842" t="s">
        <v>118</v>
      </c>
      <c r="C40" s="859" t="str">
        <f>'Expenditures 15-22'!B21</f>
        <v>1911</v>
      </c>
      <c r="D40" s="861" t="str">
        <f>'Expenditures 15-22'!A21</f>
        <v>Regular K-12 Programs - Private Tuition</v>
      </c>
      <c r="E40" s="841"/>
      <c r="F40" s="1881">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1">
        <f>'Expenditures 15-22'!K22</f>
        <v>0</v>
      </c>
      <c r="G41" s="838"/>
    </row>
    <row r="42" spans="1:7" x14ac:dyDescent="0.2">
      <c r="A42" s="842" t="s">
        <v>459</v>
      </c>
      <c r="B42" s="842" t="s">
        <v>120</v>
      </c>
      <c r="C42" s="862" t="str">
        <f>'Expenditures 15-22'!B23</f>
        <v>1913</v>
      </c>
      <c r="D42" s="861" t="str">
        <f>'Expenditures 15-22'!A23</f>
        <v>Special Education Programs Pre-K - Tuition</v>
      </c>
      <c r="E42" s="841"/>
      <c r="F42" s="1881">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1">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1">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1">
        <f>'Expenditures 15-22'!K26</f>
        <v>0</v>
      </c>
      <c r="G45" s="838"/>
    </row>
    <row r="46" spans="1:7" x14ac:dyDescent="0.2">
      <c r="A46" s="842" t="s">
        <v>459</v>
      </c>
      <c r="B46" s="842" t="s">
        <v>124</v>
      </c>
      <c r="C46" s="859" t="str">
        <f>'Expenditures 15-22'!B27</f>
        <v>1917</v>
      </c>
      <c r="D46" s="861" t="str">
        <f>'Expenditures 15-22'!A27</f>
        <v>CTE Programs - Private Tuition</v>
      </c>
      <c r="E46" s="841"/>
      <c r="F46" s="1881">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1">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1">
        <f>'Expenditures 15-22'!K29</f>
        <v>0</v>
      </c>
      <c r="G48" s="838"/>
    </row>
    <row r="49" spans="1:7" x14ac:dyDescent="0.2">
      <c r="A49" s="842" t="s">
        <v>459</v>
      </c>
      <c r="B49" s="842" t="s">
        <v>127</v>
      </c>
      <c r="C49" s="859" t="str">
        <f>'Expenditures 15-22'!B30</f>
        <v>1920</v>
      </c>
      <c r="D49" s="861" t="str">
        <f>'Expenditures 15-22'!A30</f>
        <v>Gifted Programs - Private Tuition</v>
      </c>
      <c r="E49" s="841"/>
      <c r="F49" s="1881">
        <f>'Expenditures 15-22'!K30</f>
        <v>0</v>
      </c>
      <c r="G49" s="838"/>
    </row>
    <row r="50" spans="1:7" x14ac:dyDescent="0.2">
      <c r="A50" s="842" t="s">
        <v>459</v>
      </c>
      <c r="B50" s="842" t="s">
        <v>128</v>
      </c>
      <c r="C50" s="859" t="str">
        <f>'Expenditures 15-22'!B31</f>
        <v>1921</v>
      </c>
      <c r="D50" s="861" t="str">
        <f>'Expenditures 15-22'!A31</f>
        <v>Bilingual Programs - Private Tuition</v>
      </c>
      <c r="E50" s="841"/>
      <c r="F50" s="1881">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1">
        <f>'Expenditures 15-22'!K32</f>
        <v>0</v>
      </c>
      <c r="G51" s="838"/>
    </row>
    <row r="52" spans="1:7" x14ac:dyDescent="0.2">
      <c r="A52" s="842" t="s">
        <v>459</v>
      </c>
      <c r="B52" s="842" t="s">
        <v>1474</v>
      </c>
      <c r="C52" s="862" t="str">
        <f>'Expenditures 15-22'!B75</f>
        <v>3000</v>
      </c>
      <c r="D52" s="861" t="s">
        <v>449</v>
      </c>
      <c r="E52" s="841"/>
      <c r="F52" s="1881">
        <f>'Expenditures 15-22'!K75-SUM('Expenditures 15-22'!G75,'Expenditures 15-22'!I75)</f>
        <v>0</v>
      </c>
      <c r="G52" s="838"/>
    </row>
    <row r="53" spans="1:7" x14ac:dyDescent="0.2">
      <c r="A53" s="842" t="s">
        <v>459</v>
      </c>
      <c r="B53" s="842" t="s">
        <v>1475</v>
      </c>
      <c r="C53" s="862">
        <f>'Expenditures 15-22'!B102</f>
        <v>4000</v>
      </c>
      <c r="D53" s="861" t="str">
        <f>'Expenditures 15-22'!A102</f>
        <v>Total Payments to Other Govt Units</v>
      </c>
      <c r="E53" s="841"/>
      <c r="F53" s="1881">
        <f>'Expenditures 15-22'!K102</f>
        <v>217230</v>
      </c>
      <c r="G53" s="838"/>
    </row>
    <row r="54" spans="1:7" x14ac:dyDescent="0.2">
      <c r="A54" s="842" t="s">
        <v>459</v>
      </c>
      <c r="B54" s="842" t="s">
        <v>1476</v>
      </c>
      <c r="C54" s="862" t="s">
        <v>982</v>
      </c>
      <c r="D54" s="858" t="s">
        <v>1095</v>
      </c>
      <c r="E54" s="841"/>
      <c r="F54" s="1881">
        <f>'Expenditures 15-22'!G114</f>
        <v>46440</v>
      </c>
      <c r="G54" s="838"/>
    </row>
    <row r="55" spans="1:7" x14ac:dyDescent="0.2">
      <c r="A55" s="842" t="s">
        <v>459</v>
      </c>
      <c r="B55" s="842" t="s">
        <v>1477</v>
      </c>
      <c r="C55" s="862" t="s">
        <v>982</v>
      </c>
      <c r="D55" s="858" t="s">
        <v>291</v>
      </c>
      <c r="E55" s="841"/>
      <c r="F55" s="1881">
        <f>'Expenditures 15-22'!I114</f>
        <v>5388</v>
      </c>
      <c r="G55" s="838"/>
    </row>
    <row r="56" spans="1:7" x14ac:dyDescent="0.2">
      <c r="A56" s="842" t="s">
        <v>460</v>
      </c>
      <c r="B56" s="842" t="s">
        <v>1478</v>
      </c>
      <c r="C56" s="859" t="str">
        <f>'Expenditures 15-22'!B130</f>
        <v>3000</v>
      </c>
      <c r="D56" s="865" t="s">
        <v>449</v>
      </c>
      <c r="E56" s="841"/>
      <c r="F56" s="1881">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1">
        <f>'Expenditures 15-22'!K139</f>
        <v>9978</v>
      </c>
      <c r="G57" s="838"/>
    </row>
    <row r="58" spans="1:7" x14ac:dyDescent="0.2">
      <c r="A58" s="842" t="s">
        <v>460</v>
      </c>
      <c r="B58" s="842" t="s">
        <v>1883</v>
      </c>
      <c r="C58" s="859" t="s">
        <v>982</v>
      </c>
      <c r="D58" s="858" t="s">
        <v>1095</v>
      </c>
      <c r="E58" s="841"/>
      <c r="F58" s="1883">
        <f>'Expenditures 15-22'!G151</f>
        <v>330258</v>
      </c>
      <c r="G58" s="838"/>
    </row>
    <row r="59" spans="1:7" x14ac:dyDescent="0.2">
      <c r="A59" s="866" t="s">
        <v>460</v>
      </c>
      <c r="B59" s="829" t="s">
        <v>1884</v>
      </c>
      <c r="C59" s="867" t="s">
        <v>982</v>
      </c>
      <c r="D59" s="829" t="s">
        <v>291</v>
      </c>
      <c r="F59" s="1884">
        <f>'Expenditures 15-22'!I151</f>
        <v>42854</v>
      </c>
      <c r="G59" s="838"/>
    </row>
    <row r="60" spans="1:7" x14ac:dyDescent="0.2">
      <c r="A60" s="866" t="s">
        <v>499</v>
      </c>
      <c r="B60" s="829" t="s">
        <v>1885</v>
      </c>
      <c r="C60" s="867">
        <v>4000</v>
      </c>
      <c r="D60" s="829" t="s">
        <v>312</v>
      </c>
      <c r="F60" s="1882">
        <f>'Expenditures 15-22'!K160</f>
        <v>0</v>
      </c>
      <c r="G60" s="838"/>
    </row>
    <row r="61" spans="1:7" x14ac:dyDescent="0.2">
      <c r="A61" s="868" t="s">
        <v>499</v>
      </c>
      <c r="B61" s="868" t="s">
        <v>1886</v>
      </c>
      <c r="C61" s="869" t="str">
        <f>'Expenditures 15-22'!B170</f>
        <v>5300</v>
      </c>
      <c r="D61" s="870" t="s">
        <v>311</v>
      </c>
      <c r="E61" s="852"/>
      <c r="F61" s="1881">
        <f>'Expenditures 15-22'!K170</f>
        <v>550000</v>
      </c>
      <c r="G61" s="838"/>
    </row>
    <row r="62" spans="1:7" x14ac:dyDescent="0.2">
      <c r="A62" s="842" t="s">
        <v>461</v>
      </c>
      <c r="B62" s="842" t="s">
        <v>1887</v>
      </c>
      <c r="C62" s="859">
        <f>'Expenditures 15-22'!B185</f>
        <v>3000</v>
      </c>
      <c r="D62" s="849" t="s">
        <v>449</v>
      </c>
      <c r="E62" s="841"/>
      <c r="F62" s="1881">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1">
        <f>'Expenditures 15-22'!K196</f>
        <v>0</v>
      </c>
      <c r="G63" s="838"/>
    </row>
    <row r="64" spans="1:7" x14ac:dyDescent="0.2">
      <c r="A64" s="868" t="s">
        <v>461</v>
      </c>
      <c r="B64" s="868" t="s">
        <v>1889</v>
      </c>
      <c r="C64" s="869" t="str">
        <f>'Expenditures 15-22'!B206</f>
        <v>5300</v>
      </c>
      <c r="D64" s="865" t="s">
        <v>311</v>
      </c>
      <c r="E64" s="841"/>
      <c r="F64" s="1881">
        <f>'Expenditures 15-22'!K206</f>
        <v>0</v>
      </c>
      <c r="G64" s="838"/>
    </row>
    <row r="65" spans="1:8" x14ac:dyDescent="0.2">
      <c r="A65" s="842" t="s">
        <v>461</v>
      </c>
      <c r="B65" s="842" t="s">
        <v>1890</v>
      </c>
      <c r="C65" s="859" t="s">
        <v>982</v>
      </c>
      <c r="D65" s="858" t="s">
        <v>1095</v>
      </c>
      <c r="E65" s="841"/>
      <c r="F65" s="1881">
        <f>'Expenditures 15-22'!G210</f>
        <v>0</v>
      </c>
      <c r="G65" s="838"/>
    </row>
    <row r="66" spans="1:8" x14ac:dyDescent="0.2">
      <c r="A66" s="842" t="s">
        <v>461</v>
      </c>
      <c r="B66" s="842" t="s">
        <v>1891</v>
      </c>
      <c r="C66" s="859" t="s">
        <v>982</v>
      </c>
      <c r="D66" s="858" t="s">
        <v>291</v>
      </c>
      <c r="E66" s="841"/>
      <c r="F66" s="1881">
        <f>'Expenditures 15-22'!I210</f>
        <v>17258</v>
      </c>
      <c r="G66" s="838"/>
    </row>
    <row r="67" spans="1:8" x14ac:dyDescent="0.2">
      <c r="A67" s="842" t="s">
        <v>462</v>
      </c>
      <c r="B67" s="842" t="s">
        <v>1892</v>
      </c>
      <c r="C67" s="859" t="str">
        <f>'Expenditures 15-22'!B216</f>
        <v>1125</v>
      </c>
      <c r="D67" s="865" t="str">
        <f>'Expenditures 15-22'!A216</f>
        <v>Pre-K Programs</v>
      </c>
      <c r="E67" s="841"/>
      <c r="F67" s="1881">
        <f>'Expenditures 15-22'!K216</f>
        <v>0</v>
      </c>
      <c r="G67" s="838"/>
    </row>
    <row r="68" spans="1:8" x14ac:dyDescent="0.2">
      <c r="A68" s="842" t="s">
        <v>462</v>
      </c>
      <c r="B68" s="842" t="s">
        <v>1479</v>
      </c>
      <c r="C68" s="859" t="str">
        <f>'Expenditures 15-22'!B218</f>
        <v>1225</v>
      </c>
      <c r="D68" s="865" t="str">
        <f>'Expenditures 15-22'!A218</f>
        <v>Special Education Programs - Pre-K</v>
      </c>
      <c r="E68" s="841"/>
      <c r="F68" s="1881">
        <f>'Expenditures 15-22'!K218</f>
        <v>11212</v>
      </c>
      <c r="G68" s="838"/>
    </row>
    <row r="69" spans="1:8" x14ac:dyDescent="0.2">
      <c r="A69" s="842" t="s">
        <v>462</v>
      </c>
      <c r="B69" s="842" t="s">
        <v>1893</v>
      </c>
      <c r="C69" s="859" t="str">
        <f>'Expenditures 15-22'!B220</f>
        <v>1275</v>
      </c>
      <c r="D69" s="865" t="str">
        <f>'Expenditures 15-22'!A220</f>
        <v>Remedial and Supplemental Programs - Pre-K</v>
      </c>
      <c r="E69" s="841"/>
      <c r="F69" s="1881">
        <f>'Expenditures 15-22'!K220</f>
        <v>0</v>
      </c>
      <c r="G69" s="838"/>
    </row>
    <row r="70" spans="1:8" x14ac:dyDescent="0.2">
      <c r="A70" s="842" t="s">
        <v>462</v>
      </c>
      <c r="B70" s="842" t="s">
        <v>1894</v>
      </c>
      <c r="C70" s="859">
        <f>'Expenditures 15-22'!B221</f>
        <v>1300</v>
      </c>
      <c r="D70" s="860" t="str">
        <f>'Expenditures 15-22'!A221</f>
        <v>Adult/Continuing Education Programs</v>
      </c>
      <c r="E70" s="841"/>
      <c r="F70" s="1881">
        <f>'Expenditures 15-22'!K221</f>
        <v>0</v>
      </c>
      <c r="G70" s="838"/>
    </row>
    <row r="71" spans="1:8" x14ac:dyDescent="0.2">
      <c r="A71" s="842" t="s">
        <v>462</v>
      </c>
      <c r="B71" s="842" t="s">
        <v>1895</v>
      </c>
      <c r="C71" s="859">
        <f>'Expenditures 15-22'!B224</f>
        <v>1600</v>
      </c>
      <c r="D71" s="860" t="str">
        <f>'Expenditures 15-22'!A224</f>
        <v>Summer School Programs</v>
      </c>
      <c r="E71" s="841"/>
      <c r="F71" s="1881">
        <f>'Expenditures 15-22'!K224</f>
        <v>922</v>
      </c>
      <c r="G71" s="838"/>
    </row>
    <row r="72" spans="1:8" x14ac:dyDescent="0.2">
      <c r="A72" s="842" t="s">
        <v>462</v>
      </c>
      <c r="B72" s="842" t="s">
        <v>1896</v>
      </c>
      <c r="C72" s="859">
        <f>'Expenditures 15-22'!B280</f>
        <v>3000</v>
      </c>
      <c r="D72" s="849" t="s">
        <v>449</v>
      </c>
      <c r="E72" s="841"/>
      <c r="F72" s="1881">
        <f>'Expenditures 15-22'!K280</f>
        <v>0</v>
      </c>
      <c r="G72" s="838"/>
    </row>
    <row r="73" spans="1:8" x14ac:dyDescent="0.2">
      <c r="A73" s="842" t="s">
        <v>462</v>
      </c>
      <c r="B73" s="842" t="s">
        <v>1897</v>
      </c>
      <c r="C73" s="859" t="str">
        <f>'Expenditures 15-22'!B285</f>
        <v>4000</v>
      </c>
      <c r="D73" s="860" t="str">
        <f>'Expenditures 15-22'!A285</f>
        <v>Total Payments to Other Govt Units</v>
      </c>
      <c r="E73" s="841"/>
      <c r="F73" s="1881">
        <f>'Expenditures 15-22'!K285</f>
        <v>0</v>
      </c>
      <c r="G73" s="838"/>
    </row>
    <row r="74" spans="1:8" x14ac:dyDescent="0.2">
      <c r="A74" s="842" t="s">
        <v>436</v>
      </c>
      <c r="B74" s="842" t="s">
        <v>1898</v>
      </c>
      <c r="C74" s="859" t="s">
        <v>860</v>
      </c>
      <c r="D74" s="860" t="s">
        <v>1487</v>
      </c>
      <c r="E74" s="841"/>
      <c r="F74" s="1885">
        <f>'Expenditures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1899</v>
      </c>
      <c r="E76" s="1746" t="s">
        <v>958</v>
      </c>
      <c r="F76" s="1750">
        <f>SUM(F18:F74)</f>
        <v>1489053</v>
      </c>
      <c r="G76" s="838"/>
    </row>
    <row r="77" spans="1:8" s="866" customFormat="1" ht="12" customHeight="1" thickTop="1" thickBot="1" x14ac:dyDescent="0.25">
      <c r="A77" s="1751"/>
      <c r="B77" s="1748"/>
      <c r="C77" s="1744"/>
      <c r="D77" s="1749" t="s">
        <v>1900</v>
      </c>
      <c r="E77" s="1746"/>
      <c r="F77" s="1752">
        <f>(F14-F76)</f>
        <v>10128008</v>
      </c>
      <c r="G77" s="842"/>
    </row>
    <row r="78" spans="1:8" s="866" customFormat="1" ht="12" customHeight="1" thickTop="1" x14ac:dyDescent="0.2">
      <c r="A78" s="1753"/>
      <c r="B78" s="1748"/>
      <c r="C78" s="1744"/>
      <c r="D78" s="1749" t="s">
        <v>2062</v>
      </c>
      <c r="E78" s="1746"/>
      <c r="F78" s="871">
        <v>626.79999999999995</v>
      </c>
      <c r="G78" s="872"/>
      <c r="H78" s="842"/>
    </row>
    <row r="79" spans="1:8" s="866" customFormat="1" ht="12" customHeight="1" thickBot="1" x14ac:dyDescent="0.25">
      <c r="A79" s="1754"/>
      <c r="B79" s="1748"/>
      <c r="C79" s="1744"/>
      <c r="D79" s="1749" t="s">
        <v>1901</v>
      </c>
      <c r="E79" s="1746" t="s">
        <v>958</v>
      </c>
      <c r="F79" s="1755">
        <f>IF(F78&gt;0,F77/F78," Complete Line 78")</f>
        <v>16158.276962348438</v>
      </c>
      <c r="G79" s="842"/>
    </row>
    <row r="80" spans="1:8" s="866" customFormat="1" ht="8.25" customHeight="1" thickTop="1" x14ac:dyDescent="0.2">
      <c r="A80" s="873"/>
      <c r="B80" s="842"/>
      <c r="C80" s="844"/>
      <c r="D80" s="874"/>
      <c r="E80" s="841"/>
      <c r="F80" s="875"/>
      <c r="G80" s="842"/>
    </row>
    <row r="81" spans="1:7" s="866" customFormat="1" ht="12" thickBot="1" x14ac:dyDescent="0.25">
      <c r="A81" s="2329" t="s">
        <v>1105</v>
      </c>
      <c r="B81" s="2330"/>
      <c r="C81" s="2330"/>
      <c r="D81" s="2330"/>
      <c r="E81" s="2330"/>
      <c r="F81" s="2331"/>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5">
        <f>'Revenues 9-14'!F42</f>
        <v>0</v>
      </c>
      <c r="G84" s="885"/>
    </row>
    <row r="85" spans="1:7" x14ac:dyDescent="0.2">
      <c r="A85" s="881" t="s">
        <v>461</v>
      </c>
      <c r="B85" s="881" t="s">
        <v>183</v>
      </c>
      <c r="C85" s="886">
        <f>'Revenues 9-14'!B44</f>
        <v>1413</v>
      </c>
      <c r="D85" s="884" t="str">
        <f>'Revenues 9-14'!A44</f>
        <v>Regular - Transp Fees from Other Sources (In State)</v>
      </c>
      <c r="E85" s="879"/>
      <c r="F85" s="1761">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1">
        <f>'Revenues 9-14'!F45</f>
        <v>0</v>
      </c>
      <c r="G86" s="887"/>
    </row>
    <row r="87" spans="1:7" x14ac:dyDescent="0.2">
      <c r="A87" s="881" t="s">
        <v>461</v>
      </c>
      <c r="B87" s="881" t="s">
        <v>167</v>
      </c>
      <c r="C87" s="883">
        <v>1416</v>
      </c>
      <c r="D87" s="884" t="str">
        <f>'Revenues 9-14'!A46</f>
        <v>Regular Transp Fees from Other Sources (Out of State)</v>
      </c>
      <c r="E87" s="879"/>
      <c r="F87" s="1761">
        <f>'Revenues 9-14'!F46</f>
        <v>0</v>
      </c>
      <c r="G87" s="887"/>
    </row>
    <row r="88" spans="1:7" x14ac:dyDescent="0.2">
      <c r="A88" s="881" t="s">
        <v>461</v>
      </c>
      <c r="B88" s="881" t="s">
        <v>168</v>
      </c>
      <c r="C88" s="883">
        <f>'Revenues 9-14'!B51</f>
        <v>1431</v>
      </c>
      <c r="D88" s="884" t="str">
        <f>'Revenues 9-14'!A51</f>
        <v>CTE - Transp Fees from Pupils or Parents (In State)</v>
      </c>
      <c r="E88" s="879"/>
      <c r="F88" s="1761">
        <f>'Revenues 9-14'!F51</f>
        <v>0</v>
      </c>
      <c r="G88" s="887"/>
    </row>
    <row r="89" spans="1:7" x14ac:dyDescent="0.2">
      <c r="A89" s="881" t="s">
        <v>461</v>
      </c>
      <c r="B89" s="881" t="s">
        <v>169</v>
      </c>
      <c r="C89" s="883">
        <f>'Revenues 9-14'!B53</f>
        <v>1433</v>
      </c>
      <c r="D89" s="884" t="str">
        <f>'Revenues 9-14'!A53</f>
        <v>CTE - Transp Fees from Other Sources (In State)</v>
      </c>
      <c r="E89" s="879"/>
      <c r="F89" s="1761">
        <f>'Revenues 9-14'!F53</f>
        <v>0</v>
      </c>
      <c r="G89" s="887"/>
    </row>
    <row r="90" spans="1:7" x14ac:dyDescent="0.2">
      <c r="A90" s="881" t="s">
        <v>461</v>
      </c>
      <c r="B90" s="881" t="s">
        <v>170</v>
      </c>
      <c r="C90" s="883">
        <f>'Revenues 9-14'!B54</f>
        <v>1434</v>
      </c>
      <c r="D90" s="884" t="str">
        <f>'Revenues 9-14'!A54</f>
        <v>CTE - Transp Fees from Other Sources (Out of State)</v>
      </c>
      <c r="E90" s="879"/>
      <c r="F90" s="1761">
        <f>'Revenues 9-14'!F54</f>
        <v>0</v>
      </c>
      <c r="G90" s="887"/>
    </row>
    <row r="91" spans="1:7" x14ac:dyDescent="0.2">
      <c r="A91" s="881" t="s">
        <v>461</v>
      </c>
      <c r="B91" s="881" t="s">
        <v>171</v>
      </c>
      <c r="C91" s="888">
        <f>'Revenues 9-14'!B55</f>
        <v>1441</v>
      </c>
      <c r="D91" s="884" t="str">
        <f>'Revenues 9-14'!A55</f>
        <v>Special Ed - Transp Fees from Pupils or Parents (In State)</v>
      </c>
      <c r="E91" s="879"/>
      <c r="F91" s="1761">
        <f>'Revenues 9-14'!F55</f>
        <v>0</v>
      </c>
      <c r="G91" s="887"/>
    </row>
    <row r="92" spans="1:7" x14ac:dyDescent="0.2">
      <c r="A92" s="881" t="s">
        <v>461</v>
      </c>
      <c r="B92" s="881" t="s">
        <v>172</v>
      </c>
      <c r="C92" s="883">
        <f>'Revenues 9-14'!B57</f>
        <v>1443</v>
      </c>
      <c r="D92" s="884" t="str">
        <f>'Revenues 9-14'!A57</f>
        <v>Special Ed - Transp Fees from Other Sources (In State)</v>
      </c>
      <c r="E92" s="879"/>
      <c r="F92" s="1761">
        <f>'Revenues 9-14'!F57</f>
        <v>0</v>
      </c>
      <c r="G92" s="889"/>
    </row>
    <row r="93" spans="1:7" x14ac:dyDescent="0.2">
      <c r="A93" s="881" t="s">
        <v>461</v>
      </c>
      <c r="B93" s="881" t="s">
        <v>173</v>
      </c>
      <c r="C93" s="883">
        <f>'Revenues 9-14'!B58</f>
        <v>1444</v>
      </c>
      <c r="D93" s="884" t="str">
        <f>'Revenues 9-14'!A58</f>
        <v>Special Ed - Transp Fees from Other Sources (Out of State)</v>
      </c>
      <c r="E93" s="879"/>
      <c r="F93" s="1761">
        <f>'Revenues 9-14'!F58</f>
        <v>0</v>
      </c>
      <c r="G93" s="889"/>
    </row>
    <row r="94" spans="1:7" x14ac:dyDescent="0.2">
      <c r="A94" s="881" t="s">
        <v>459</v>
      </c>
      <c r="B94" s="881" t="s">
        <v>174</v>
      </c>
      <c r="C94" s="883">
        <v>1600</v>
      </c>
      <c r="D94" s="890" t="str">
        <f>'Revenues 9-14'!A75</f>
        <v>Total Food Service</v>
      </c>
      <c r="E94" s="879"/>
      <c r="F94" s="1761">
        <f>'Revenues 9-14'!C75</f>
        <v>89108</v>
      </c>
      <c r="G94" s="885"/>
    </row>
    <row r="95" spans="1:7" x14ac:dyDescent="0.2">
      <c r="A95" s="881" t="s">
        <v>140</v>
      </c>
      <c r="B95" s="881" t="s">
        <v>175</v>
      </c>
      <c r="C95" s="883">
        <v>1700</v>
      </c>
      <c r="D95" s="891" t="str">
        <f>'Revenues 9-14'!A82</f>
        <v>Total District/School Activity Income</v>
      </c>
      <c r="E95" s="879"/>
      <c r="F95" s="1761">
        <f>SUM('Revenues 9-14'!C82,'Revenues 9-14'!D82)</f>
        <v>45337</v>
      </c>
      <c r="G95" s="885"/>
    </row>
    <row r="96" spans="1:7" x14ac:dyDescent="0.2">
      <c r="A96" s="881" t="s">
        <v>459</v>
      </c>
      <c r="B96" s="881" t="s">
        <v>176</v>
      </c>
      <c r="C96" s="883">
        <f>'Revenues 9-14'!B84</f>
        <v>1811</v>
      </c>
      <c r="D96" s="884" t="str">
        <f>'Revenues 9-14'!A84</f>
        <v>Rentals - Regular Textbooks</v>
      </c>
      <c r="E96" s="879"/>
      <c r="F96" s="1761">
        <f>'Revenues 9-14'!C84</f>
        <v>0</v>
      </c>
      <c r="G96" s="885"/>
    </row>
    <row r="97" spans="1:7" x14ac:dyDescent="0.2">
      <c r="A97" s="881" t="s">
        <v>459</v>
      </c>
      <c r="B97" s="881" t="s">
        <v>177</v>
      </c>
      <c r="C97" s="883">
        <f>'Revenues 9-14'!B87</f>
        <v>1819</v>
      </c>
      <c r="D97" s="884" t="str">
        <f>'Revenues 9-14'!A87</f>
        <v>Rentals - Other (Describe &amp; Itemize)</v>
      </c>
      <c r="E97" s="879"/>
      <c r="F97" s="1761">
        <f>'Revenues 9-14'!C87</f>
        <v>0</v>
      </c>
      <c r="G97" s="885"/>
    </row>
    <row r="98" spans="1:7" x14ac:dyDescent="0.2">
      <c r="A98" s="881" t="s">
        <v>459</v>
      </c>
      <c r="B98" s="881" t="s">
        <v>178</v>
      </c>
      <c r="C98" s="883">
        <f>'Revenues 9-14'!B88</f>
        <v>1821</v>
      </c>
      <c r="D98" s="884" t="str">
        <f>'Revenues 9-14'!A88</f>
        <v>Sales - Regular Textbooks</v>
      </c>
      <c r="E98" s="879"/>
      <c r="F98" s="1761">
        <f>'Revenues 9-14'!C88</f>
        <v>71303</v>
      </c>
      <c r="G98" s="885"/>
    </row>
    <row r="99" spans="1:7" x14ac:dyDescent="0.2">
      <c r="A99" s="881" t="s">
        <v>459</v>
      </c>
      <c r="B99" s="881" t="s">
        <v>179</v>
      </c>
      <c r="C99" s="883">
        <f>'Revenues 9-14'!B91</f>
        <v>1829</v>
      </c>
      <c r="D99" s="884" t="str">
        <f>'Revenues 9-14'!A91</f>
        <v>Sales - Other (Describe &amp; Itemize)</v>
      </c>
      <c r="E99" s="879"/>
      <c r="F99" s="1761">
        <f>'Revenues 9-14'!C91</f>
        <v>0</v>
      </c>
      <c r="G99" s="885"/>
    </row>
    <row r="100" spans="1:7" x14ac:dyDescent="0.2">
      <c r="A100" s="881" t="s">
        <v>459</v>
      </c>
      <c r="B100" s="881" t="s">
        <v>180</v>
      </c>
      <c r="C100" s="883">
        <f>'Revenues 9-14'!B92</f>
        <v>1890</v>
      </c>
      <c r="D100" s="884" t="str">
        <f>'Revenues 9-14'!A92</f>
        <v>Other (Describe &amp; Itemize)</v>
      </c>
      <c r="E100" s="879"/>
      <c r="F100" s="1761">
        <f>'Revenues 9-14'!C92</f>
        <v>0</v>
      </c>
      <c r="G100" s="885"/>
    </row>
    <row r="101" spans="1:7" x14ac:dyDescent="0.2">
      <c r="A101" s="881" t="s">
        <v>140</v>
      </c>
      <c r="B101" s="881" t="s">
        <v>181</v>
      </c>
      <c r="C101" s="883">
        <f>'Revenues 9-14'!B95</f>
        <v>1910</v>
      </c>
      <c r="D101" s="884" t="str">
        <f>'Revenues 9-14'!A95</f>
        <v>Rentals</v>
      </c>
      <c r="E101" s="879"/>
      <c r="F101" s="1761">
        <f>SUM('Revenues 9-14'!C95:D95)</f>
        <v>18804</v>
      </c>
      <c r="G101" s="885"/>
    </row>
    <row r="102" spans="1:7" x14ac:dyDescent="0.2">
      <c r="A102" s="881" t="s">
        <v>503</v>
      </c>
      <c r="B102" s="881" t="s">
        <v>182</v>
      </c>
      <c r="C102" s="883">
        <f>'Revenues 9-14'!B98</f>
        <v>1940</v>
      </c>
      <c r="D102" s="884" t="str">
        <f>'Revenues 9-14'!A98</f>
        <v>Services Provided Other Districts</v>
      </c>
      <c r="E102" s="879"/>
      <c r="F102" s="1761">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1">
        <f>SUM('Revenues 9-14'!C104,'Revenues 9-14'!D104,'Revenues 9-14'!E104,'Revenues 9-14'!F104,'Revenues 9-14'!G104)</f>
        <v>70864</v>
      </c>
      <c r="G103" s="885"/>
    </row>
    <row r="104" spans="1:7" x14ac:dyDescent="0.2">
      <c r="A104" s="881" t="s">
        <v>459</v>
      </c>
      <c r="B104" s="881" t="s">
        <v>808</v>
      </c>
      <c r="C104" s="883">
        <f>'Revenues 9-14'!B106</f>
        <v>1993</v>
      </c>
      <c r="D104" s="884" t="str">
        <f>'Revenues 9-14'!A106</f>
        <v>Other Local Fees (Describe &amp; Itemize)</v>
      </c>
      <c r="E104" s="879"/>
      <c r="F104" s="1761">
        <f>('Revenues 9-14'!C106)</f>
        <v>0</v>
      </c>
      <c r="G104" s="885"/>
    </row>
    <row r="105" spans="1:7" x14ac:dyDescent="0.2">
      <c r="A105" s="881" t="s">
        <v>503</v>
      </c>
      <c r="B105" s="881" t="s">
        <v>2003</v>
      </c>
      <c r="C105" s="886">
        <v>3100</v>
      </c>
      <c r="D105" s="892" t="str">
        <f>'Revenues 9-14'!A132</f>
        <v>Total Special Education</v>
      </c>
      <c r="E105" s="879"/>
      <c r="F105" s="1761">
        <f>SUM('Revenues 9-14'!C132:D132,'Revenues 9-14'!F132)</f>
        <v>5647</v>
      </c>
      <c r="G105" s="885"/>
    </row>
    <row r="106" spans="1:7" x14ac:dyDescent="0.2">
      <c r="A106" s="881" t="s">
        <v>673</v>
      </c>
      <c r="B106" s="881" t="s">
        <v>2004</v>
      </c>
      <c r="C106" s="893">
        <v>3200</v>
      </c>
      <c r="D106" s="884" t="str">
        <f>'Revenues 9-14'!A141</f>
        <v>Total Career and Technical Education</v>
      </c>
      <c r="E106" s="879"/>
      <c r="F106" s="1761">
        <f>SUM('Revenues 9-14'!C141,'Revenues 9-14'!D141,'Revenues 9-14'!G141)</f>
        <v>0</v>
      </c>
      <c r="G106" s="885"/>
    </row>
    <row r="107" spans="1:7" x14ac:dyDescent="0.2">
      <c r="A107" s="894" t="s">
        <v>664</v>
      </c>
      <c r="B107" s="881" t="s">
        <v>2005</v>
      </c>
      <c r="C107" s="893">
        <v>3300</v>
      </c>
      <c r="D107" s="884" t="str">
        <f>'Revenues 9-14'!A145</f>
        <v>Total Bilingual Ed</v>
      </c>
      <c r="E107" s="879"/>
      <c r="F107" s="1761">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1">
        <f>'Revenues 9-14'!C146</f>
        <v>647</v>
      </c>
      <c r="G108" s="885"/>
    </row>
    <row r="109" spans="1:7" x14ac:dyDescent="0.2">
      <c r="A109" s="881" t="s">
        <v>673</v>
      </c>
      <c r="B109" s="881" t="s">
        <v>2007</v>
      </c>
      <c r="C109" s="893">
        <f>'Revenues 9-14'!B147</f>
        <v>3365</v>
      </c>
      <c r="D109" s="884" t="str">
        <f>'Revenues 9-14'!A147</f>
        <v>School Breakfast Initiative</v>
      </c>
      <c r="E109" s="879"/>
      <c r="F109" s="1761">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1">
        <f>SUM('Revenues 9-14'!C148,'Revenues 9-14'!D148)</f>
        <v>0</v>
      </c>
      <c r="G110" s="885"/>
    </row>
    <row r="111" spans="1:7" x14ac:dyDescent="0.2">
      <c r="A111" s="881" t="s">
        <v>668</v>
      </c>
      <c r="B111" s="881" t="s">
        <v>2009</v>
      </c>
      <c r="C111" s="895">
        <v>3500</v>
      </c>
      <c r="D111" s="884" t="str">
        <f>'Revenues 9-14'!A155</f>
        <v>Total Transportation</v>
      </c>
      <c r="E111" s="879"/>
      <c r="F111" s="1761">
        <f>SUM('Revenues 9-14'!C155,'Revenues 9-14'!D155,'Revenues 9-14'!F155,'Revenues 9-14'!G155)</f>
        <v>133148</v>
      </c>
      <c r="G111" s="885"/>
    </row>
    <row r="112" spans="1:7" x14ac:dyDescent="0.2">
      <c r="A112" s="881" t="s">
        <v>459</v>
      </c>
      <c r="B112" s="881" t="s">
        <v>2010</v>
      </c>
      <c r="C112" s="893">
        <f>'Revenues 9-14'!B156</f>
        <v>3610</v>
      </c>
      <c r="D112" s="884" t="str">
        <f>'Revenues 9-14'!A156</f>
        <v>Learning Improvement - Change Grants</v>
      </c>
      <c r="E112" s="879"/>
      <c r="F112" s="1761">
        <f>'Revenues 9-14'!C156</f>
        <v>0</v>
      </c>
      <c r="G112" s="885"/>
    </row>
    <row r="113" spans="1:7" x14ac:dyDescent="0.2">
      <c r="A113" s="881" t="s">
        <v>668</v>
      </c>
      <c r="B113" s="881" t="s">
        <v>2011</v>
      </c>
      <c r="C113" s="893">
        <f>'Revenues 9-14'!B157</f>
        <v>3660</v>
      </c>
      <c r="D113" s="884" t="str">
        <f>'Revenues 9-14'!A157</f>
        <v>Scientific Literacy</v>
      </c>
      <c r="E113" s="879"/>
      <c r="F113" s="1761">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1">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1">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1">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75">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75">
        <f>SUM('Revenues 9-14'!C163:G163)</f>
        <v>0</v>
      </c>
      <c r="G118" s="885"/>
    </row>
    <row r="119" spans="1:7" x14ac:dyDescent="0.2">
      <c r="A119" s="896" t="s">
        <v>504</v>
      </c>
      <c r="B119" s="896" t="s">
        <v>2017</v>
      </c>
      <c r="C119" s="897">
        <f>'Revenues 9-14'!B164</f>
        <v>3815</v>
      </c>
      <c r="D119" s="898" t="str">
        <f>'Revenues 9-14'!A164</f>
        <v>State Charter Schools</v>
      </c>
      <c r="E119" s="879"/>
      <c r="F119" s="1875">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1">
        <f>'Revenues 9-14'!D167</f>
        <v>0</v>
      </c>
      <c r="G120" s="903"/>
    </row>
    <row r="121" spans="1:7" x14ac:dyDescent="0.2">
      <c r="A121" s="900" t="s">
        <v>500</v>
      </c>
      <c r="B121" s="900" t="s">
        <v>2019</v>
      </c>
      <c r="C121" s="901">
        <f>'Revenues 9-14'!B168</f>
        <v>3999</v>
      </c>
      <c r="D121" s="902" t="s">
        <v>543</v>
      </c>
      <c r="E121" s="904"/>
      <c r="F121" s="1761">
        <f>SUM('Revenues 9-14'!C168:G168,'Revenues 9-14'!J168)</f>
        <v>750</v>
      </c>
      <c r="G121" s="903"/>
    </row>
    <row r="122" spans="1:7" x14ac:dyDescent="0.2">
      <c r="A122" s="900" t="s">
        <v>459</v>
      </c>
      <c r="B122" s="900" t="s">
        <v>2020</v>
      </c>
      <c r="C122" s="905">
        <f>'Revenues 9-14'!B177</f>
        <v>4045</v>
      </c>
      <c r="D122" s="902" t="str">
        <f>'Revenues 9-14'!A177 &amp; " (Subtract)"</f>
        <v>Head Start (Subtract)</v>
      </c>
      <c r="E122" s="879"/>
      <c r="F122" s="1761">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1">
        <f>SUM('Revenues 9-14'!C181,'Revenues 9-14'!D181,'Revenues 9-14'!F181,'Revenues 9-14'!G181)</f>
        <v>0</v>
      </c>
      <c r="G123" s="903"/>
    </row>
    <row r="124" spans="1:7" x14ac:dyDescent="0.2">
      <c r="A124" s="900" t="s">
        <v>668</v>
      </c>
      <c r="B124" s="900" t="s">
        <v>2022</v>
      </c>
      <c r="C124" s="905">
        <v>4100</v>
      </c>
      <c r="D124" s="906" t="str">
        <f>'Revenues 9-14'!A188</f>
        <v>Total Title V</v>
      </c>
      <c r="E124" s="879"/>
      <c r="F124" s="1761">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1">
        <f>SUM('Revenues 9-14'!C198,'Revenues 9-14'!G198)</f>
        <v>46258</v>
      </c>
      <c r="G125" s="903"/>
    </row>
    <row r="126" spans="1:7" x14ac:dyDescent="0.2">
      <c r="A126" s="900" t="s">
        <v>668</v>
      </c>
      <c r="B126" s="900" t="s">
        <v>2024</v>
      </c>
      <c r="C126" s="905">
        <v>4300</v>
      </c>
      <c r="D126" s="906" t="str">
        <f>'Revenues 9-14'!A204</f>
        <v>Total Title I</v>
      </c>
      <c r="E126" s="879"/>
      <c r="F126" s="1761">
        <f>SUM('Revenues 9-14'!C204,'Revenues 9-14'!D204,'Revenues 9-14'!F204,'Revenues 9-14'!G204)</f>
        <v>52451</v>
      </c>
      <c r="G126" s="903"/>
    </row>
    <row r="127" spans="1:7" x14ac:dyDescent="0.2">
      <c r="A127" s="900" t="s">
        <v>668</v>
      </c>
      <c r="B127" s="900" t="s">
        <v>2025</v>
      </c>
      <c r="C127" s="905">
        <v>4400</v>
      </c>
      <c r="D127" s="906" t="str">
        <f>'Revenues 9-14'!A209</f>
        <v>Total Title IV</v>
      </c>
      <c r="E127" s="879"/>
      <c r="F127" s="1761">
        <f>SUM('Revenues 9-14'!C209,'Revenues 9-14'!D209,'Revenues 9-14'!F209,'Revenues 9-14'!G209)</f>
        <v>14575</v>
      </c>
      <c r="G127" s="903"/>
    </row>
    <row r="128" spans="1:7" x14ac:dyDescent="0.2">
      <c r="A128" s="900" t="s">
        <v>668</v>
      </c>
      <c r="B128" s="900" t="s">
        <v>2026</v>
      </c>
      <c r="C128" s="905">
        <f>'Revenues 9-14'!B213</f>
        <v>4620</v>
      </c>
      <c r="D128" s="906" t="str">
        <f>'Revenues 9-14'!A213</f>
        <v>Fed - Spec Education - IDEA - Flow Through</v>
      </c>
      <c r="E128" s="879"/>
      <c r="F128" s="1761">
        <f>SUM('Revenues 9-14'!C213:D213,'Revenues 9-14'!F213:G213)</f>
        <v>155421</v>
      </c>
      <c r="G128" s="903"/>
    </row>
    <row r="129" spans="1:7" x14ac:dyDescent="0.2">
      <c r="A129" s="900" t="s">
        <v>668</v>
      </c>
      <c r="B129" s="900" t="s">
        <v>2027</v>
      </c>
      <c r="C129" s="905">
        <f>'Revenues 9-14'!B214</f>
        <v>4625</v>
      </c>
      <c r="D129" s="906" t="str">
        <f>'Revenues 9-14'!A214</f>
        <v>Fed - Spec Education - IDEA - Room &amp; Board</v>
      </c>
      <c r="E129" s="879"/>
      <c r="F129" s="1761">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1">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1">
        <f>SUM('Revenues 9-14'!C216:D216,'Revenues 9-14'!F216:G216)</f>
        <v>0</v>
      </c>
      <c r="G131" s="903"/>
    </row>
    <row r="132" spans="1:7" x14ac:dyDescent="0.2">
      <c r="A132" s="900" t="s">
        <v>673</v>
      </c>
      <c r="B132" s="900" t="s">
        <v>2029</v>
      </c>
      <c r="C132" s="905">
        <v>4700</v>
      </c>
      <c r="D132" s="902" t="str">
        <f>'Revenues 9-14'!A221</f>
        <v>Total CTE - Perkins</v>
      </c>
      <c r="E132" s="879"/>
      <c r="F132" s="1761">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75">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1">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1">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1">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1">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1">
        <v>0</v>
      </c>
      <c r="G138" s="878"/>
    </row>
    <row r="139" spans="1:7" s="840" customFormat="1" hidden="1" x14ac:dyDescent="0.2">
      <c r="A139" s="907" t="s">
        <v>206</v>
      </c>
      <c r="B139" s="907" t="s">
        <v>2036</v>
      </c>
      <c r="C139" s="908" t="s">
        <v>213</v>
      </c>
      <c r="D139" s="909" t="str">
        <f>'Revenues 9-14'!A230</f>
        <v>ARRA - IDEA - Part B - Flow-Through</v>
      </c>
      <c r="E139" s="910"/>
      <c r="F139" s="1761">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1">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1">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1">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1">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1">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1">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1">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1">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1417</v>
      </c>
      <c r="C152" s="908" t="s">
        <v>233</v>
      </c>
      <c r="D152" s="909" t="str">
        <f>'Revenues 9-14'!A247</f>
        <v>Other ARRA Funds VII</v>
      </c>
      <c r="E152" s="910"/>
      <c r="F152" s="1761">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1">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SUM('Revenues 9-14'!C251:G251,'Revenues 9-14'!J251)</f>
        <v>0</v>
      </c>
      <c r="G156" s="878"/>
    </row>
    <row r="157" spans="1:7" s="840" customFormat="1" x14ac:dyDescent="0.2">
      <c r="A157" s="911" t="s">
        <v>500</v>
      </c>
      <c r="B157" s="912" t="s">
        <v>2044</v>
      </c>
      <c r="C157" s="913" t="s">
        <v>841</v>
      </c>
      <c r="D157" s="914" t="s">
        <v>777</v>
      </c>
      <c r="E157" s="915"/>
      <c r="F157" s="1761">
        <f>SUM(F133:F156)</f>
        <v>0</v>
      </c>
      <c r="G157" s="878"/>
    </row>
    <row r="158" spans="1:7" s="840" customFormat="1" x14ac:dyDescent="0.2">
      <c r="A158" s="911" t="s">
        <v>459</v>
      </c>
      <c r="B158" s="912" t="s">
        <v>2045</v>
      </c>
      <c r="C158" s="913" t="s">
        <v>1427</v>
      </c>
      <c r="D158" s="914" t="s">
        <v>1428</v>
      </c>
      <c r="E158" s="915"/>
      <c r="F158" s="1761">
        <f>SUM('Revenues 9-14'!C253)</f>
        <v>0</v>
      </c>
      <c r="G158" s="878"/>
    </row>
    <row r="159" spans="1:7" s="840" customFormat="1" x14ac:dyDescent="0.2">
      <c r="A159" s="911" t="s">
        <v>500</v>
      </c>
      <c r="B159" s="912" t="s">
        <v>2046</v>
      </c>
      <c r="C159" s="913" t="s">
        <v>1466</v>
      </c>
      <c r="D159" s="914" t="s">
        <v>1467</v>
      </c>
      <c r="E159" s="915"/>
      <c r="F159" s="1761">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1">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1">
        <f>SUM('Revenues 9-14'!C256,'Revenues 9-14'!F256,'Revenues 9-14'!G256)</f>
        <v>0</v>
      </c>
      <c r="G161" s="916"/>
    </row>
    <row r="162" spans="1:7" x14ac:dyDescent="0.2">
      <c r="A162" s="900" t="s">
        <v>668</v>
      </c>
      <c r="B162" s="900" t="s">
        <v>2049</v>
      </c>
      <c r="C162" s="905">
        <f>'Revenues 9-14'!B257</f>
        <v>4920</v>
      </c>
      <c r="D162" s="902" t="str">
        <f>'Revenues 9-14'!A257</f>
        <v>McKinney Education for Homeless Children</v>
      </c>
      <c r="E162" s="879"/>
      <c r="F162" s="1761">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75">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75">
        <f>SUM('Revenues 9-14'!C259,'Revenues 9-14'!D259,'Revenues 9-14'!F259,'Revenues 9-14'!G259)</f>
        <v>10646</v>
      </c>
      <c r="G164" s="903"/>
    </row>
    <row r="165" spans="1:7" x14ac:dyDescent="0.2">
      <c r="A165" s="900" t="s">
        <v>668</v>
      </c>
      <c r="B165" s="900" t="s">
        <v>2052</v>
      </c>
      <c r="C165" s="905">
        <f>'Revenues 9-14'!B260</f>
        <v>4960</v>
      </c>
      <c r="D165" s="902" t="str">
        <f>'Revenues 9-14'!A260</f>
        <v>Federal Charter Schools</v>
      </c>
      <c r="E165" s="879"/>
      <c r="F165" s="1761">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1">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1">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1">
        <f>SUM('Revenues 9-14'!C263:D263,'Revenues 9-14'!F263:G263)</f>
        <v>8814</v>
      </c>
      <c r="G168" s="920">
        <v>6320</v>
      </c>
    </row>
    <row r="169" spans="1:7" x14ac:dyDescent="0.2">
      <c r="A169" s="900" t="s">
        <v>668</v>
      </c>
      <c r="B169" s="900" t="s">
        <v>2054</v>
      </c>
      <c r="C169" s="905">
        <f>'Revenues 9-14'!B264</f>
        <v>4992</v>
      </c>
      <c r="D169" s="906" t="str">
        <f>'Revenues 9-14'!A264</f>
        <v>Medicaid Matching Funds - Fee-for-Service Program</v>
      </c>
      <c r="E169" s="879"/>
      <c r="F169" s="1761">
        <f>SUM('Revenues 9-14'!C264:D264,'Revenues 9-14'!F264:G264)</f>
        <v>19309</v>
      </c>
      <c r="G169" s="920"/>
    </row>
    <row r="170" spans="1:7" x14ac:dyDescent="0.2">
      <c r="A170" s="921" t="s">
        <v>668</v>
      </c>
      <c r="B170" s="917" t="s">
        <v>2055</v>
      </c>
      <c r="C170" s="918">
        <f>'Revenues 9-14'!B265</f>
        <v>4999</v>
      </c>
      <c r="D170" s="919" t="str">
        <f>'Revenues 9-14'!A265</f>
        <v>Other Restricted Revenue from Federal Sources (Describe &amp; Itemize)</v>
      </c>
      <c r="E170" s="879"/>
      <c r="F170" s="1761">
        <f>SUM('Revenues 9-14'!C265:D265,'Revenues 9-14'!F265:G265)</f>
        <v>0</v>
      </c>
      <c r="G170" s="900"/>
    </row>
    <row r="171" spans="1:7" x14ac:dyDescent="0.2">
      <c r="A171" s="1886" t="s">
        <v>5</v>
      </c>
      <c r="B171" s="1887" t="s">
        <v>1920</v>
      </c>
      <c r="C171" s="1888">
        <v>3100</v>
      </c>
      <c r="D171" s="1889" t="s">
        <v>1922</v>
      </c>
      <c r="E171" s="879"/>
      <c r="F171" s="1874">
        <v>344018</v>
      </c>
      <c r="G171" s="900"/>
    </row>
    <row r="172" spans="1:7" x14ac:dyDescent="0.2">
      <c r="A172" s="1886" t="s">
        <v>664</v>
      </c>
      <c r="B172" s="1887" t="s">
        <v>1920</v>
      </c>
      <c r="C172" s="1888">
        <v>3300</v>
      </c>
      <c r="D172" s="1889" t="s">
        <v>1923</v>
      </c>
      <c r="E172" s="879"/>
      <c r="F172" s="1874">
        <v>4370</v>
      </c>
      <c r="G172" s="900"/>
    </row>
    <row r="173" spans="1:7" ht="6" customHeight="1" x14ac:dyDescent="0.2">
      <c r="A173" s="900"/>
      <c r="B173" s="900"/>
      <c r="C173" s="922"/>
      <c r="D173" s="900"/>
      <c r="E173" s="879"/>
      <c r="F173" s="923"/>
      <c r="G173" s="920"/>
    </row>
    <row r="174" spans="1:7" x14ac:dyDescent="0.2">
      <c r="A174" s="1742"/>
      <c r="B174" s="1756"/>
      <c r="C174" s="1757"/>
      <c r="D174" s="1758" t="s">
        <v>2056</v>
      </c>
      <c r="E174" s="1759" t="s">
        <v>958</v>
      </c>
      <c r="F174" s="1760">
        <f>SUM(F84:F132,F157:F172)</f>
        <v>1091470</v>
      </c>
    </row>
    <row r="175" spans="1:7" ht="12" customHeight="1" x14ac:dyDescent="0.2">
      <c r="A175" s="1742"/>
      <c r="B175" s="1756"/>
      <c r="C175" s="1757"/>
      <c r="D175" s="1758" t="s">
        <v>2057</v>
      </c>
      <c r="E175" s="1759"/>
      <c r="F175" s="1761">
        <f>'PCTC-OEPP 27-28'!F77-F174</f>
        <v>9036538</v>
      </c>
    </row>
    <row r="176" spans="1:7" ht="12" customHeight="1" x14ac:dyDescent="0.2">
      <c r="A176" s="1742"/>
      <c r="B176" s="1756"/>
      <c r="C176" s="1757"/>
      <c r="D176" s="1758" t="s">
        <v>1817</v>
      </c>
      <c r="E176" s="1759"/>
      <c r="F176" s="1761">
        <f>'Cap Outlay Deprec 26'!I18</f>
        <v>335636</v>
      </c>
    </row>
    <row r="177" spans="1:7" ht="12" customHeight="1" x14ac:dyDescent="0.2">
      <c r="A177" s="1742"/>
      <c r="B177" s="1756"/>
      <c r="C177" s="1757"/>
      <c r="D177" s="1758" t="s">
        <v>2058</v>
      </c>
      <c r="E177" s="1759"/>
      <c r="F177" s="1761">
        <f>F175+F176</f>
        <v>9372174</v>
      </c>
    </row>
    <row r="178" spans="1:7" ht="12" customHeight="1" x14ac:dyDescent="0.2">
      <c r="A178" s="1742"/>
      <c r="B178" s="1762"/>
      <c r="C178" s="1757"/>
      <c r="D178" s="1758" t="str">
        <f>D78</f>
        <v>9 Month ADA from District Average Daily Attendance/Prior General State Aid Inquiry 2018-2019</v>
      </c>
      <c r="E178" s="1759"/>
      <c r="F178" s="1763">
        <f>'PCTC-OEPP 27-28'!F78</f>
        <v>626.79999999999995</v>
      </c>
      <c r="G178" s="903"/>
    </row>
    <row r="179" spans="1:7" ht="12" customHeight="1" thickBot="1" x14ac:dyDescent="0.25">
      <c r="A179" s="1742"/>
      <c r="B179" s="1762"/>
      <c r="C179" s="1757"/>
      <c r="D179" s="1758" t="s">
        <v>2059</v>
      </c>
      <c r="E179" s="1759" t="s">
        <v>1545</v>
      </c>
      <c r="F179" s="1764">
        <f>F177/F178</f>
        <v>14952.415443522656</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0" customFormat="1" ht="12.2" customHeight="1" x14ac:dyDescent="0.2">
      <c r="A182" s="1890" t="s">
        <v>1994</v>
      </c>
      <c r="B182" s="1891"/>
      <c r="C182" s="1892"/>
      <c r="D182" s="1891"/>
      <c r="E182" s="1892"/>
      <c r="F182" s="1891"/>
      <c r="G182" s="1891"/>
    </row>
    <row r="183" spans="1:7" s="1890" customFormat="1" ht="12.2" customHeight="1" x14ac:dyDescent="0.2">
      <c r="A183" s="1893" t="s">
        <v>1996</v>
      </c>
      <c r="C183" s="1892"/>
      <c r="D183" s="1891"/>
      <c r="E183" s="1892"/>
      <c r="F183" s="1891"/>
      <c r="G183" s="1891"/>
    </row>
    <row r="184" spans="1:7" ht="12" customHeight="1" x14ac:dyDescent="0.2">
      <c r="C184" s="922"/>
      <c r="D184" s="903"/>
      <c r="E184" s="922"/>
      <c r="F184" s="903"/>
      <c r="G184" s="903"/>
    </row>
    <row r="185" spans="1:7" x14ac:dyDescent="0.2">
      <c r="A185" s="1894" t="s">
        <v>1925</v>
      </c>
      <c r="B185" s="1895"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B18" sqref="B18"/>
    </sheetView>
  </sheetViews>
  <sheetFormatPr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1832</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343" t="s">
        <v>1818</v>
      </c>
      <c r="B4" s="2344"/>
      <c r="C4" s="2344"/>
      <c r="D4" s="2344"/>
      <c r="E4" s="2344"/>
      <c r="F4" s="2344"/>
      <c r="G4" s="2345"/>
    </row>
    <row r="5" spans="1:7" x14ac:dyDescent="0.25">
      <c r="A5" s="2346"/>
      <c r="B5" s="2347"/>
      <c r="C5" s="2347"/>
      <c r="D5" s="2347"/>
      <c r="E5" s="2347"/>
      <c r="F5" s="2347"/>
      <c r="G5" s="2348"/>
    </row>
    <row r="6" spans="1:7" ht="18.75" x14ac:dyDescent="0.25">
      <c r="A6" s="1506" t="s">
        <v>1819</v>
      </c>
      <c r="B6" s="1507"/>
      <c r="C6" s="1507"/>
      <c r="D6" s="1507"/>
      <c r="E6" s="1507"/>
      <c r="F6" s="1507"/>
      <c r="G6" s="1508"/>
    </row>
    <row r="7" spans="1:7" ht="30.75" customHeight="1" x14ac:dyDescent="0.25">
      <c r="A7" s="2349" t="s">
        <v>1932</v>
      </c>
      <c r="B7" s="2350"/>
      <c r="C7" s="2350"/>
      <c r="D7" s="2350"/>
      <c r="E7" s="2350"/>
      <c r="F7" s="2350"/>
      <c r="G7" s="2351"/>
    </row>
    <row r="8" spans="1:7" ht="15.75" customHeight="1" x14ac:dyDescent="0.25">
      <c r="A8" s="2352" t="s">
        <v>1907</v>
      </c>
      <c r="B8" s="2353"/>
      <c r="C8" s="2353"/>
      <c r="D8" s="2353"/>
      <c r="E8" s="2353"/>
      <c r="F8" s="2353"/>
      <c r="G8" s="2354"/>
    </row>
    <row r="9" spans="1:7" ht="35.25" customHeight="1" x14ac:dyDescent="0.25">
      <c r="A9" s="2349" t="s">
        <v>1935</v>
      </c>
      <c r="B9" s="2350"/>
      <c r="C9" s="2350"/>
      <c r="D9" s="2350"/>
      <c r="E9" s="2350"/>
      <c r="F9" s="2350"/>
      <c r="G9" s="2351"/>
    </row>
    <row r="10" spans="1:7" ht="15" customHeight="1" x14ac:dyDescent="0.25">
      <c r="A10" s="1509" t="s">
        <v>1820</v>
      </c>
      <c r="B10" s="1510"/>
      <c r="C10" s="1510"/>
      <c r="D10" s="1510"/>
      <c r="E10" s="1510"/>
      <c r="F10" s="1510"/>
      <c r="G10" s="1511"/>
    </row>
    <row r="11" spans="1:7" ht="17.25" customHeight="1" x14ac:dyDescent="0.25">
      <c r="A11" s="2349" t="s">
        <v>1934</v>
      </c>
      <c r="B11" s="2350"/>
      <c r="C11" s="2350"/>
      <c r="D11" s="2350"/>
      <c r="E11" s="2350"/>
      <c r="F11" s="2350"/>
      <c r="G11" s="2351"/>
    </row>
    <row r="12" spans="1:7" ht="15" customHeight="1" x14ac:dyDescent="0.25">
      <c r="A12" s="1509" t="s">
        <v>1825</v>
      </c>
      <c r="B12" s="1510"/>
      <c r="C12" s="1510"/>
      <c r="D12" s="1510"/>
      <c r="E12" s="1510"/>
      <c r="F12" s="1510"/>
      <c r="G12" s="1511"/>
    </row>
    <row r="13" spans="1:7" ht="32.25" customHeight="1" x14ac:dyDescent="0.25">
      <c r="A13" s="2340" t="s">
        <v>1976</v>
      </c>
      <c r="B13" s="2341"/>
      <c r="C13" s="2341"/>
      <c r="D13" s="2341"/>
      <c r="E13" s="2341"/>
      <c r="F13" s="2341"/>
      <c r="G13" s="2342"/>
    </row>
    <row r="14" spans="1:7" x14ac:dyDescent="0.25">
      <c r="A14" s="1633" t="s">
        <v>1833</v>
      </c>
      <c r="B14" s="1634"/>
      <c r="C14" s="1634"/>
      <c r="D14" s="1634"/>
      <c r="E14" s="1634"/>
      <c r="F14" s="1634"/>
      <c r="G14" s="1635"/>
    </row>
    <row r="15" spans="1:7" ht="61.5" customHeight="1" x14ac:dyDescent="0.25">
      <c r="A15" s="1518" t="s">
        <v>1826</v>
      </c>
      <c r="B15" s="1518" t="s">
        <v>1827</v>
      </c>
      <c r="C15" s="1518" t="s">
        <v>1828</v>
      </c>
      <c r="D15" s="1519" t="s">
        <v>1829</v>
      </c>
      <c r="E15" s="1519" t="s">
        <v>1821</v>
      </c>
      <c r="F15" s="1519" t="s">
        <v>1830</v>
      </c>
      <c r="G15" s="1519" t="s">
        <v>1831</v>
      </c>
    </row>
    <row r="16" spans="1:7" x14ac:dyDescent="0.25">
      <c r="A16" s="1620" t="s">
        <v>1834</v>
      </c>
      <c r="B16" s="1621" t="s">
        <v>1824</v>
      </c>
      <c r="C16" s="1622" t="s">
        <v>1822</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2001" t="s">
        <v>2077</v>
      </c>
      <c r="B17" s="2013" t="s">
        <v>2099</v>
      </c>
      <c r="C17" s="2002" t="s">
        <v>2078</v>
      </c>
      <c r="D17" s="1816">
        <v>34199.64</v>
      </c>
      <c r="E17" s="1512">
        <f t="shared" ref="E17:E141" si="0">IF(D17&lt;=25000,D17,IF(D17&gt;25000,25000,0))</f>
        <v>25000</v>
      </c>
      <c r="F17" s="190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9199.64</v>
      </c>
      <c r="H17" s="1619"/>
    </row>
    <row r="18" spans="1:8" x14ac:dyDescent="0.25">
      <c r="A18" s="2001" t="s">
        <v>2079</v>
      </c>
      <c r="B18" s="2013" t="s">
        <v>2099</v>
      </c>
      <c r="C18" s="2002" t="s">
        <v>2080</v>
      </c>
      <c r="D18" s="1816">
        <v>42609</v>
      </c>
      <c r="E18" s="1512">
        <f t="shared" ref="E18:E140" si="2">IF(D18&lt;=25000,D18,IF(D18&gt;25000,25000,0))</f>
        <v>25000</v>
      </c>
      <c r="F18" s="1900">
        <f t="shared" si="1"/>
        <v>25000</v>
      </c>
      <c r="G18" s="1765">
        <f t="shared" ref="G18:G140" si="3">IF(F18=0,0,D18-F18)</f>
        <v>17609</v>
      </c>
    </row>
    <row r="19" spans="1:8" x14ac:dyDescent="0.25">
      <c r="A19" s="2001" t="s">
        <v>2081</v>
      </c>
      <c r="B19" s="2013" t="s">
        <v>2100</v>
      </c>
      <c r="C19" s="2002" t="s">
        <v>2082</v>
      </c>
      <c r="D19" s="1816">
        <v>117827</v>
      </c>
      <c r="E19" s="1512">
        <f t="shared" si="2"/>
        <v>25000</v>
      </c>
      <c r="F19" s="1900">
        <f t="shared" si="1"/>
        <v>25000</v>
      </c>
      <c r="G19" s="1765">
        <f t="shared" si="3"/>
        <v>92827</v>
      </c>
    </row>
    <row r="20" spans="1:8" x14ac:dyDescent="0.25">
      <c r="A20" s="2001" t="s">
        <v>2083</v>
      </c>
      <c r="B20" s="2013" t="s">
        <v>2101</v>
      </c>
      <c r="C20" s="2002" t="s">
        <v>2084</v>
      </c>
      <c r="D20" s="1816">
        <v>147554</v>
      </c>
      <c r="E20" s="1512">
        <f t="shared" si="2"/>
        <v>25000</v>
      </c>
      <c r="F20" s="1900">
        <f t="shared" si="1"/>
        <v>25000</v>
      </c>
      <c r="G20" s="1765">
        <f t="shared" si="3"/>
        <v>122554</v>
      </c>
    </row>
    <row r="21" spans="1:8" x14ac:dyDescent="0.25">
      <c r="A21" s="1625"/>
      <c r="B21" s="1902"/>
      <c r="C21" s="1628"/>
      <c r="D21" s="1816"/>
      <c r="E21" s="1512">
        <f t="shared" si="2"/>
        <v>0</v>
      </c>
      <c r="F21" s="1900">
        <f t="shared" si="1"/>
        <v>0</v>
      </c>
      <c r="G21" s="1765">
        <f t="shared" si="3"/>
        <v>0</v>
      </c>
    </row>
    <row r="22" spans="1:8" x14ac:dyDescent="0.25">
      <c r="A22" s="1625"/>
      <c r="B22" s="1902"/>
      <c r="C22" s="1628"/>
      <c r="D22" s="1816"/>
      <c r="E22" s="1512">
        <f t="shared" si="2"/>
        <v>0</v>
      </c>
      <c r="F22" s="1900">
        <f t="shared" si="1"/>
        <v>0</v>
      </c>
      <c r="G22" s="1765">
        <f t="shared" si="3"/>
        <v>0</v>
      </c>
    </row>
    <row r="23" spans="1:8" x14ac:dyDescent="0.25">
      <c r="A23" s="1625"/>
      <c r="B23" s="1902"/>
      <c r="C23" s="1628"/>
      <c r="D23" s="1816"/>
      <c r="E23" s="1512">
        <f t="shared" si="2"/>
        <v>0</v>
      </c>
      <c r="F23" s="1900">
        <f t="shared" si="1"/>
        <v>0</v>
      </c>
      <c r="G23" s="1765">
        <f t="shared" si="3"/>
        <v>0</v>
      </c>
    </row>
    <row r="24" spans="1:8" x14ac:dyDescent="0.25">
      <c r="A24" s="1625"/>
      <c r="B24" s="1902"/>
      <c r="C24" s="1628"/>
      <c r="D24" s="1816"/>
      <c r="E24" s="1512">
        <f t="shared" si="2"/>
        <v>0</v>
      </c>
      <c r="F24" s="1900">
        <f t="shared" si="1"/>
        <v>0</v>
      </c>
      <c r="G24" s="1765">
        <f t="shared" si="3"/>
        <v>0</v>
      </c>
    </row>
    <row r="25" spans="1:8" x14ac:dyDescent="0.25">
      <c r="A25" s="1625"/>
      <c r="B25" s="1902"/>
      <c r="C25" s="1628"/>
      <c r="D25" s="1816"/>
      <c r="E25" s="1512">
        <f t="shared" si="2"/>
        <v>0</v>
      </c>
      <c r="F25" s="1900">
        <f t="shared" si="1"/>
        <v>0</v>
      </c>
      <c r="G25" s="1765">
        <f t="shared" si="3"/>
        <v>0</v>
      </c>
    </row>
    <row r="26" spans="1:8" x14ac:dyDescent="0.25">
      <c r="A26" s="1625"/>
      <c r="B26" s="1902"/>
      <c r="C26" s="1626"/>
      <c r="D26" s="1816"/>
      <c r="E26" s="1512">
        <f t="shared" si="2"/>
        <v>0</v>
      </c>
      <c r="F26" s="1900">
        <f t="shared" si="1"/>
        <v>0</v>
      </c>
      <c r="G26" s="1765">
        <f t="shared" si="3"/>
        <v>0</v>
      </c>
    </row>
    <row r="27" spans="1:8" x14ac:dyDescent="0.25">
      <c r="A27" s="1625"/>
      <c r="B27" s="1902"/>
      <c r="C27" s="1626"/>
      <c r="D27" s="1816"/>
      <c r="E27" s="1512">
        <f t="shared" si="2"/>
        <v>0</v>
      </c>
      <c r="F27" s="1900">
        <f t="shared" si="1"/>
        <v>0</v>
      </c>
      <c r="G27" s="1765">
        <f t="shared" si="3"/>
        <v>0</v>
      </c>
    </row>
    <row r="28" spans="1:8" x14ac:dyDescent="0.25">
      <c r="A28" s="1625"/>
      <c r="B28" s="1902"/>
      <c r="C28" s="1626"/>
      <c r="D28" s="1816"/>
      <c r="E28" s="1512">
        <f t="shared" si="2"/>
        <v>0</v>
      </c>
      <c r="F28" s="1900">
        <f t="shared" si="1"/>
        <v>0</v>
      </c>
      <c r="G28" s="1765">
        <f t="shared" si="3"/>
        <v>0</v>
      </c>
    </row>
    <row r="29" spans="1:8" x14ac:dyDescent="0.25">
      <c r="A29" s="1625"/>
      <c r="B29" s="1902"/>
      <c r="C29" s="1626"/>
      <c r="D29" s="1816"/>
      <c r="E29" s="1512">
        <f t="shared" si="2"/>
        <v>0</v>
      </c>
      <c r="F29" s="1900">
        <f t="shared" si="1"/>
        <v>0</v>
      </c>
      <c r="G29" s="1765">
        <f t="shared" si="3"/>
        <v>0</v>
      </c>
    </row>
    <row r="30" spans="1:8" x14ac:dyDescent="0.25">
      <c r="A30" s="1625"/>
      <c r="B30" s="1902"/>
      <c r="C30" s="1626"/>
      <c r="D30" s="1816"/>
      <c r="E30" s="1512">
        <f t="shared" si="2"/>
        <v>0</v>
      </c>
      <c r="F30" s="1900">
        <f t="shared" si="1"/>
        <v>0</v>
      </c>
      <c r="G30" s="1765">
        <f t="shared" si="3"/>
        <v>0</v>
      </c>
    </row>
    <row r="31" spans="1:8" x14ac:dyDescent="0.25">
      <c r="A31" s="1625"/>
      <c r="B31" s="1902"/>
      <c r="C31" s="1626"/>
      <c r="D31" s="1816"/>
      <c r="E31" s="1512">
        <f t="shared" si="2"/>
        <v>0</v>
      </c>
      <c r="F31" s="1900">
        <f t="shared" si="1"/>
        <v>0</v>
      </c>
      <c r="G31" s="1765">
        <f t="shared" si="3"/>
        <v>0</v>
      </c>
    </row>
    <row r="32" spans="1:8" x14ac:dyDescent="0.25">
      <c r="A32" s="1625"/>
      <c r="B32" s="1902"/>
      <c r="C32" s="1626"/>
      <c r="D32" s="1816"/>
      <c r="E32" s="1512">
        <f t="shared" si="2"/>
        <v>0</v>
      </c>
      <c r="F32" s="1900">
        <f t="shared" si="1"/>
        <v>0</v>
      </c>
      <c r="G32" s="1765">
        <f t="shared" si="3"/>
        <v>0</v>
      </c>
    </row>
    <row r="33" spans="1:7" x14ac:dyDescent="0.25">
      <c r="A33" s="1625"/>
      <c r="B33" s="1902"/>
      <c r="C33" s="1626"/>
      <c r="D33" s="1816"/>
      <c r="E33" s="1512">
        <f t="shared" si="2"/>
        <v>0</v>
      </c>
      <c r="F33" s="1900">
        <f t="shared" si="1"/>
        <v>0</v>
      </c>
      <c r="G33" s="1765">
        <f t="shared" si="3"/>
        <v>0</v>
      </c>
    </row>
    <row r="34" spans="1:7" x14ac:dyDescent="0.25">
      <c r="A34" s="1625"/>
      <c r="B34" s="1902"/>
      <c r="C34" s="1626"/>
      <c r="D34" s="1816"/>
      <c r="E34" s="1512">
        <f t="shared" si="2"/>
        <v>0</v>
      </c>
      <c r="F34" s="1900">
        <f t="shared" si="1"/>
        <v>0</v>
      </c>
      <c r="G34" s="1765">
        <f t="shared" si="3"/>
        <v>0</v>
      </c>
    </row>
    <row r="35" spans="1:7" x14ac:dyDescent="0.25">
      <c r="A35" s="1625"/>
      <c r="B35" s="1902"/>
      <c r="C35" s="1626"/>
      <c r="D35" s="1816"/>
      <c r="E35" s="1512">
        <f t="shared" si="2"/>
        <v>0</v>
      </c>
      <c r="F35" s="1900">
        <f t="shared" si="1"/>
        <v>0</v>
      </c>
      <c r="G35" s="1765">
        <f t="shared" si="3"/>
        <v>0</v>
      </c>
    </row>
    <row r="36" spans="1:7" x14ac:dyDescent="0.25">
      <c r="A36" s="1625"/>
      <c r="B36" s="1902"/>
      <c r="C36" s="1626"/>
      <c r="D36" s="1816"/>
      <c r="E36" s="1512">
        <f t="shared" si="2"/>
        <v>0</v>
      </c>
      <c r="F36" s="1900">
        <f t="shared" si="1"/>
        <v>0</v>
      </c>
      <c r="G36" s="1765">
        <f t="shared" si="3"/>
        <v>0</v>
      </c>
    </row>
    <row r="37" spans="1:7" x14ac:dyDescent="0.25">
      <c r="A37" s="1625"/>
      <c r="B37" s="1902"/>
      <c r="C37" s="1626"/>
      <c r="D37" s="1816"/>
      <c r="E37" s="1512">
        <f t="shared" si="2"/>
        <v>0</v>
      </c>
      <c r="F37" s="1900">
        <f t="shared" si="1"/>
        <v>0</v>
      </c>
      <c r="G37" s="1765">
        <f t="shared" si="3"/>
        <v>0</v>
      </c>
    </row>
    <row r="38" spans="1:7" x14ac:dyDescent="0.25">
      <c r="A38" s="1625"/>
      <c r="B38" s="1903"/>
      <c r="C38" s="1626"/>
      <c r="D38" s="1816"/>
      <c r="E38" s="1512">
        <f t="shared" si="2"/>
        <v>0</v>
      </c>
      <c r="F38" s="1900">
        <f t="shared" si="1"/>
        <v>0</v>
      </c>
      <c r="G38" s="1765">
        <f t="shared" si="3"/>
        <v>0</v>
      </c>
    </row>
    <row r="39" spans="1:7" x14ac:dyDescent="0.25">
      <c r="A39" s="1625"/>
      <c r="B39" s="1903"/>
      <c r="C39" s="1626"/>
      <c r="D39" s="1816"/>
      <c r="E39" s="1512">
        <f t="shared" si="2"/>
        <v>0</v>
      </c>
      <c r="F39" s="1900">
        <f t="shared" si="1"/>
        <v>0</v>
      </c>
      <c r="G39" s="1765">
        <f t="shared" si="3"/>
        <v>0</v>
      </c>
    </row>
    <row r="40" spans="1:7" x14ac:dyDescent="0.25">
      <c r="A40" s="1625"/>
      <c r="B40" s="1903"/>
      <c r="C40" s="1626"/>
      <c r="D40" s="1816"/>
      <c r="E40" s="1512">
        <f t="shared" si="2"/>
        <v>0</v>
      </c>
      <c r="F40" s="1900">
        <f t="shared" si="1"/>
        <v>0</v>
      </c>
      <c r="G40" s="1765">
        <f t="shared" si="3"/>
        <v>0</v>
      </c>
    </row>
    <row r="41" spans="1:7" x14ac:dyDescent="0.25">
      <c r="A41" s="1625"/>
      <c r="B41" s="1903"/>
      <c r="C41" s="1626"/>
      <c r="D41" s="1816"/>
      <c r="E41" s="1512">
        <f t="shared" si="2"/>
        <v>0</v>
      </c>
      <c r="F41" s="1900">
        <f t="shared" si="1"/>
        <v>0</v>
      </c>
      <c r="G41" s="1765">
        <f t="shared" si="3"/>
        <v>0</v>
      </c>
    </row>
    <row r="42" spans="1:7" x14ac:dyDescent="0.25">
      <c r="A42" s="1625"/>
      <c r="B42" s="1903"/>
      <c r="C42" s="1626"/>
      <c r="D42" s="1816"/>
      <c r="E42" s="1512">
        <f t="shared" si="2"/>
        <v>0</v>
      </c>
      <c r="F42" s="1900">
        <f t="shared" si="1"/>
        <v>0</v>
      </c>
      <c r="G42" s="1765">
        <f t="shared" si="3"/>
        <v>0</v>
      </c>
    </row>
    <row r="43" spans="1:7" x14ac:dyDescent="0.25">
      <c r="A43" s="1625"/>
      <c r="B43" s="1903"/>
      <c r="C43" s="1626"/>
      <c r="D43" s="1816"/>
      <c r="E43" s="1512">
        <f t="shared" si="2"/>
        <v>0</v>
      </c>
      <c r="F43" s="1900">
        <f t="shared" si="1"/>
        <v>0</v>
      </c>
      <c r="G43" s="1765">
        <f t="shared" si="3"/>
        <v>0</v>
      </c>
    </row>
    <row r="44" spans="1:7" x14ac:dyDescent="0.25">
      <c r="A44" s="1625"/>
      <c r="B44" s="1903"/>
      <c r="C44" s="1626"/>
      <c r="D44" s="1816"/>
      <c r="E44" s="1512">
        <f t="shared" si="2"/>
        <v>0</v>
      </c>
      <c r="F44" s="1900">
        <f t="shared" si="1"/>
        <v>0</v>
      </c>
      <c r="G44" s="1765">
        <f t="shared" si="3"/>
        <v>0</v>
      </c>
    </row>
    <row r="45" spans="1:7" x14ac:dyDescent="0.25">
      <c r="A45" s="1625"/>
      <c r="B45" s="1903"/>
      <c r="C45" s="1626"/>
      <c r="D45" s="1816"/>
      <c r="E45" s="1512">
        <f t="shared" si="2"/>
        <v>0</v>
      </c>
      <c r="F45" s="1900">
        <f t="shared" si="1"/>
        <v>0</v>
      </c>
      <c r="G45" s="1765">
        <f t="shared" si="3"/>
        <v>0</v>
      </c>
    </row>
    <row r="46" spans="1:7" x14ac:dyDescent="0.25">
      <c r="A46" s="1625"/>
      <c r="B46" s="1639"/>
      <c r="C46" s="1626"/>
      <c r="D46" s="1816"/>
      <c r="E46" s="1512">
        <f t="shared" si="2"/>
        <v>0</v>
      </c>
      <c r="F46" s="1900">
        <f t="shared" si="1"/>
        <v>0</v>
      </c>
      <c r="G46" s="1765">
        <f t="shared" si="3"/>
        <v>0</v>
      </c>
    </row>
    <row r="47" spans="1:7" x14ac:dyDescent="0.25">
      <c r="A47" s="1625"/>
      <c r="B47" s="1639"/>
      <c r="C47" s="1626"/>
      <c r="D47" s="1816"/>
      <c r="E47" s="1512">
        <f t="shared" si="2"/>
        <v>0</v>
      </c>
      <c r="F47" s="1900">
        <f t="shared" si="1"/>
        <v>0</v>
      </c>
      <c r="G47" s="1765">
        <f t="shared" si="3"/>
        <v>0</v>
      </c>
    </row>
    <row r="48" spans="1:7" x14ac:dyDescent="0.25">
      <c r="A48" s="1625"/>
      <c r="B48" s="1639"/>
      <c r="C48" s="1626"/>
      <c r="D48" s="1816"/>
      <c r="E48" s="1512">
        <f t="shared" si="2"/>
        <v>0</v>
      </c>
      <c r="F48" s="1900">
        <f t="shared" si="1"/>
        <v>0</v>
      </c>
      <c r="G48" s="1765">
        <f t="shared" si="3"/>
        <v>0</v>
      </c>
    </row>
    <row r="49" spans="1:7" x14ac:dyDescent="0.25">
      <c r="A49" s="1625"/>
      <c r="B49" s="1639"/>
      <c r="C49" s="1626"/>
      <c r="D49" s="1816"/>
      <c r="E49" s="1512">
        <f t="shared" si="2"/>
        <v>0</v>
      </c>
      <c r="F49" s="1900">
        <f t="shared" si="1"/>
        <v>0</v>
      </c>
      <c r="G49" s="1765">
        <f t="shared" si="3"/>
        <v>0</v>
      </c>
    </row>
    <row r="50" spans="1:7" x14ac:dyDescent="0.25">
      <c r="A50" s="1625"/>
      <c r="B50" s="1639"/>
      <c r="C50" s="1626"/>
      <c r="D50" s="1816"/>
      <c r="E50" s="1512">
        <f t="shared" si="2"/>
        <v>0</v>
      </c>
      <c r="F50" s="1900">
        <f t="shared" si="1"/>
        <v>0</v>
      </c>
      <c r="G50" s="1765">
        <f t="shared" si="3"/>
        <v>0</v>
      </c>
    </row>
    <row r="51" spans="1:7" x14ac:dyDescent="0.25">
      <c r="A51" s="1625"/>
      <c r="B51" s="1639"/>
      <c r="C51" s="1626"/>
      <c r="D51" s="1816"/>
      <c r="E51" s="1512">
        <f t="shared" si="2"/>
        <v>0</v>
      </c>
      <c r="F51" s="1900">
        <f t="shared" si="1"/>
        <v>0</v>
      </c>
      <c r="G51" s="1765">
        <f t="shared" si="3"/>
        <v>0</v>
      </c>
    </row>
    <row r="52" spans="1:7" x14ac:dyDescent="0.25">
      <c r="A52" s="1625"/>
      <c r="B52" s="1639"/>
      <c r="C52" s="1626"/>
      <c r="D52" s="1816"/>
      <c r="E52" s="1512">
        <f t="shared" si="2"/>
        <v>0</v>
      </c>
      <c r="F52" s="1900">
        <f t="shared" si="1"/>
        <v>0</v>
      </c>
      <c r="G52" s="1765">
        <f t="shared" si="3"/>
        <v>0</v>
      </c>
    </row>
    <row r="53" spans="1:7" x14ac:dyDescent="0.25">
      <c r="A53" s="1625"/>
      <c r="B53" s="1639"/>
      <c r="C53" s="1626"/>
      <c r="D53" s="1816"/>
      <c r="E53" s="1512">
        <f t="shared" si="2"/>
        <v>0</v>
      </c>
      <c r="F53" s="1900">
        <f t="shared" si="1"/>
        <v>0</v>
      </c>
      <c r="G53" s="1765">
        <f t="shared" si="3"/>
        <v>0</v>
      </c>
    </row>
    <row r="54" spans="1:7" x14ac:dyDescent="0.25">
      <c r="A54" s="1625"/>
      <c r="B54" s="1639"/>
      <c r="C54" s="1626"/>
      <c r="D54" s="1816"/>
      <c r="E54" s="1512">
        <f t="shared" si="2"/>
        <v>0</v>
      </c>
      <c r="F54" s="1900">
        <f t="shared" si="1"/>
        <v>0</v>
      </c>
      <c r="G54" s="1765">
        <f t="shared" si="3"/>
        <v>0</v>
      </c>
    </row>
    <row r="55" spans="1:7" x14ac:dyDescent="0.25">
      <c r="A55" s="1625"/>
      <c r="B55" s="1639"/>
      <c r="C55" s="1626"/>
      <c r="D55" s="1816"/>
      <c r="E55" s="1512">
        <f t="shared" si="2"/>
        <v>0</v>
      </c>
      <c r="F55" s="1900">
        <f t="shared" si="1"/>
        <v>0</v>
      </c>
      <c r="G55" s="1765">
        <f t="shared" si="3"/>
        <v>0</v>
      </c>
    </row>
    <row r="56" spans="1:7" x14ac:dyDescent="0.25">
      <c r="A56" s="1625"/>
      <c r="B56" s="1639"/>
      <c r="C56" s="1626"/>
      <c r="D56" s="1816"/>
      <c r="E56" s="1512">
        <f t="shared" si="2"/>
        <v>0</v>
      </c>
      <c r="F56" s="1900">
        <f t="shared" si="1"/>
        <v>0</v>
      </c>
      <c r="G56" s="1765">
        <f t="shared" si="3"/>
        <v>0</v>
      </c>
    </row>
    <row r="57" spans="1:7" x14ac:dyDescent="0.25">
      <c r="A57" s="1625"/>
      <c r="B57" s="1639"/>
      <c r="C57" s="1626"/>
      <c r="D57" s="1816"/>
      <c r="E57" s="1512">
        <f t="shared" si="2"/>
        <v>0</v>
      </c>
      <c r="F57" s="1900">
        <f t="shared" si="1"/>
        <v>0</v>
      </c>
      <c r="G57" s="1765">
        <f t="shared" si="3"/>
        <v>0</v>
      </c>
    </row>
    <row r="58" spans="1:7" x14ac:dyDescent="0.25">
      <c r="A58" s="1625"/>
      <c r="B58" s="1639"/>
      <c r="C58" s="1626"/>
      <c r="D58" s="1816"/>
      <c r="E58" s="1512">
        <f t="shared" si="2"/>
        <v>0</v>
      </c>
      <c r="F58" s="1900">
        <f t="shared" si="1"/>
        <v>0</v>
      </c>
      <c r="G58" s="1765">
        <f t="shared" si="3"/>
        <v>0</v>
      </c>
    </row>
    <row r="59" spans="1:7" x14ac:dyDescent="0.25">
      <c r="A59" s="1625"/>
      <c r="B59" s="1639"/>
      <c r="C59" s="1626"/>
      <c r="D59" s="1816"/>
      <c r="E59" s="1512">
        <f t="shared" si="2"/>
        <v>0</v>
      </c>
      <c r="F59" s="1900">
        <f t="shared" si="1"/>
        <v>0</v>
      </c>
      <c r="G59" s="1765">
        <f t="shared" si="3"/>
        <v>0</v>
      </c>
    </row>
    <row r="60" spans="1:7" x14ac:dyDescent="0.25">
      <c r="A60" s="1625"/>
      <c r="B60" s="1639"/>
      <c r="C60" s="1626"/>
      <c r="D60" s="1816"/>
      <c r="E60" s="1512">
        <f t="shared" si="2"/>
        <v>0</v>
      </c>
      <c r="F60" s="1900">
        <f t="shared" si="1"/>
        <v>0</v>
      </c>
      <c r="G60" s="1765">
        <f t="shared" si="3"/>
        <v>0</v>
      </c>
    </row>
    <row r="61" spans="1:7" x14ac:dyDescent="0.25">
      <c r="A61" s="1625"/>
      <c r="B61" s="1639"/>
      <c r="C61" s="1626"/>
      <c r="D61" s="1816"/>
      <c r="E61" s="1512">
        <f t="shared" si="2"/>
        <v>0</v>
      </c>
      <c r="F61" s="1900">
        <f t="shared" si="1"/>
        <v>0</v>
      </c>
      <c r="G61" s="1765">
        <f t="shared" si="3"/>
        <v>0</v>
      </c>
    </row>
    <row r="62" spans="1:7" x14ac:dyDescent="0.25">
      <c r="A62" s="1625"/>
      <c r="B62" s="1639"/>
      <c r="C62" s="1626"/>
      <c r="D62" s="1816"/>
      <c r="E62" s="1512">
        <f t="shared" si="2"/>
        <v>0</v>
      </c>
      <c r="F62" s="1900">
        <f t="shared" si="1"/>
        <v>0</v>
      </c>
      <c r="G62" s="1765">
        <f t="shared" si="3"/>
        <v>0</v>
      </c>
    </row>
    <row r="63" spans="1:7" x14ac:dyDescent="0.25">
      <c r="A63" s="1625"/>
      <c r="B63" s="1639"/>
      <c r="C63" s="1626"/>
      <c r="D63" s="1816"/>
      <c r="E63" s="1512">
        <f t="shared" si="2"/>
        <v>0</v>
      </c>
      <c r="F63" s="1900">
        <f t="shared" si="1"/>
        <v>0</v>
      </c>
      <c r="G63" s="1765">
        <f t="shared" si="3"/>
        <v>0</v>
      </c>
    </row>
    <row r="64" spans="1:7" x14ac:dyDescent="0.25">
      <c r="A64" s="1627"/>
      <c r="B64" s="1639"/>
      <c r="C64" s="1628"/>
      <c r="D64" s="1816"/>
      <c r="E64" s="1512">
        <f t="shared" si="2"/>
        <v>0</v>
      </c>
      <c r="F64" s="1900">
        <f t="shared" si="1"/>
        <v>0</v>
      </c>
      <c r="G64" s="1765">
        <f t="shared" si="3"/>
        <v>0</v>
      </c>
    </row>
    <row r="65" spans="1:7" x14ac:dyDescent="0.25">
      <c r="A65" s="1625"/>
      <c r="B65" s="1639"/>
      <c r="C65" s="1626"/>
      <c r="D65" s="1816"/>
      <c r="E65" s="1512">
        <f t="shared" si="2"/>
        <v>0</v>
      </c>
      <c r="F65" s="1900">
        <f t="shared" si="1"/>
        <v>0</v>
      </c>
      <c r="G65" s="1765">
        <f t="shared" si="3"/>
        <v>0</v>
      </c>
    </row>
    <row r="66" spans="1:7" x14ac:dyDescent="0.25">
      <c r="A66" s="1625"/>
      <c r="B66" s="1639"/>
      <c r="C66" s="1626"/>
      <c r="D66" s="1816"/>
      <c r="E66" s="1512">
        <f t="shared" si="2"/>
        <v>0</v>
      </c>
      <c r="F66" s="1900">
        <f t="shared" si="1"/>
        <v>0</v>
      </c>
      <c r="G66" s="1765">
        <f t="shared" si="3"/>
        <v>0</v>
      </c>
    </row>
    <row r="67" spans="1:7" x14ac:dyDescent="0.25">
      <c r="A67" s="1625"/>
      <c r="B67" s="1639"/>
      <c r="C67" s="1626"/>
      <c r="D67" s="1816"/>
      <c r="E67" s="1512">
        <f t="shared" si="2"/>
        <v>0</v>
      </c>
      <c r="F67" s="1900">
        <f t="shared" si="1"/>
        <v>0</v>
      </c>
      <c r="G67" s="1765">
        <f t="shared" si="3"/>
        <v>0</v>
      </c>
    </row>
    <row r="68" spans="1:7" x14ac:dyDescent="0.25">
      <c r="A68" s="1625"/>
      <c r="B68" s="1639"/>
      <c r="C68" s="1626"/>
      <c r="D68" s="1816"/>
      <c r="E68" s="1512">
        <f t="shared" si="2"/>
        <v>0</v>
      </c>
      <c r="F68" s="1900">
        <f t="shared" si="1"/>
        <v>0</v>
      </c>
      <c r="G68" s="1765">
        <f t="shared" si="3"/>
        <v>0</v>
      </c>
    </row>
    <row r="69" spans="1:7" x14ac:dyDescent="0.25">
      <c r="A69" s="1625"/>
      <c r="B69" s="1639"/>
      <c r="C69" s="1626"/>
      <c r="D69" s="1816"/>
      <c r="E69" s="1512">
        <f t="shared" si="2"/>
        <v>0</v>
      </c>
      <c r="F69" s="1900">
        <f t="shared" si="1"/>
        <v>0</v>
      </c>
      <c r="G69" s="1765">
        <f t="shared" si="3"/>
        <v>0</v>
      </c>
    </row>
    <row r="70" spans="1:7" x14ac:dyDescent="0.25">
      <c r="A70" s="1625"/>
      <c r="B70" s="1639"/>
      <c r="C70" s="1626"/>
      <c r="D70" s="1816"/>
      <c r="E70" s="1512">
        <f t="shared" si="2"/>
        <v>0</v>
      </c>
      <c r="F70" s="1900">
        <f t="shared" si="1"/>
        <v>0</v>
      </c>
      <c r="G70" s="1765">
        <f t="shared" si="3"/>
        <v>0</v>
      </c>
    </row>
    <row r="71" spans="1:7" x14ac:dyDescent="0.25">
      <c r="A71" s="1625"/>
      <c r="B71" s="1639"/>
      <c r="C71" s="1626"/>
      <c r="D71" s="1816"/>
      <c r="E71" s="1512">
        <f t="shared" si="2"/>
        <v>0</v>
      </c>
      <c r="F71" s="1900">
        <f t="shared" si="1"/>
        <v>0</v>
      </c>
      <c r="G71" s="1765">
        <f t="shared" si="3"/>
        <v>0</v>
      </c>
    </row>
    <row r="72" spans="1:7" x14ac:dyDescent="0.25">
      <c r="A72" s="1625"/>
      <c r="B72" s="1639"/>
      <c r="C72" s="1626"/>
      <c r="D72" s="1816"/>
      <c r="E72" s="1512">
        <f t="shared" si="2"/>
        <v>0</v>
      </c>
      <c r="F72" s="1900">
        <f t="shared" si="1"/>
        <v>0</v>
      </c>
      <c r="G72" s="1765">
        <f t="shared" si="3"/>
        <v>0</v>
      </c>
    </row>
    <row r="73" spans="1:7" x14ac:dyDescent="0.25">
      <c r="A73" s="1625"/>
      <c r="B73" s="1639"/>
      <c r="C73" s="1626"/>
      <c r="D73" s="1816"/>
      <c r="E73" s="1512">
        <f t="shared" ref="E73:E84" si="4">IF(D73&lt;=25000,D73,IF(D73&gt;25000,25000,0))</f>
        <v>0</v>
      </c>
      <c r="F73" s="1900">
        <f t="shared" si="1"/>
        <v>0</v>
      </c>
      <c r="G73" s="1765">
        <f t="shared" ref="G73:G84" si="5">IF(F73=0,0,D73-F73)</f>
        <v>0</v>
      </c>
    </row>
    <row r="74" spans="1:7" x14ac:dyDescent="0.25">
      <c r="A74" s="1625"/>
      <c r="B74" s="1639"/>
      <c r="C74" s="1626"/>
      <c r="D74" s="1816"/>
      <c r="E74" s="1512">
        <f t="shared" si="4"/>
        <v>0</v>
      </c>
      <c r="F74" s="1900">
        <f t="shared" si="1"/>
        <v>0</v>
      </c>
      <c r="G74" s="1765">
        <f t="shared" si="5"/>
        <v>0</v>
      </c>
    </row>
    <row r="75" spans="1:7" x14ac:dyDescent="0.25">
      <c r="A75" s="1625"/>
      <c r="B75" s="1639"/>
      <c r="C75" s="1626"/>
      <c r="D75" s="1816"/>
      <c r="E75" s="1512">
        <f t="shared" si="4"/>
        <v>0</v>
      </c>
      <c r="F75" s="1900">
        <f t="shared" si="1"/>
        <v>0</v>
      </c>
      <c r="G75" s="1765">
        <f t="shared" si="5"/>
        <v>0</v>
      </c>
    </row>
    <row r="76" spans="1:7" x14ac:dyDescent="0.25">
      <c r="A76" s="1625"/>
      <c r="B76" s="1639"/>
      <c r="C76" s="1626"/>
      <c r="D76" s="1816"/>
      <c r="E76" s="1512">
        <f t="shared" si="4"/>
        <v>0</v>
      </c>
      <c r="F76" s="1900">
        <f t="shared" si="1"/>
        <v>0</v>
      </c>
      <c r="G76" s="1765">
        <f t="shared" si="5"/>
        <v>0</v>
      </c>
    </row>
    <row r="77" spans="1:7" x14ac:dyDescent="0.25">
      <c r="A77" s="1625"/>
      <c r="B77" s="1639"/>
      <c r="C77" s="1626"/>
      <c r="D77" s="1816"/>
      <c r="E77" s="1512">
        <f t="shared" si="4"/>
        <v>0</v>
      </c>
      <c r="F77" s="1900">
        <f t="shared" si="1"/>
        <v>0</v>
      </c>
      <c r="G77" s="1765">
        <f t="shared" si="5"/>
        <v>0</v>
      </c>
    </row>
    <row r="78" spans="1:7" x14ac:dyDescent="0.25">
      <c r="A78" s="1625"/>
      <c r="B78" s="1639"/>
      <c r="C78" s="1626"/>
      <c r="D78" s="1816"/>
      <c r="E78" s="1512">
        <f t="shared" si="4"/>
        <v>0</v>
      </c>
      <c r="F78" s="1900">
        <f t="shared" si="1"/>
        <v>0</v>
      </c>
      <c r="G78" s="1765">
        <f t="shared" si="5"/>
        <v>0</v>
      </c>
    </row>
    <row r="79" spans="1:7" x14ac:dyDescent="0.25">
      <c r="A79" s="1625"/>
      <c r="B79" s="1639"/>
      <c r="C79" s="1626"/>
      <c r="D79" s="1816"/>
      <c r="E79" s="1512">
        <f t="shared" si="4"/>
        <v>0</v>
      </c>
      <c r="F79" s="1900">
        <f t="shared" si="1"/>
        <v>0</v>
      </c>
      <c r="G79" s="1765">
        <f t="shared" si="5"/>
        <v>0</v>
      </c>
    </row>
    <row r="80" spans="1:7" x14ac:dyDescent="0.25">
      <c r="A80" s="1625"/>
      <c r="B80" s="1639"/>
      <c r="C80" s="1626"/>
      <c r="D80" s="1816"/>
      <c r="E80" s="1512">
        <f t="shared" si="4"/>
        <v>0</v>
      </c>
      <c r="F80" s="1900">
        <f t="shared" si="1"/>
        <v>0</v>
      </c>
      <c r="G80" s="1765">
        <f t="shared" si="5"/>
        <v>0</v>
      </c>
    </row>
    <row r="81" spans="1:7" x14ac:dyDescent="0.25">
      <c r="A81" s="1625"/>
      <c r="B81" s="1639"/>
      <c r="C81" s="1626"/>
      <c r="D81" s="1816"/>
      <c r="E81" s="1512">
        <f t="shared" si="4"/>
        <v>0</v>
      </c>
      <c r="F81" s="190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0">
        <f t="shared" si="6"/>
        <v>0</v>
      </c>
      <c r="G82" s="1765">
        <f t="shared" si="5"/>
        <v>0</v>
      </c>
    </row>
    <row r="83" spans="1:7" x14ac:dyDescent="0.25">
      <c r="A83" s="1625"/>
      <c r="B83" s="1639"/>
      <c r="C83" s="1626"/>
      <c r="D83" s="1816"/>
      <c r="E83" s="1512">
        <f t="shared" si="4"/>
        <v>0</v>
      </c>
      <c r="F83" s="1900">
        <f t="shared" si="6"/>
        <v>0</v>
      </c>
      <c r="G83" s="1765">
        <f t="shared" si="5"/>
        <v>0</v>
      </c>
    </row>
    <row r="84" spans="1:7" x14ac:dyDescent="0.25">
      <c r="A84" s="1625"/>
      <c r="B84" s="1639"/>
      <c r="C84" s="1626"/>
      <c r="D84" s="1816"/>
      <c r="E84" s="1512">
        <f t="shared" si="4"/>
        <v>0</v>
      </c>
      <c r="F84" s="1900">
        <f t="shared" si="6"/>
        <v>0</v>
      </c>
      <c r="G84" s="1765">
        <f t="shared" si="5"/>
        <v>0</v>
      </c>
    </row>
    <row r="85" spans="1:7" x14ac:dyDescent="0.25">
      <c r="A85" s="1625"/>
      <c r="B85" s="1639"/>
      <c r="C85" s="1626"/>
      <c r="D85" s="1816"/>
      <c r="E85" s="1512">
        <f t="shared" si="2"/>
        <v>0</v>
      </c>
      <c r="F85" s="1900">
        <f t="shared" si="6"/>
        <v>0</v>
      </c>
      <c r="G85" s="1765">
        <f t="shared" si="3"/>
        <v>0</v>
      </c>
    </row>
    <row r="86" spans="1:7" x14ac:dyDescent="0.25">
      <c r="A86" s="1625"/>
      <c r="B86" s="1639"/>
      <c r="C86" s="1626"/>
      <c r="D86" s="1816"/>
      <c r="E86" s="1512">
        <f t="shared" si="2"/>
        <v>0</v>
      </c>
      <c r="F86" s="1900">
        <f t="shared" si="6"/>
        <v>0</v>
      </c>
      <c r="G86" s="1765">
        <f t="shared" si="3"/>
        <v>0</v>
      </c>
    </row>
    <row r="87" spans="1:7" x14ac:dyDescent="0.25">
      <c r="A87" s="1625"/>
      <c r="B87" s="1639"/>
      <c r="C87" s="1626"/>
      <c r="D87" s="1816"/>
      <c r="E87" s="1512">
        <f t="shared" si="2"/>
        <v>0</v>
      </c>
      <c r="F87" s="1900">
        <f t="shared" si="6"/>
        <v>0</v>
      </c>
      <c r="G87" s="1765">
        <f t="shared" si="3"/>
        <v>0</v>
      </c>
    </row>
    <row r="88" spans="1:7" x14ac:dyDescent="0.25">
      <c r="A88" s="1625"/>
      <c r="B88" s="1639"/>
      <c r="C88" s="1626"/>
      <c r="D88" s="1816"/>
      <c r="E88" s="1512">
        <f t="shared" si="2"/>
        <v>0</v>
      </c>
      <c r="F88" s="1900">
        <f t="shared" si="6"/>
        <v>0</v>
      </c>
      <c r="G88" s="1765">
        <f t="shared" si="3"/>
        <v>0</v>
      </c>
    </row>
    <row r="89" spans="1:7" x14ac:dyDescent="0.25">
      <c r="A89" s="1625"/>
      <c r="B89" s="1639"/>
      <c r="C89" s="1626"/>
      <c r="D89" s="1816"/>
      <c r="E89" s="1512">
        <f t="shared" si="2"/>
        <v>0</v>
      </c>
      <c r="F89" s="1900">
        <f t="shared" si="6"/>
        <v>0</v>
      </c>
      <c r="G89" s="1765">
        <f t="shared" si="3"/>
        <v>0</v>
      </c>
    </row>
    <row r="90" spans="1:7" x14ac:dyDescent="0.25">
      <c r="A90" s="1625"/>
      <c r="B90" s="1639"/>
      <c r="C90" s="1626"/>
      <c r="D90" s="1816"/>
      <c r="E90" s="1512">
        <f t="shared" si="2"/>
        <v>0</v>
      </c>
      <c r="F90" s="1900">
        <f t="shared" si="6"/>
        <v>0</v>
      </c>
      <c r="G90" s="1765">
        <f t="shared" si="3"/>
        <v>0</v>
      </c>
    </row>
    <row r="91" spans="1:7" x14ac:dyDescent="0.25">
      <c r="A91" s="1625"/>
      <c r="B91" s="1639"/>
      <c r="C91" s="1626"/>
      <c r="D91" s="1816"/>
      <c r="E91" s="1512">
        <f t="shared" si="2"/>
        <v>0</v>
      </c>
      <c r="F91" s="1900">
        <f t="shared" si="6"/>
        <v>0</v>
      </c>
      <c r="G91" s="1765">
        <f t="shared" si="3"/>
        <v>0</v>
      </c>
    </row>
    <row r="92" spans="1:7" x14ac:dyDescent="0.25">
      <c r="A92" s="1625"/>
      <c r="B92" s="1639"/>
      <c r="C92" s="1626"/>
      <c r="D92" s="1816"/>
      <c r="E92" s="1512">
        <f t="shared" si="2"/>
        <v>0</v>
      </c>
      <c r="F92" s="1900">
        <f t="shared" si="6"/>
        <v>0</v>
      </c>
      <c r="G92" s="1765">
        <f t="shared" si="3"/>
        <v>0</v>
      </c>
    </row>
    <row r="93" spans="1:7" x14ac:dyDescent="0.25">
      <c r="A93" s="1625"/>
      <c r="B93" s="1639"/>
      <c r="C93" s="1626"/>
      <c r="D93" s="1816"/>
      <c r="E93" s="1512">
        <f t="shared" ref="E93" si="7">IF(D93&lt;=25000,D93,IF(D93&gt;25000,25000,0))</f>
        <v>0</v>
      </c>
      <c r="F93" s="1900">
        <f t="shared" si="6"/>
        <v>0</v>
      </c>
      <c r="G93" s="1765">
        <f t="shared" ref="G93" si="8">IF(F93=0,0,D93-F93)</f>
        <v>0</v>
      </c>
    </row>
    <row r="94" spans="1:7" x14ac:dyDescent="0.25">
      <c r="A94" s="1625"/>
      <c r="B94" s="1639"/>
      <c r="C94" s="1626"/>
      <c r="D94" s="1816"/>
      <c r="E94" s="1512">
        <f t="shared" si="2"/>
        <v>0</v>
      </c>
      <c r="F94" s="1900">
        <f t="shared" si="6"/>
        <v>0</v>
      </c>
      <c r="G94" s="1765">
        <f t="shared" si="3"/>
        <v>0</v>
      </c>
    </row>
    <row r="95" spans="1:7" x14ac:dyDescent="0.25">
      <c r="A95" s="1625"/>
      <c r="B95" s="1639"/>
      <c r="C95" s="1626"/>
      <c r="D95" s="1816"/>
      <c r="E95" s="1512">
        <f t="shared" ref="E95:E98" si="9">IF(D95&lt;=25000,D95,IF(D95&gt;25000,25000,0))</f>
        <v>0</v>
      </c>
      <c r="F95" s="1900">
        <f t="shared" si="6"/>
        <v>0</v>
      </c>
      <c r="G95" s="1765">
        <f t="shared" ref="G95:G98" si="10">IF(F95=0,0,D95-F95)</f>
        <v>0</v>
      </c>
    </row>
    <row r="96" spans="1:7" x14ac:dyDescent="0.25">
      <c r="A96" s="1625"/>
      <c r="B96" s="1639"/>
      <c r="C96" s="1626"/>
      <c r="D96" s="1816"/>
      <c r="E96" s="1512">
        <f t="shared" si="9"/>
        <v>0</v>
      </c>
      <c r="F96" s="1900">
        <f t="shared" si="6"/>
        <v>0</v>
      </c>
      <c r="G96" s="1765">
        <f t="shared" si="10"/>
        <v>0</v>
      </c>
    </row>
    <row r="97" spans="1:7" x14ac:dyDescent="0.25">
      <c r="A97" s="1625"/>
      <c r="B97" s="1639"/>
      <c r="C97" s="1626"/>
      <c r="D97" s="1816"/>
      <c r="E97" s="1512">
        <f t="shared" si="9"/>
        <v>0</v>
      </c>
      <c r="F97" s="1900">
        <f t="shared" si="6"/>
        <v>0</v>
      </c>
      <c r="G97" s="1765">
        <f t="shared" si="10"/>
        <v>0</v>
      </c>
    </row>
    <row r="98" spans="1:7" x14ac:dyDescent="0.25">
      <c r="A98" s="1625"/>
      <c r="B98" s="1639"/>
      <c r="C98" s="1626"/>
      <c r="D98" s="1816"/>
      <c r="E98" s="1512">
        <f t="shared" si="9"/>
        <v>0</v>
      </c>
      <c r="F98" s="1900">
        <f t="shared" si="6"/>
        <v>0</v>
      </c>
      <c r="G98" s="1765">
        <f t="shared" si="10"/>
        <v>0</v>
      </c>
    </row>
    <row r="99" spans="1:7" x14ac:dyDescent="0.25">
      <c r="A99" s="1625"/>
      <c r="B99" s="1639"/>
      <c r="C99" s="1626"/>
      <c r="D99" s="1816"/>
      <c r="E99" s="1512">
        <f t="shared" ref="E99" si="11">IF(D99&lt;=25000,D99,IF(D99&gt;25000,25000,0))</f>
        <v>0</v>
      </c>
      <c r="F99" s="1900">
        <f t="shared" si="6"/>
        <v>0</v>
      </c>
      <c r="G99" s="1765">
        <f t="shared" ref="G99" si="12">IF(F99=0,0,D99-F99)</f>
        <v>0</v>
      </c>
    </row>
    <row r="100" spans="1:7" x14ac:dyDescent="0.25">
      <c r="A100" s="1625"/>
      <c r="B100" s="1639"/>
      <c r="C100" s="1626"/>
      <c r="D100" s="1816"/>
      <c r="E100" s="1512">
        <f t="shared" ref="E100:E112" si="13">IF(D100&lt;=25000,D100,IF(D100&gt;25000,25000,0))</f>
        <v>0</v>
      </c>
      <c r="F100" s="1900">
        <f t="shared" si="6"/>
        <v>0</v>
      </c>
      <c r="G100" s="1765">
        <f t="shared" ref="G100:G112" si="14">IF(F100=0,0,D100-F100)</f>
        <v>0</v>
      </c>
    </row>
    <row r="101" spans="1:7" x14ac:dyDescent="0.25">
      <c r="A101" s="1625"/>
      <c r="B101" s="1639"/>
      <c r="C101" s="1626"/>
      <c r="D101" s="1816"/>
      <c r="E101" s="1512">
        <f t="shared" si="13"/>
        <v>0</v>
      </c>
      <c r="F101" s="1900">
        <f t="shared" si="6"/>
        <v>0</v>
      </c>
      <c r="G101" s="1765">
        <f t="shared" si="14"/>
        <v>0</v>
      </c>
    </row>
    <row r="102" spans="1:7" x14ac:dyDescent="0.25">
      <c r="A102" s="1625"/>
      <c r="B102" s="1639"/>
      <c r="C102" s="1626"/>
      <c r="D102" s="1816"/>
      <c r="E102" s="1512">
        <f t="shared" si="13"/>
        <v>0</v>
      </c>
      <c r="F102" s="1900">
        <f t="shared" si="6"/>
        <v>0</v>
      </c>
      <c r="G102" s="1765">
        <f t="shared" si="14"/>
        <v>0</v>
      </c>
    </row>
    <row r="103" spans="1:7" x14ac:dyDescent="0.25">
      <c r="A103" s="1625"/>
      <c r="B103" s="1639"/>
      <c r="C103" s="1626"/>
      <c r="D103" s="1816"/>
      <c r="E103" s="1512">
        <f t="shared" si="13"/>
        <v>0</v>
      </c>
      <c r="F103" s="1900">
        <f t="shared" si="6"/>
        <v>0</v>
      </c>
      <c r="G103" s="1765">
        <f t="shared" si="14"/>
        <v>0</v>
      </c>
    </row>
    <row r="104" spans="1:7" x14ac:dyDescent="0.25">
      <c r="A104" s="1625"/>
      <c r="B104" s="1639"/>
      <c r="C104" s="1626"/>
      <c r="D104" s="1816"/>
      <c r="E104" s="1512">
        <f t="shared" si="13"/>
        <v>0</v>
      </c>
      <c r="F104" s="1900">
        <f t="shared" si="6"/>
        <v>0</v>
      </c>
      <c r="G104" s="1765">
        <f t="shared" si="14"/>
        <v>0</v>
      </c>
    </row>
    <row r="105" spans="1:7" x14ac:dyDescent="0.25">
      <c r="A105" s="1625"/>
      <c r="B105" s="1639"/>
      <c r="C105" s="1626"/>
      <c r="D105" s="1816"/>
      <c r="E105" s="1512">
        <f t="shared" si="13"/>
        <v>0</v>
      </c>
      <c r="F105" s="1900">
        <f t="shared" si="6"/>
        <v>0</v>
      </c>
      <c r="G105" s="1765">
        <f t="shared" si="14"/>
        <v>0</v>
      </c>
    </row>
    <row r="106" spans="1:7" x14ac:dyDescent="0.25">
      <c r="A106" s="1625"/>
      <c r="B106" s="1639"/>
      <c r="C106" s="1626"/>
      <c r="D106" s="1816"/>
      <c r="E106" s="1512">
        <f t="shared" si="13"/>
        <v>0</v>
      </c>
      <c r="F106" s="1900">
        <f t="shared" si="6"/>
        <v>0</v>
      </c>
      <c r="G106" s="1765">
        <f t="shared" si="14"/>
        <v>0</v>
      </c>
    </row>
    <row r="107" spans="1:7" x14ac:dyDescent="0.25">
      <c r="A107" s="1625"/>
      <c r="B107" s="1639"/>
      <c r="C107" s="1626"/>
      <c r="D107" s="1816"/>
      <c r="E107" s="1512">
        <f t="shared" si="13"/>
        <v>0</v>
      </c>
      <c r="F107" s="1900">
        <f t="shared" si="6"/>
        <v>0</v>
      </c>
      <c r="G107" s="1765">
        <f t="shared" si="14"/>
        <v>0</v>
      </c>
    </row>
    <row r="108" spans="1:7" x14ac:dyDescent="0.25">
      <c r="A108" s="1625"/>
      <c r="B108" s="1639"/>
      <c r="C108" s="1626"/>
      <c r="D108" s="1816"/>
      <c r="E108" s="1512">
        <f t="shared" si="13"/>
        <v>0</v>
      </c>
      <c r="F108" s="1900">
        <f t="shared" si="6"/>
        <v>0</v>
      </c>
      <c r="G108" s="1765">
        <f t="shared" si="14"/>
        <v>0</v>
      </c>
    </row>
    <row r="109" spans="1:7" x14ac:dyDescent="0.25">
      <c r="A109" s="1625"/>
      <c r="B109" s="1639"/>
      <c r="C109" s="1626"/>
      <c r="D109" s="1816"/>
      <c r="E109" s="1512">
        <f t="shared" si="13"/>
        <v>0</v>
      </c>
      <c r="F109" s="1900">
        <f t="shared" si="6"/>
        <v>0</v>
      </c>
      <c r="G109" s="1765">
        <f t="shared" si="14"/>
        <v>0</v>
      </c>
    </row>
    <row r="110" spans="1:7" x14ac:dyDescent="0.25">
      <c r="A110" s="1625"/>
      <c r="B110" s="1639"/>
      <c r="C110" s="1626"/>
      <c r="D110" s="1816"/>
      <c r="E110" s="1512">
        <f t="shared" si="13"/>
        <v>0</v>
      </c>
      <c r="F110" s="1900">
        <f t="shared" si="6"/>
        <v>0</v>
      </c>
      <c r="G110" s="1765">
        <f t="shared" si="14"/>
        <v>0</v>
      </c>
    </row>
    <row r="111" spans="1:7" x14ac:dyDescent="0.25">
      <c r="A111" s="1625"/>
      <c r="B111" s="1639"/>
      <c r="C111" s="1626"/>
      <c r="D111" s="1816"/>
      <c r="E111" s="1512">
        <f t="shared" si="13"/>
        <v>0</v>
      </c>
      <c r="F111" s="1900">
        <f t="shared" si="6"/>
        <v>0</v>
      </c>
      <c r="G111" s="1765">
        <f t="shared" si="14"/>
        <v>0</v>
      </c>
    </row>
    <row r="112" spans="1:7" x14ac:dyDescent="0.25">
      <c r="A112" s="1625"/>
      <c r="B112" s="1639"/>
      <c r="C112" s="1626"/>
      <c r="D112" s="1816"/>
      <c r="E112" s="1512">
        <f t="shared" si="13"/>
        <v>0</v>
      </c>
      <c r="F112" s="1900">
        <f t="shared" si="6"/>
        <v>0</v>
      </c>
      <c r="G112" s="1765">
        <f t="shared" si="14"/>
        <v>0</v>
      </c>
    </row>
    <row r="113" spans="1:7" x14ac:dyDescent="0.25">
      <c r="A113" s="1625"/>
      <c r="B113" s="1639"/>
      <c r="C113" s="1626"/>
      <c r="D113" s="1816"/>
      <c r="E113" s="1512">
        <f t="shared" ref="E113:E125" si="15">IF(D113&lt;=25000,D113,IF(D113&gt;25000,25000,0))</f>
        <v>0</v>
      </c>
      <c r="F113" s="1900">
        <f t="shared" si="6"/>
        <v>0</v>
      </c>
      <c r="G113" s="1765">
        <f t="shared" ref="G113:G125" si="16">IF(F113=0,0,D113-F113)</f>
        <v>0</v>
      </c>
    </row>
    <row r="114" spans="1:7" x14ac:dyDescent="0.25">
      <c r="A114" s="1625"/>
      <c r="B114" s="1639"/>
      <c r="C114" s="1626"/>
      <c r="D114" s="1816"/>
      <c r="E114" s="1512">
        <f t="shared" si="15"/>
        <v>0</v>
      </c>
      <c r="F114" s="1900">
        <f t="shared" si="6"/>
        <v>0</v>
      </c>
      <c r="G114" s="1765">
        <f t="shared" si="16"/>
        <v>0</v>
      </c>
    </row>
    <row r="115" spans="1:7" x14ac:dyDescent="0.25">
      <c r="A115" s="1625"/>
      <c r="B115" s="1639"/>
      <c r="C115" s="1626"/>
      <c r="D115" s="1816"/>
      <c r="E115" s="1512">
        <f t="shared" si="15"/>
        <v>0</v>
      </c>
      <c r="F115" s="1900">
        <f t="shared" si="6"/>
        <v>0</v>
      </c>
      <c r="G115" s="1765">
        <f t="shared" si="16"/>
        <v>0</v>
      </c>
    </row>
    <row r="116" spans="1:7" x14ac:dyDescent="0.25">
      <c r="A116" s="1625"/>
      <c r="B116" s="1639"/>
      <c r="C116" s="1626"/>
      <c r="D116" s="1816"/>
      <c r="E116" s="1512">
        <f t="shared" si="15"/>
        <v>0</v>
      </c>
      <c r="F116" s="1900">
        <f t="shared" si="6"/>
        <v>0</v>
      </c>
      <c r="G116" s="1765">
        <f t="shared" si="16"/>
        <v>0</v>
      </c>
    </row>
    <row r="117" spans="1:7" x14ac:dyDescent="0.25">
      <c r="A117" s="1625"/>
      <c r="B117" s="1639"/>
      <c r="C117" s="1626"/>
      <c r="D117" s="1816"/>
      <c r="E117" s="1512">
        <f t="shared" si="15"/>
        <v>0</v>
      </c>
      <c r="F117" s="1900">
        <f t="shared" si="6"/>
        <v>0</v>
      </c>
      <c r="G117" s="1765">
        <f t="shared" si="16"/>
        <v>0</v>
      </c>
    </row>
    <row r="118" spans="1:7" x14ac:dyDescent="0.25">
      <c r="A118" s="1625"/>
      <c r="B118" s="1639"/>
      <c r="C118" s="1626"/>
      <c r="D118" s="1816"/>
      <c r="E118" s="1512">
        <f t="shared" si="15"/>
        <v>0</v>
      </c>
      <c r="F118" s="1900">
        <f t="shared" si="6"/>
        <v>0</v>
      </c>
      <c r="G118" s="1765">
        <f t="shared" si="16"/>
        <v>0</v>
      </c>
    </row>
    <row r="119" spans="1:7" x14ac:dyDescent="0.25">
      <c r="A119" s="1625"/>
      <c r="B119" s="1639"/>
      <c r="C119" s="1626"/>
      <c r="D119" s="1816"/>
      <c r="E119" s="1512">
        <f t="shared" si="15"/>
        <v>0</v>
      </c>
      <c r="F119" s="1900">
        <f t="shared" si="6"/>
        <v>0</v>
      </c>
      <c r="G119" s="1765">
        <f t="shared" si="16"/>
        <v>0</v>
      </c>
    </row>
    <row r="120" spans="1:7" x14ac:dyDescent="0.25">
      <c r="A120" s="1625"/>
      <c r="B120" s="1639"/>
      <c r="C120" s="1626"/>
      <c r="D120" s="1816"/>
      <c r="E120" s="1512">
        <f t="shared" si="15"/>
        <v>0</v>
      </c>
      <c r="F120" s="1900">
        <f t="shared" si="6"/>
        <v>0</v>
      </c>
      <c r="G120" s="1765">
        <f t="shared" si="16"/>
        <v>0</v>
      </c>
    </row>
    <row r="121" spans="1:7" x14ac:dyDescent="0.25">
      <c r="A121" s="1625"/>
      <c r="B121" s="1639"/>
      <c r="C121" s="1626"/>
      <c r="D121" s="1816"/>
      <c r="E121" s="1512">
        <f t="shared" si="15"/>
        <v>0</v>
      </c>
      <c r="F121" s="1900">
        <f t="shared" si="6"/>
        <v>0</v>
      </c>
      <c r="G121" s="1765">
        <f t="shared" si="16"/>
        <v>0</v>
      </c>
    </row>
    <row r="122" spans="1:7" x14ac:dyDescent="0.25">
      <c r="A122" s="1625"/>
      <c r="B122" s="1639"/>
      <c r="C122" s="1626"/>
      <c r="D122" s="1816"/>
      <c r="E122" s="1512">
        <f t="shared" si="15"/>
        <v>0</v>
      </c>
      <c r="F122" s="1900">
        <f t="shared" si="6"/>
        <v>0</v>
      </c>
      <c r="G122" s="1765">
        <f t="shared" si="16"/>
        <v>0</v>
      </c>
    </row>
    <row r="123" spans="1:7" x14ac:dyDescent="0.25">
      <c r="A123" s="1625"/>
      <c r="B123" s="1639"/>
      <c r="C123" s="1626"/>
      <c r="D123" s="1816"/>
      <c r="E123" s="1512">
        <f t="shared" si="15"/>
        <v>0</v>
      </c>
      <c r="F123" s="1900">
        <f t="shared" si="6"/>
        <v>0</v>
      </c>
      <c r="G123" s="1765">
        <f t="shared" si="16"/>
        <v>0</v>
      </c>
    </row>
    <row r="124" spans="1:7" x14ac:dyDescent="0.25">
      <c r="A124" s="1625"/>
      <c r="B124" s="1639"/>
      <c r="C124" s="1626"/>
      <c r="D124" s="1816"/>
      <c r="E124" s="1512">
        <f t="shared" si="15"/>
        <v>0</v>
      </c>
      <c r="F124" s="1900">
        <f t="shared" si="6"/>
        <v>0</v>
      </c>
      <c r="G124" s="1765">
        <f t="shared" si="16"/>
        <v>0</v>
      </c>
    </row>
    <row r="125" spans="1:7" x14ac:dyDescent="0.25">
      <c r="A125" s="1625"/>
      <c r="B125" s="1639"/>
      <c r="C125" s="1626"/>
      <c r="D125" s="1816"/>
      <c r="E125" s="1512">
        <f t="shared" si="15"/>
        <v>0</v>
      </c>
      <c r="F125" s="1900">
        <f t="shared" si="6"/>
        <v>0</v>
      </c>
      <c r="G125" s="1765">
        <f t="shared" si="16"/>
        <v>0</v>
      </c>
    </row>
    <row r="126" spans="1:7" x14ac:dyDescent="0.25">
      <c r="A126" s="1625"/>
      <c r="B126" s="1639"/>
      <c r="C126" s="1626"/>
      <c r="D126" s="1816"/>
      <c r="E126" s="1512">
        <f t="shared" ref="E126:E134" si="17">IF(D126&lt;=25000,D126,IF(D126&gt;25000,25000,0))</f>
        <v>0</v>
      </c>
      <c r="F126" s="1900">
        <f t="shared" si="6"/>
        <v>0</v>
      </c>
      <c r="G126" s="1765">
        <f t="shared" ref="G126:G134" si="18">IF(F126=0,0,D126-F126)</f>
        <v>0</v>
      </c>
    </row>
    <row r="127" spans="1:7" x14ac:dyDescent="0.25">
      <c r="A127" s="1625"/>
      <c r="B127" s="1639"/>
      <c r="C127" s="1626"/>
      <c r="D127" s="1816"/>
      <c r="E127" s="1512">
        <f t="shared" si="17"/>
        <v>0</v>
      </c>
      <c r="F127" s="1900">
        <f t="shared" si="6"/>
        <v>0</v>
      </c>
      <c r="G127" s="1765">
        <f t="shared" si="18"/>
        <v>0</v>
      </c>
    </row>
    <row r="128" spans="1:7" x14ac:dyDescent="0.25">
      <c r="A128" s="1625"/>
      <c r="B128" s="1639"/>
      <c r="C128" s="1626"/>
      <c r="D128" s="1816"/>
      <c r="E128" s="1512">
        <f t="shared" si="17"/>
        <v>0</v>
      </c>
      <c r="F128" s="1900">
        <f t="shared" si="6"/>
        <v>0</v>
      </c>
      <c r="G128" s="1765">
        <f t="shared" si="18"/>
        <v>0</v>
      </c>
    </row>
    <row r="129" spans="1:7" x14ac:dyDescent="0.25">
      <c r="A129" s="1625"/>
      <c r="B129" s="1639"/>
      <c r="C129" s="1626"/>
      <c r="D129" s="1816"/>
      <c r="E129" s="1512">
        <f t="shared" si="17"/>
        <v>0</v>
      </c>
      <c r="F129" s="1900">
        <f t="shared" si="6"/>
        <v>0</v>
      </c>
      <c r="G129" s="1765">
        <f t="shared" si="18"/>
        <v>0</v>
      </c>
    </row>
    <row r="130" spans="1:7" x14ac:dyDescent="0.25">
      <c r="A130" s="1625"/>
      <c r="B130" s="1639"/>
      <c r="C130" s="1626"/>
      <c r="D130" s="1816"/>
      <c r="E130" s="1512">
        <f t="shared" si="17"/>
        <v>0</v>
      </c>
      <c r="F130" s="1900">
        <f t="shared" si="6"/>
        <v>0</v>
      </c>
      <c r="G130" s="1765">
        <f t="shared" si="18"/>
        <v>0</v>
      </c>
    </row>
    <row r="131" spans="1:7" x14ac:dyDescent="0.25">
      <c r="A131" s="1625"/>
      <c r="B131" s="1809"/>
      <c r="C131" s="1626"/>
      <c r="D131" s="1816"/>
      <c r="E131" s="1512">
        <f t="shared" si="17"/>
        <v>0</v>
      </c>
      <c r="F131" s="1900">
        <f t="shared" si="6"/>
        <v>0</v>
      </c>
      <c r="G131" s="1765">
        <f t="shared" si="18"/>
        <v>0</v>
      </c>
    </row>
    <row r="132" spans="1:7" x14ac:dyDescent="0.25">
      <c r="A132" s="1625"/>
      <c r="B132" s="1809"/>
      <c r="C132" s="1626"/>
      <c r="D132" s="1816"/>
      <c r="E132" s="1512">
        <f t="shared" si="17"/>
        <v>0</v>
      </c>
      <c r="F132" s="1900">
        <f t="shared" si="6"/>
        <v>0</v>
      </c>
      <c r="G132" s="1765">
        <f t="shared" si="18"/>
        <v>0</v>
      </c>
    </row>
    <row r="133" spans="1:7" x14ac:dyDescent="0.25">
      <c r="A133" s="1625"/>
      <c r="B133" s="1639"/>
      <c r="C133" s="1626"/>
      <c r="D133" s="1816"/>
      <c r="E133" s="1512">
        <f t="shared" si="17"/>
        <v>0</v>
      </c>
      <c r="F133" s="1900">
        <f t="shared" si="6"/>
        <v>0</v>
      </c>
      <c r="G133" s="1765">
        <f t="shared" si="18"/>
        <v>0</v>
      </c>
    </row>
    <row r="134" spans="1:7" x14ac:dyDescent="0.25">
      <c r="A134" s="1625"/>
      <c r="B134" s="1639"/>
      <c r="C134" s="1626"/>
      <c r="D134" s="1816"/>
      <c r="E134" s="1512">
        <f t="shared" si="17"/>
        <v>0</v>
      </c>
      <c r="F134" s="1900">
        <f t="shared" si="6"/>
        <v>0</v>
      </c>
      <c r="G134" s="1765">
        <f t="shared" si="18"/>
        <v>0</v>
      </c>
    </row>
    <row r="135" spans="1:7" x14ac:dyDescent="0.25">
      <c r="A135" s="1625"/>
      <c r="B135" s="1639"/>
      <c r="C135" s="1626"/>
      <c r="D135" s="1816"/>
      <c r="E135" s="1512">
        <f t="shared" ref="E135:E139" si="19">IF(D135&lt;=25000,D135,IF(D135&gt;25000,25000,0))</f>
        <v>0</v>
      </c>
      <c r="F135" s="1900">
        <f t="shared" si="6"/>
        <v>0</v>
      </c>
      <c r="G135" s="1765">
        <f t="shared" ref="G135:G139" si="20">IF(F135=0,0,D135-F135)</f>
        <v>0</v>
      </c>
    </row>
    <row r="136" spans="1:7" x14ac:dyDescent="0.25">
      <c r="A136" s="1625"/>
      <c r="B136" s="1639"/>
      <c r="C136" s="1626"/>
      <c r="D136" s="1816"/>
      <c r="E136" s="1512">
        <f t="shared" si="19"/>
        <v>0</v>
      </c>
      <c r="F136" s="1900">
        <f t="shared" si="6"/>
        <v>0</v>
      </c>
      <c r="G136" s="1765">
        <f t="shared" si="20"/>
        <v>0</v>
      </c>
    </row>
    <row r="137" spans="1:7" x14ac:dyDescent="0.25">
      <c r="A137" s="1625"/>
      <c r="B137" s="1639"/>
      <c r="C137" s="1626"/>
      <c r="D137" s="1816"/>
      <c r="E137" s="1512">
        <f t="shared" si="19"/>
        <v>0</v>
      </c>
      <c r="F137" s="1900">
        <f t="shared" si="6"/>
        <v>0</v>
      </c>
      <c r="G137" s="1765">
        <f t="shared" si="20"/>
        <v>0</v>
      </c>
    </row>
    <row r="138" spans="1:7" x14ac:dyDescent="0.25">
      <c r="A138" s="1625"/>
      <c r="B138" s="1639"/>
      <c r="C138" s="1626"/>
      <c r="D138" s="1816"/>
      <c r="E138" s="1512">
        <f t="shared" si="19"/>
        <v>0</v>
      </c>
      <c r="F138" s="1900">
        <f t="shared" si="6"/>
        <v>0</v>
      </c>
      <c r="G138" s="1765">
        <f t="shared" si="20"/>
        <v>0</v>
      </c>
    </row>
    <row r="139" spans="1:7" x14ac:dyDescent="0.25">
      <c r="A139" s="1625"/>
      <c r="B139" s="1639"/>
      <c r="C139" s="1626"/>
      <c r="D139" s="1816"/>
      <c r="E139" s="1512">
        <f t="shared" si="19"/>
        <v>0</v>
      </c>
      <c r="F139" s="1900">
        <f t="shared" si="6"/>
        <v>0</v>
      </c>
      <c r="G139" s="1765">
        <f t="shared" si="20"/>
        <v>0</v>
      </c>
    </row>
    <row r="140" spans="1:7" x14ac:dyDescent="0.25">
      <c r="A140" s="1625"/>
      <c r="B140" s="1638"/>
      <c r="C140" s="1626"/>
      <c r="D140" s="1816"/>
      <c r="E140" s="1512">
        <f t="shared" si="2"/>
        <v>0</v>
      </c>
      <c r="F140" s="1900">
        <f t="shared" si="6"/>
        <v>0</v>
      </c>
      <c r="G140" s="1765">
        <f t="shared" si="3"/>
        <v>0</v>
      </c>
    </row>
    <row r="141" spans="1:7" x14ac:dyDescent="0.25">
      <c r="A141" s="1768" t="s">
        <v>156</v>
      </c>
      <c r="B141" s="1769"/>
      <c r="C141" s="1770"/>
      <c r="D141" s="1766">
        <f>SUM(D17:D140)</f>
        <v>342189.64</v>
      </c>
      <c r="E141" s="1513">
        <f t="shared" si="0"/>
        <v>25000</v>
      </c>
      <c r="F141" s="1901">
        <f>SUM(F17:F140)</f>
        <v>100000</v>
      </c>
      <c r="G141" s="1767">
        <f>SUM(G17:G140)</f>
        <v>242189.64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22"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5" t="s">
        <v>1679</v>
      </c>
      <c r="B5" s="2356"/>
      <c r="C5" s="2356"/>
      <c r="D5" s="2356"/>
      <c r="E5" s="2356"/>
      <c r="F5" s="2356"/>
      <c r="G5" s="2357"/>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46258</v>
      </c>
      <c r="F10" s="947"/>
      <c r="G10" s="948"/>
      <c r="H10" s="162"/>
      <c r="I10" s="162"/>
    </row>
    <row r="11" spans="1:9" s="643" customFormat="1" ht="22.5" customHeight="1" x14ac:dyDescent="0.2">
      <c r="A11" s="2360" t="s">
        <v>1977</v>
      </c>
      <c r="B11" s="2361"/>
      <c r="C11" s="2361"/>
      <c r="D11" s="2362"/>
      <c r="E11" s="950">
        <v>17759</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0" t="s">
        <v>532</v>
      </c>
      <c r="E17" s="1611"/>
      <c r="F17" s="1610" t="s">
        <v>433</v>
      </c>
      <c r="G17" s="1612"/>
      <c r="H17" s="162"/>
      <c r="I17" s="162"/>
    </row>
    <row r="18" spans="1:9" s="259" customFormat="1" ht="11.25" x14ac:dyDescent="0.2">
      <c r="A18" s="961"/>
      <c r="C18" s="962" t="s">
        <v>434</v>
      </c>
      <c r="D18" s="1613" t="s">
        <v>435</v>
      </c>
      <c r="E18" s="1613" t="s">
        <v>53</v>
      </c>
      <c r="F18" s="1613" t="s">
        <v>435</v>
      </c>
      <c r="G18" s="1613" t="s">
        <v>53</v>
      </c>
      <c r="H18" s="178"/>
      <c r="I18" s="178"/>
    </row>
    <row r="19" spans="1:9" s="643" customFormat="1" ht="12" customHeight="1" x14ac:dyDescent="0.2">
      <c r="A19" s="963" t="s">
        <v>456</v>
      </c>
      <c r="B19" s="964"/>
      <c r="C19" s="965" t="s">
        <v>570</v>
      </c>
      <c r="D19" s="1771"/>
      <c r="E19" s="1772">
        <f>'Expenditures 15-22'!K33-SUM('Expenditures 15-22'!G33,'Expenditures 15-22'!I33)+'Expenditures 15-22'!D229</f>
        <v>6270772</v>
      </c>
      <c r="F19" s="1771"/>
      <c r="G19" s="1773">
        <f>'Expenditures 15-22'!K33-SUM('Expenditures 15-22'!G33,'Expenditures 15-22'!I33)+'Expenditures 15-22'!D229</f>
        <v>6270772</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401</v>
      </c>
      <c r="B21" s="968"/>
      <c r="C21" s="966">
        <v>2100</v>
      </c>
      <c r="D21" s="1774"/>
      <c r="E21" s="1776">
        <f>'Expenditures 15-22'!K42-SUM('Expenditures 15-22'!G42,'Expenditures 15-22'!I42)+'Expenditures 15-22'!K120-SUM('Expenditures 15-22'!G120,'Expenditures 15-22'!I120)+'Expenditures 15-22'!K180-SUM('Expenditures 15-22'!G180,'Expenditures 15-22'!I180)+'Expenditures 15-22'!D238</f>
        <v>618745</v>
      </c>
      <c r="F21" s="1774"/>
      <c r="G21" s="1777">
        <f>'Expenditures 15-22'!K42-SUM('Expenditures 15-22'!G42,'Expenditures 15-22'!I42)+'Expenditures 15-22'!K120-SUM('Expenditures 15-22'!G120,'Expenditures 15-22'!I120)+'Expenditures 15-22'!K180-SUM('Expenditures 15-22'!G180,'Expenditures 15-22'!I180)+'Expenditures 15-22'!D238</f>
        <v>618745</v>
      </c>
      <c r="H21" s="960"/>
      <c r="I21" s="162"/>
    </row>
    <row r="22" spans="1:9" s="643" customFormat="1" ht="12" customHeight="1" x14ac:dyDescent="0.2">
      <c r="A22" s="967" t="s">
        <v>564</v>
      </c>
      <c r="B22" s="968"/>
      <c r="C22" s="966">
        <v>2200</v>
      </c>
      <c r="D22" s="1774"/>
      <c r="E22" s="1776">
        <f>'Expenditures 15-22'!K47-SUM('Expenditures 15-22'!G47,'Expenditures 15-22'!I47)+'Expenditures 15-22'!D243</f>
        <v>240224</v>
      </c>
      <c r="F22" s="1774"/>
      <c r="G22" s="1777">
        <f>'Expenditures 15-22'!K47-SUM('Expenditures 15-22'!G47,'Expenditures 15-22'!I47)+'Expenditures 15-22'!D243</f>
        <v>240224</v>
      </c>
      <c r="H22" s="960"/>
      <c r="I22" s="162"/>
    </row>
    <row r="23" spans="1:9" s="643" customFormat="1" ht="12" customHeight="1" x14ac:dyDescent="0.2">
      <c r="A23" s="967" t="s">
        <v>565</v>
      </c>
      <c r="B23" s="968"/>
      <c r="C23" s="966">
        <v>2300</v>
      </c>
      <c r="D23" s="1774"/>
      <c r="E23" s="1776">
        <f>'Expenditures 15-22'!K53-SUM('Expenditures 15-22'!G53,'Expenditures 15-22'!I53)+'Expenditures 15-22'!D257+'Expenditures 15-22'!K330-SUM('Expenditures 15-22'!G330,'Expenditures 15-22'!I330)</f>
        <v>681586</v>
      </c>
      <c r="F23" s="1774"/>
      <c r="G23" s="1776">
        <f>'Expenditures 15-22'!K53-SUM('Expenditures 15-22'!G53,'Expenditures 15-22'!I53)+'Expenditures 15-22'!D257+'Expenditures 15-22'!K330-SUM('Expenditures 15-22'!G330,'Expenditures 15-22'!I330)</f>
        <v>681586</v>
      </c>
      <c r="H23" s="960"/>
      <c r="I23" s="162"/>
    </row>
    <row r="24" spans="1:9" s="643" customFormat="1" ht="12" customHeight="1" x14ac:dyDescent="0.2">
      <c r="A24" s="967" t="s">
        <v>566</v>
      </c>
      <c r="B24" s="968"/>
      <c r="C24" s="966">
        <v>2400</v>
      </c>
      <c r="D24" s="1774"/>
      <c r="E24" s="1776">
        <f>'Expenditures 15-22'!K57-SUM('Expenditures 15-22'!G57,'Expenditures 15-22'!I57)+'Expenditures 15-22'!D261</f>
        <v>405609</v>
      </c>
      <c r="F24" s="1774"/>
      <c r="G24" s="1777">
        <f>'Expenditures 15-22'!K57-SUM('Expenditures 15-22'!G57,'Expenditures 15-22'!I57)+'Expenditures 15-22'!D261</f>
        <v>405609</v>
      </c>
      <c r="H24" s="960"/>
      <c r="I24" s="162"/>
    </row>
    <row r="25" spans="1:9" s="643" customFormat="1" ht="12" customHeight="1" x14ac:dyDescent="0.2">
      <c r="A25" s="963" t="s">
        <v>567</v>
      </c>
      <c r="B25" s="969"/>
      <c r="C25" s="966"/>
      <c r="D25" s="1774"/>
      <c r="E25" s="1776"/>
      <c r="F25" s="1774"/>
      <c r="G25" s="1777"/>
      <c r="H25" s="960"/>
      <c r="I25" s="162"/>
    </row>
    <row r="26" spans="1:9" s="643" customFormat="1" ht="12" customHeight="1" x14ac:dyDescent="0.2">
      <c r="A26" s="967" t="s">
        <v>515</v>
      </c>
      <c r="B26" s="970"/>
      <c r="C26" s="966">
        <v>2510</v>
      </c>
      <c r="D26" s="1776">
        <f>'Expenditures 15-22'!K59-SUM('Expenditures 15-22'!G59,'Expenditures 15-22'!I59)+'Expenditures 15-22'!D263-E7</f>
        <v>140991</v>
      </c>
      <c r="E26" s="1776">
        <f>'Expenditures 15-22'!K122-SUM('Expenditures 15-22'!G122,'Expenditures 15-22'!I122)+E7</f>
        <v>33024</v>
      </c>
      <c r="F26" s="1776">
        <f>'Expenditures 15-22'!K59-SUM('Expenditures 15-22'!G59,'Expenditures 15-22'!I59)+'Expenditures 15-22'!D263-E7</f>
        <v>140991</v>
      </c>
      <c r="G26" s="1777">
        <f>'Expenditures 15-22'!K122-SUM('Expenditures 15-22'!G122,'Expenditures 15-22'!I122)+E7</f>
        <v>33024</v>
      </c>
      <c r="H26" s="960"/>
      <c r="I26" s="162"/>
    </row>
    <row r="27" spans="1:9" s="643" customFormat="1" ht="12" customHeight="1" x14ac:dyDescent="0.2">
      <c r="A27" s="967" t="s">
        <v>463</v>
      </c>
      <c r="B27" s="970"/>
      <c r="C27" s="966">
        <v>2520</v>
      </c>
      <c r="D27" s="1776">
        <f>'Expenditures 15-22'!K60-SUM('Expenditures 15-22'!G60,'Expenditures 15-22'!I60)+'Expenditures 15-22'!D264-E8</f>
        <v>164428</v>
      </c>
      <c r="E27" s="1776">
        <f>E8</f>
        <v>0</v>
      </c>
      <c r="F27" s="1776">
        <f>'Expenditures 15-22'!K60-SUM('Expenditures 15-22'!G60,'Expenditures 15-22'!I60)+'Expenditures 15-22'!D264-E8</f>
        <v>164428</v>
      </c>
      <c r="G27" s="1777">
        <f>E8</f>
        <v>0</v>
      </c>
      <c r="H27" s="960"/>
      <c r="I27" s="162"/>
    </row>
    <row r="28" spans="1:9" s="643" customFormat="1" ht="12" customHeight="1" x14ac:dyDescent="0.2">
      <c r="A28" s="967" t="s">
        <v>516</v>
      </c>
      <c r="B28" s="970"/>
      <c r="C28" s="966">
        <v>2540</v>
      </c>
      <c r="D28" s="1778"/>
      <c r="E28" s="1776">
        <f>'Expenditures 15-22'!K61-SUM('Expenditures 15-22'!G61,'Expenditures 15-22'!I61)+'Expenditures 15-22'!K124-SUM('Expenditures 15-22'!G124,'Expenditures 15-22'!I124)+'Expenditures 15-22'!D266</f>
        <v>849298</v>
      </c>
      <c r="F28" s="1778">
        <f>'Expenditures 15-22'!K61-SUM('Expenditures 15-22'!G61,'Expenditures 15-22'!I61)+'Expenditures 15-22'!K124-SUM('Expenditures 15-22'!G124,'Expenditures 15-22'!I124)+'Expenditures 15-22'!D266-E9</f>
        <v>849298</v>
      </c>
      <c r="G28" s="1777">
        <f>E9</f>
        <v>0</v>
      </c>
      <c r="H28" s="960"/>
      <c r="I28" s="162"/>
    </row>
    <row r="29" spans="1:9" ht="12" customHeight="1" x14ac:dyDescent="0.2">
      <c r="A29" s="967" t="s">
        <v>517</v>
      </c>
      <c r="B29" s="970"/>
      <c r="C29" s="966">
        <v>2550</v>
      </c>
      <c r="D29" s="1774"/>
      <c r="E29" s="1776">
        <f>'Expenditures 15-22'!K62-SUM('Expenditures 15-22'!G62,'Expenditures 15-22'!I62)+'Expenditures 15-22'!K125-SUM('Expenditures 15-22'!G125,'Expenditures 15-22'!I125)+'Expenditures 15-22'!K182-SUM('Expenditures 15-22'!G182,'Expenditures 15-22'!I182)+'Expenditures 15-22'!D267</f>
        <v>559347</v>
      </c>
      <c r="F29" s="1774"/>
      <c r="G29" s="1777">
        <f>'Expenditures 15-22'!K62-SUM('Expenditures 15-22'!G62,'Expenditures 15-22'!I62)+'Expenditures 15-22'!K125-SUM('Expenditures 15-22'!G125,'Expenditures 15-22'!I125)+'Expenditures 15-22'!K182-SUM('Expenditures 15-22'!G182,'Expenditures 15-22'!I182)+'Expenditures 15-22'!D267</f>
        <v>559347</v>
      </c>
      <c r="H29" s="958"/>
    </row>
    <row r="30" spans="1:9" ht="12" customHeight="1" x14ac:dyDescent="0.2">
      <c r="A30" s="967" t="s">
        <v>100</v>
      </c>
      <c r="B30" s="970"/>
      <c r="C30" s="966">
        <v>2560</v>
      </c>
      <c r="D30" s="1774"/>
      <c r="E30" s="1776">
        <f>'Expenditures 15-22'!K63-SUM('Expenditures 15-22'!G63,'Expenditures 15-22'!I63)+'Expenditures 15-22'!D268-E10</f>
        <v>87100</v>
      </c>
      <c r="F30" s="1774"/>
      <c r="G30" s="1776">
        <f>'Expenditures 15-22'!K63-SUM('Expenditures 15-22'!G63,'Expenditures 15-22'!I63)+'Expenditures 15-22'!D268-E10</f>
        <v>87100</v>
      </c>
    </row>
    <row r="31" spans="1:9" ht="12" customHeight="1" x14ac:dyDescent="0.2">
      <c r="A31" s="967" t="s">
        <v>101</v>
      </c>
      <c r="B31" s="970"/>
      <c r="C31" s="966">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3" t="s">
        <v>518</v>
      </c>
      <c r="B32" s="969"/>
      <c r="C32" s="966"/>
      <c r="D32" s="1774"/>
      <c r="E32" s="1774"/>
      <c r="F32" s="1774"/>
      <c r="G32" s="1774"/>
    </row>
    <row r="33" spans="1:7" ht="12" customHeight="1" x14ac:dyDescent="0.2">
      <c r="A33" s="967" t="s">
        <v>519</v>
      </c>
      <c r="B33" s="970"/>
      <c r="C33" s="966">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7" t="s">
        <v>520</v>
      </c>
      <c r="B34" s="970"/>
      <c r="C34" s="966">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7" t="s">
        <v>1061</v>
      </c>
      <c r="B35" s="970"/>
      <c r="C35" s="966">
        <v>2630</v>
      </c>
      <c r="D35" s="1774"/>
      <c r="E35" s="1776">
        <f>'Expenditures 15-22'!K69-SUM('Expenditures 15-22'!G69,'Expenditures 15-22'!I69)+'Expenditures 15-22'!D274</f>
        <v>0</v>
      </c>
      <c r="F35" s="1774"/>
      <c r="G35" s="1776">
        <f>'Expenditures 15-22'!K69-SUM('Expenditures 15-22'!G69,'Expenditures 15-22'!I69)+'Expenditures 15-22'!D274</f>
        <v>0</v>
      </c>
    </row>
    <row r="36" spans="1:7" ht="12" customHeight="1" x14ac:dyDescent="0.2">
      <c r="A36" s="967" t="s">
        <v>403</v>
      </c>
      <c r="B36" s="970"/>
      <c r="C36" s="966">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7" t="s">
        <v>404</v>
      </c>
      <c r="B37" s="970"/>
      <c r="C37" s="966">
        <v>2660</v>
      </c>
      <c r="D37" s="1776">
        <f>'Expenditures 15-22'!K71-SUM('Expenditures 15-22'!G71,'Expenditures 15-22'!I71)+'Expenditures 15-22'!D276-E14</f>
        <v>237656</v>
      </c>
      <c r="E37" s="1776">
        <f>E14</f>
        <v>0</v>
      </c>
      <c r="F37" s="1776">
        <f>'Expenditures 15-22'!K71-SUM('Expenditures 15-22'!G71,'Expenditures 15-22'!I71)+'Expenditures 15-22'!D276-E14</f>
        <v>237656</v>
      </c>
      <c r="G37" s="1776">
        <f>E14</f>
        <v>0</v>
      </c>
    </row>
    <row r="38" spans="1:7" ht="12" customHeight="1" x14ac:dyDescent="0.2">
      <c r="A38" s="963" t="s">
        <v>521</v>
      </c>
      <c r="B38" s="964"/>
      <c r="C38" s="966">
        <v>2900</v>
      </c>
      <c r="D38" s="1774"/>
      <c r="E38" s="1776">
        <f>'Expenditures 15-22'!K73-SUM('Expenditures 15-22'!G73,'Expenditures 15-22'!I73)+'Expenditures 15-22'!K128-SUM('Expenditures 15-22'!G128,'Expenditures 15-22'!I128)+'Expenditures 15-22'!K183-SUM('Expenditures 15-22'!G183,'Expenditures 15-22'!I183)+'Expenditures 15-22'!D278</f>
        <v>244</v>
      </c>
      <c r="F38" s="1774"/>
      <c r="G38" s="1776">
        <f>'Expenditures 15-22'!K73-SUM('Expenditures 15-22'!G73,'Expenditures 15-22'!I73)+'Expenditures 15-22'!K128-SUM('Expenditures 15-22'!G128,'Expenditures 15-22'!I128)+'Expenditures 15-22'!K183-SUM('Expenditures 15-22'!G183,'Expenditures 15-22'!I183)+'Expenditures 15-22'!D278</f>
        <v>244</v>
      </c>
    </row>
    <row r="39" spans="1:7" ht="12" customHeight="1" x14ac:dyDescent="0.2">
      <c r="A39" s="963" t="s">
        <v>449</v>
      </c>
      <c r="B39" s="964"/>
      <c r="C39" s="966">
        <v>3000</v>
      </c>
      <c r="D39" s="1774"/>
      <c r="E39" s="1776">
        <f>'Expenditures 15-22'!K75-SUM('Expenditures 15-22'!G75,'Expenditures 15-22'!I75)+'Expenditures 15-22'!K130-SUM('Expenditures 15-22'!G130,'Expenditures 15-22'!I130)+'Expenditures 15-22'!K185-SUM('Expenditures 15-22'!G185,'Expenditures 15-22'!I185)+'Expenditures 15-22'!D280</f>
        <v>0</v>
      </c>
      <c r="F39" s="1774"/>
      <c r="G39" s="177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3" t="s">
        <v>1823</v>
      </c>
      <c r="B40" s="964"/>
      <c r="C40" s="966"/>
      <c r="D40" s="1774"/>
      <c r="E40" s="1778">
        <f>-'Contracts Paid in CY 29'!G141</f>
        <v>-242189.64</v>
      </c>
      <c r="F40" s="1774"/>
      <c r="G40" s="1778">
        <f>-'Contracts Paid in CY 29'!G141</f>
        <v>-242189.64</v>
      </c>
    </row>
    <row r="41" spans="1:7" ht="12" customHeight="1" x14ac:dyDescent="0.2">
      <c r="A41" s="971" t="s">
        <v>156</v>
      </c>
      <c r="B41" s="972"/>
      <c r="C41" s="973"/>
      <c r="D41" s="1778">
        <f>SUM(D19:D39)</f>
        <v>543075</v>
      </c>
      <c r="E41" s="1778">
        <f>SUM(E19:E40)</f>
        <v>9503759.3599999994</v>
      </c>
      <c r="F41" s="1778">
        <f>SUM(F19:F39)</f>
        <v>1392373</v>
      </c>
      <c r="G41" s="1778">
        <f>SUM(G19:G40)</f>
        <v>8654461.3599999994</v>
      </c>
    </row>
    <row r="42" spans="1:7" x14ac:dyDescent="0.2">
      <c r="A42" s="960"/>
      <c r="B42" s="162"/>
      <c r="C42" s="974"/>
      <c r="D42" s="2358" t="s">
        <v>522</v>
      </c>
      <c r="E42" s="2359"/>
      <c r="F42" s="975" t="s">
        <v>523</v>
      </c>
      <c r="G42" s="976"/>
    </row>
    <row r="43" spans="1:7" ht="12" customHeight="1" x14ac:dyDescent="0.2">
      <c r="A43" s="960"/>
      <c r="B43" s="162"/>
      <c r="C43" s="974"/>
      <c r="D43" s="1779" t="s">
        <v>473</v>
      </c>
      <c r="E43" s="1780">
        <f>D41</f>
        <v>543075</v>
      </c>
      <c r="F43" s="1779" t="s">
        <v>473</v>
      </c>
      <c r="G43" s="1780">
        <f>F41</f>
        <v>1392373</v>
      </c>
    </row>
    <row r="44" spans="1:7" ht="12" customHeight="1" x14ac:dyDescent="0.2">
      <c r="A44" s="960"/>
      <c r="B44" s="162"/>
      <c r="C44" s="974"/>
      <c r="D44" s="1779" t="s">
        <v>474</v>
      </c>
      <c r="E44" s="1780">
        <f>E41</f>
        <v>9503759.3599999994</v>
      </c>
      <c r="F44" s="1779" t="s">
        <v>474</v>
      </c>
      <c r="G44" s="1780">
        <f>G41</f>
        <v>8654461.3599999994</v>
      </c>
    </row>
    <row r="45" spans="1:7" ht="12" customHeight="1" x14ac:dyDescent="0.2">
      <c r="A45" s="960"/>
      <c r="B45" s="162"/>
      <c r="C45" s="162"/>
      <c r="D45" s="1781" t="s">
        <v>1006</v>
      </c>
      <c r="E45" s="1782">
        <f>(E43/E44)</f>
        <v>5.7143176655516666E-2</v>
      </c>
      <c r="F45" s="1781" t="s">
        <v>1006</v>
      </c>
      <c r="G45" s="1782">
        <f>(G43/G44)</f>
        <v>0.1608849981623813</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4" activePane="bottomLeft" state="frozen"/>
      <selection activeCell="AF22" sqref="AF22"/>
      <selection pane="bottomLeft" activeCell="F26" sqref="F26"/>
    </sheetView>
  </sheetViews>
  <sheetFormatPr defaultColWidth="9.140625" defaultRowHeight="12.75" x14ac:dyDescent="0.2"/>
  <cols>
    <col min="1" max="1" width="54.5703125" style="1844" customWidth="1"/>
    <col min="2" max="2" width="4.140625" style="1844" customWidth="1"/>
    <col min="3" max="4" width="9.85546875" style="1819" customWidth="1"/>
    <col min="5" max="5" width="12.5703125" style="1845" customWidth="1"/>
    <col min="6" max="6" width="67.5703125" style="1819" customWidth="1"/>
    <col min="7" max="7" width="9.140625" style="1819" customWidth="1"/>
    <col min="8" max="8" width="5.5703125" style="1846" bestFit="1" customWidth="1"/>
    <col min="9" max="10" width="2" style="1846" bestFit="1" customWidth="1"/>
    <col min="11" max="11" width="9" style="1846" customWidth="1"/>
    <col min="12" max="16384" width="9.140625" style="1819"/>
  </cols>
  <sheetData>
    <row r="1" spans="1:10" x14ac:dyDescent="0.2">
      <c r="A1" s="2377" t="s">
        <v>1379</v>
      </c>
      <c r="B1" s="2377"/>
      <c r="C1" s="2377"/>
      <c r="D1" s="2377"/>
      <c r="E1" s="2377"/>
      <c r="F1" s="2377"/>
    </row>
    <row r="2" spans="1:10" x14ac:dyDescent="0.2">
      <c r="A2" s="1855" t="s">
        <v>1912</v>
      </c>
      <c r="B2" s="1820"/>
      <c r="C2" s="1855"/>
      <c r="D2" s="1820"/>
      <c r="E2" s="1820"/>
      <c r="F2" s="1821"/>
    </row>
    <row r="3" spans="1:10" x14ac:dyDescent="0.2">
      <c r="A3" s="1855" t="s">
        <v>1978</v>
      </c>
      <c r="B3" s="1820"/>
      <c r="C3" s="1855"/>
      <c r="D3" s="1820"/>
      <c r="E3" s="1820"/>
      <c r="F3" s="1821"/>
    </row>
    <row r="4" spans="1:10" ht="3.75" customHeight="1" x14ac:dyDescent="0.2">
      <c r="A4" s="1820"/>
      <c r="B4" s="1820"/>
      <c r="C4" s="1820"/>
      <c r="D4" s="1820"/>
      <c r="E4" s="1820"/>
      <c r="F4" s="1821"/>
    </row>
    <row r="5" spans="1:10" ht="15" x14ac:dyDescent="0.25">
      <c r="A5" s="2378" t="s">
        <v>1546</v>
      </c>
      <c r="B5" s="2379"/>
      <c r="C5" s="2380"/>
      <c r="D5" s="2380"/>
      <c r="E5" s="2380"/>
      <c r="F5" s="2380"/>
    </row>
    <row r="6" spans="1:10" ht="12" customHeight="1" x14ac:dyDescent="0.25">
      <c r="A6" s="1822"/>
      <c r="B6" s="1823"/>
      <c r="C6" s="2381" t="str">
        <f>COVER!A17</f>
        <v>Prairie Grove CSD 46</v>
      </c>
      <c r="D6" s="2381"/>
      <c r="E6" s="2381"/>
      <c r="F6" s="1824"/>
    </row>
    <row r="7" spans="1:10" ht="11.25" customHeight="1" thickBot="1" x14ac:dyDescent="0.3">
      <c r="A7" s="1822"/>
      <c r="B7" s="1823"/>
      <c r="C7" s="2382">
        <f>COVER!A13</f>
        <v>44063046003</v>
      </c>
      <c r="D7" s="2382"/>
      <c r="E7" s="2382"/>
      <c r="F7" s="1824"/>
    </row>
    <row r="8" spans="1:10" ht="25.5" customHeight="1" thickBot="1" x14ac:dyDescent="0.25">
      <c r="A8" s="1861" t="s">
        <v>1908</v>
      </c>
      <c r="B8" s="1825"/>
      <c r="C8" s="1857" t="s">
        <v>1681</v>
      </c>
      <c r="D8" s="1856" t="s">
        <v>1682</v>
      </c>
      <c r="E8" s="1858" t="s">
        <v>1380</v>
      </c>
      <c r="F8" s="1856"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59" t="s">
        <v>1381</v>
      </c>
      <c r="F10" s="1860" t="s">
        <v>1382</v>
      </c>
    </row>
    <row r="11" spans="1:10" ht="12" customHeight="1" x14ac:dyDescent="0.2">
      <c r="A11" s="1835" t="s">
        <v>1383</v>
      </c>
      <c r="B11" s="1836"/>
      <c r="C11" s="2007"/>
      <c r="D11" s="2007"/>
      <c r="E11" s="2008"/>
      <c r="F11" s="2009"/>
      <c r="H11" s="1846">
        <f>IF(C11="X",5,0)</f>
        <v>0</v>
      </c>
      <c r="I11" s="1846">
        <f>IF(D11="X",5,0)</f>
        <v>0</v>
      </c>
      <c r="J11" s="1846">
        <f>IF(E11="X",5,0)</f>
        <v>0</v>
      </c>
    </row>
    <row r="12" spans="1:10" ht="12" customHeight="1" x14ac:dyDescent="0.2">
      <c r="A12" s="1835" t="s">
        <v>1384</v>
      </c>
      <c r="B12" s="1836"/>
      <c r="C12" s="2007"/>
      <c r="D12" s="2007"/>
      <c r="E12" s="2010"/>
      <c r="F12" s="2009"/>
      <c r="H12" s="1846">
        <f t="shared" ref="H12:H33" si="0">IF(C12="X",5,0)</f>
        <v>0</v>
      </c>
      <c r="I12" s="1846">
        <f t="shared" ref="I12:I33" si="1">IF(D12="X",5,0)</f>
        <v>0</v>
      </c>
      <c r="J12" s="1846">
        <f t="shared" ref="J12:J33" si="2">IF(E12="X",5,0)</f>
        <v>0</v>
      </c>
    </row>
    <row r="13" spans="1:10" ht="12" customHeight="1" x14ac:dyDescent="0.2">
      <c r="A13" s="1835" t="s">
        <v>1385</v>
      </c>
      <c r="B13" s="1836"/>
      <c r="C13" s="2007"/>
      <c r="D13" s="2007"/>
      <c r="E13" s="2010"/>
      <c r="F13" s="2009"/>
      <c r="H13" s="1846">
        <f t="shared" si="0"/>
        <v>0</v>
      </c>
      <c r="I13" s="1846">
        <f t="shared" si="1"/>
        <v>0</v>
      </c>
      <c r="J13" s="1846">
        <f t="shared" si="2"/>
        <v>0</v>
      </c>
    </row>
    <row r="14" spans="1:10" ht="12" customHeight="1" x14ac:dyDescent="0.2">
      <c r="A14" s="1835" t="s">
        <v>1386</v>
      </c>
      <c r="B14" s="1836"/>
      <c r="C14" s="2007" t="s">
        <v>2075</v>
      </c>
      <c r="D14" s="2007" t="s">
        <v>2075</v>
      </c>
      <c r="E14" s="2010" t="s">
        <v>2075</v>
      </c>
      <c r="F14" s="2009" t="s">
        <v>2085</v>
      </c>
      <c r="H14" s="1846">
        <f t="shared" si="0"/>
        <v>5</v>
      </c>
      <c r="I14" s="1846">
        <f t="shared" si="1"/>
        <v>5</v>
      </c>
      <c r="J14" s="1846">
        <f t="shared" si="2"/>
        <v>5</v>
      </c>
    </row>
    <row r="15" spans="1:10" ht="12" customHeight="1" x14ac:dyDescent="0.2">
      <c r="A15" s="1835" t="s">
        <v>1387</v>
      </c>
      <c r="B15" s="1836"/>
      <c r="C15" s="2007"/>
      <c r="D15" s="2007"/>
      <c r="E15" s="2010"/>
      <c r="F15" s="2009"/>
      <c r="H15" s="1846">
        <f t="shared" si="0"/>
        <v>0</v>
      </c>
      <c r="I15" s="1846">
        <f t="shared" si="1"/>
        <v>0</v>
      </c>
      <c r="J15" s="1846">
        <f t="shared" si="2"/>
        <v>0</v>
      </c>
    </row>
    <row r="16" spans="1:10" ht="12" customHeight="1" x14ac:dyDescent="0.2">
      <c r="A16" s="1835" t="s">
        <v>1388</v>
      </c>
      <c r="B16" s="1836"/>
      <c r="C16" s="2007" t="s">
        <v>2075</v>
      </c>
      <c r="D16" s="2007" t="s">
        <v>2075</v>
      </c>
      <c r="E16" s="2010" t="s">
        <v>2075</v>
      </c>
      <c r="F16" s="2009" t="s">
        <v>2086</v>
      </c>
      <c r="H16" s="1846">
        <f t="shared" si="0"/>
        <v>5</v>
      </c>
      <c r="I16" s="1846">
        <f t="shared" si="1"/>
        <v>5</v>
      </c>
      <c r="J16" s="1846">
        <f t="shared" si="2"/>
        <v>5</v>
      </c>
    </row>
    <row r="17" spans="1:12" ht="12" customHeight="1" x14ac:dyDescent="0.2">
      <c r="A17" s="1835" t="s">
        <v>1389</v>
      </c>
      <c r="B17" s="1836"/>
      <c r="C17" s="2007"/>
      <c r="D17" s="2007"/>
      <c r="E17" s="2010"/>
      <c r="F17" s="2009"/>
      <c r="H17" s="1846">
        <f t="shared" si="0"/>
        <v>0</v>
      </c>
      <c r="I17" s="1846">
        <f t="shared" si="1"/>
        <v>0</v>
      </c>
      <c r="J17" s="1846">
        <f t="shared" si="2"/>
        <v>0</v>
      </c>
    </row>
    <row r="18" spans="1:12" ht="12" customHeight="1" x14ac:dyDescent="0.2">
      <c r="A18" s="1835" t="s">
        <v>1390</v>
      </c>
      <c r="B18" s="1836"/>
      <c r="C18" s="2007"/>
      <c r="D18" s="2007"/>
      <c r="E18" s="2010"/>
      <c r="F18" s="2009"/>
      <c r="H18" s="1846">
        <f t="shared" si="0"/>
        <v>0</v>
      </c>
      <c r="I18" s="1846">
        <f t="shared" si="1"/>
        <v>0</v>
      </c>
      <c r="J18" s="1846">
        <f t="shared" si="2"/>
        <v>0</v>
      </c>
    </row>
    <row r="19" spans="1:12" ht="12" customHeight="1" x14ac:dyDescent="0.2">
      <c r="A19" s="1835" t="s">
        <v>1527</v>
      </c>
      <c r="B19" s="1836"/>
      <c r="C19" s="2007" t="s">
        <v>2075</v>
      </c>
      <c r="D19" s="2007" t="s">
        <v>2075</v>
      </c>
      <c r="E19" s="2010" t="s">
        <v>2075</v>
      </c>
      <c r="F19" s="2009" t="s">
        <v>2087</v>
      </c>
      <c r="H19" s="1846">
        <f t="shared" si="0"/>
        <v>5</v>
      </c>
      <c r="I19" s="1846">
        <f t="shared" si="1"/>
        <v>5</v>
      </c>
      <c r="J19" s="1846">
        <f t="shared" si="2"/>
        <v>5</v>
      </c>
    </row>
    <row r="20" spans="1:12" ht="12" customHeight="1" x14ac:dyDescent="0.2">
      <c r="A20" s="1835" t="s">
        <v>1528</v>
      </c>
      <c r="B20" s="1836"/>
      <c r="C20" s="2007" t="s">
        <v>2075</v>
      </c>
      <c r="D20" s="2007" t="s">
        <v>2075</v>
      </c>
      <c r="E20" s="2010" t="s">
        <v>2075</v>
      </c>
      <c r="F20" s="2009" t="s">
        <v>2088</v>
      </c>
      <c r="H20" s="1846">
        <f t="shared" si="0"/>
        <v>5</v>
      </c>
      <c r="I20" s="1846">
        <f t="shared" si="1"/>
        <v>5</v>
      </c>
      <c r="J20" s="1846">
        <f t="shared" si="2"/>
        <v>5</v>
      </c>
    </row>
    <row r="21" spans="1:12" ht="12" customHeight="1" x14ac:dyDescent="0.2">
      <c r="A21" s="1835" t="s">
        <v>1529</v>
      </c>
      <c r="B21" s="1836"/>
      <c r="C21" s="2007" t="s">
        <v>2075</v>
      </c>
      <c r="D21" s="2007" t="s">
        <v>2075</v>
      </c>
      <c r="E21" s="2010" t="s">
        <v>2075</v>
      </c>
      <c r="F21" s="2009" t="s">
        <v>2089</v>
      </c>
      <c r="H21" s="1846">
        <f t="shared" si="0"/>
        <v>5</v>
      </c>
      <c r="I21" s="1846">
        <f t="shared" si="1"/>
        <v>5</v>
      </c>
      <c r="J21" s="1846">
        <f t="shared" si="2"/>
        <v>5</v>
      </c>
    </row>
    <row r="22" spans="1:12" ht="12" customHeight="1" x14ac:dyDescent="0.2">
      <c r="A22" s="1835" t="s">
        <v>1530</v>
      </c>
      <c r="B22" s="1836"/>
      <c r="C22" s="2007"/>
      <c r="D22" s="2007"/>
      <c r="E22" s="2010"/>
      <c r="F22" s="2009"/>
      <c r="H22" s="1846">
        <f t="shared" si="0"/>
        <v>0</v>
      </c>
      <c r="I22" s="1846">
        <f t="shared" si="1"/>
        <v>0</v>
      </c>
      <c r="J22" s="1846">
        <f t="shared" si="2"/>
        <v>0</v>
      </c>
    </row>
    <row r="23" spans="1:12" ht="12" customHeight="1" x14ac:dyDescent="0.2">
      <c r="A23" s="1835" t="s">
        <v>1531</v>
      </c>
      <c r="B23" s="1836"/>
      <c r="C23" s="2007"/>
      <c r="D23" s="2007"/>
      <c r="E23" s="2010"/>
      <c r="F23" s="2009"/>
      <c r="H23" s="1846">
        <f t="shared" si="0"/>
        <v>0</v>
      </c>
      <c r="I23" s="1846">
        <f t="shared" si="1"/>
        <v>0</v>
      </c>
      <c r="J23" s="1846">
        <f t="shared" si="2"/>
        <v>0</v>
      </c>
    </row>
    <row r="24" spans="1:12" ht="12" customHeight="1" x14ac:dyDescent="0.2">
      <c r="A24" s="1835" t="s">
        <v>1532</v>
      </c>
      <c r="B24" s="1836"/>
      <c r="C24" s="2007"/>
      <c r="D24" s="2007"/>
      <c r="E24" s="2010"/>
      <c r="F24" s="2009"/>
      <c r="H24" s="1846">
        <f t="shared" si="0"/>
        <v>0</v>
      </c>
      <c r="I24" s="1846">
        <f t="shared" si="1"/>
        <v>0</v>
      </c>
      <c r="J24" s="1846">
        <f t="shared" si="2"/>
        <v>0</v>
      </c>
    </row>
    <row r="25" spans="1:12" ht="12" customHeight="1" x14ac:dyDescent="0.2">
      <c r="A25" s="1835" t="s">
        <v>1533</v>
      </c>
      <c r="B25" s="1836"/>
      <c r="C25" s="2007"/>
      <c r="D25" s="2007"/>
      <c r="E25" s="2010"/>
      <c r="F25" s="2009"/>
      <c r="H25" s="1846">
        <f t="shared" si="0"/>
        <v>0</v>
      </c>
      <c r="I25" s="1846">
        <f t="shared" si="1"/>
        <v>0</v>
      </c>
      <c r="J25" s="1846">
        <f t="shared" si="2"/>
        <v>0</v>
      </c>
    </row>
    <row r="26" spans="1:12" ht="12" customHeight="1" x14ac:dyDescent="0.2">
      <c r="A26" s="1835" t="s">
        <v>1534</v>
      </c>
      <c r="B26" s="1836"/>
      <c r="C26" s="2007" t="s">
        <v>2075</v>
      </c>
      <c r="D26" s="2007"/>
      <c r="E26" s="2010"/>
      <c r="F26" s="2011" t="s">
        <v>2102</v>
      </c>
      <c r="H26" s="1846">
        <f t="shared" si="0"/>
        <v>5</v>
      </c>
      <c r="I26" s="1846">
        <f t="shared" si="1"/>
        <v>0</v>
      </c>
      <c r="J26" s="1846">
        <f t="shared" si="2"/>
        <v>0</v>
      </c>
    </row>
    <row r="27" spans="1:12" ht="18.75" x14ac:dyDescent="0.2">
      <c r="A27" s="1835" t="s">
        <v>1535</v>
      </c>
      <c r="B27" s="1836"/>
      <c r="C27" s="2007"/>
      <c r="D27" s="2007"/>
      <c r="E27" s="2010"/>
      <c r="F27" s="2009"/>
      <c r="H27" s="1846">
        <f t="shared" si="0"/>
        <v>0</v>
      </c>
      <c r="I27" s="1846">
        <f t="shared" si="1"/>
        <v>0</v>
      </c>
      <c r="J27" s="1846">
        <f t="shared" si="2"/>
        <v>0</v>
      </c>
    </row>
    <row r="28" spans="1:12" ht="12" customHeight="1" x14ac:dyDescent="0.2">
      <c r="A28" s="1835" t="s">
        <v>1536</v>
      </c>
      <c r="B28" s="1836"/>
      <c r="C28" s="2007"/>
      <c r="D28" s="2007"/>
      <c r="E28" s="2010"/>
      <c r="F28" s="2009"/>
      <c r="H28" s="1846">
        <f t="shared" si="0"/>
        <v>0</v>
      </c>
      <c r="I28" s="1846">
        <f t="shared" si="1"/>
        <v>0</v>
      </c>
      <c r="J28" s="1846">
        <f t="shared" si="2"/>
        <v>0</v>
      </c>
    </row>
    <row r="29" spans="1:12" ht="12" customHeight="1" x14ac:dyDescent="0.2">
      <c r="A29" s="1835" t="s">
        <v>1537</v>
      </c>
      <c r="B29" s="1836"/>
      <c r="C29" s="2007"/>
      <c r="D29" s="2007"/>
      <c r="E29" s="2010"/>
      <c r="F29" s="2009"/>
      <c r="H29" s="1846">
        <f t="shared" si="0"/>
        <v>0</v>
      </c>
      <c r="I29" s="1846">
        <f t="shared" si="1"/>
        <v>0</v>
      </c>
      <c r="J29" s="1846">
        <f t="shared" si="2"/>
        <v>0</v>
      </c>
    </row>
    <row r="30" spans="1:12" ht="12" customHeight="1" x14ac:dyDescent="0.2">
      <c r="A30" s="1835" t="s">
        <v>1538</v>
      </c>
      <c r="B30" s="1836"/>
      <c r="C30" s="2007"/>
      <c r="D30" s="2007"/>
      <c r="E30" s="2010"/>
      <c r="F30" s="2009"/>
      <c r="H30" s="1846">
        <f t="shared" si="0"/>
        <v>0</v>
      </c>
      <c r="I30" s="1846">
        <f t="shared" si="1"/>
        <v>0</v>
      </c>
      <c r="J30" s="1846">
        <f t="shared" si="2"/>
        <v>0</v>
      </c>
    </row>
    <row r="31" spans="1:12" ht="12" customHeight="1" x14ac:dyDescent="0.2">
      <c r="A31" s="1835" t="s">
        <v>1539</v>
      </c>
      <c r="B31" s="1836"/>
      <c r="C31" s="2007"/>
      <c r="D31" s="2007"/>
      <c r="E31" s="2010"/>
      <c r="F31" s="2009"/>
      <c r="H31" s="1846">
        <f t="shared" si="0"/>
        <v>0</v>
      </c>
      <c r="I31" s="1846">
        <f t="shared" si="1"/>
        <v>0</v>
      </c>
      <c r="J31" s="1846">
        <f t="shared" si="2"/>
        <v>0</v>
      </c>
      <c r="L31" s="1837"/>
    </row>
    <row r="32" spans="1:12" ht="12" customHeight="1" x14ac:dyDescent="0.2">
      <c r="A32" s="1835" t="s">
        <v>1540</v>
      </c>
      <c r="B32" s="1836"/>
      <c r="C32" s="2007"/>
      <c r="D32" s="2007"/>
      <c r="E32" s="2010"/>
      <c r="F32" s="2009"/>
      <c r="H32" s="1846">
        <f t="shared" si="0"/>
        <v>0</v>
      </c>
      <c r="I32" s="1846">
        <f t="shared" si="1"/>
        <v>0</v>
      </c>
      <c r="J32" s="1846">
        <f t="shared" si="2"/>
        <v>0</v>
      </c>
    </row>
    <row r="33" spans="1:11" ht="12" customHeight="1" x14ac:dyDescent="0.2">
      <c r="A33" s="1835" t="s">
        <v>1541</v>
      </c>
      <c r="B33" s="1836"/>
      <c r="C33" s="2007"/>
      <c r="D33" s="2007"/>
      <c r="E33" s="2010"/>
      <c r="F33" s="2009"/>
      <c r="H33" s="1846">
        <f t="shared" si="0"/>
        <v>0</v>
      </c>
      <c r="I33" s="1846">
        <f t="shared" si="1"/>
        <v>0</v>
      </c>
      <c r="J33" s="1846">
        <f t="shared" si="2"/>
        <v>0</v>
      </c>
    </row>
    <row r="34" spans="1:11" ht="12" customHeight="1" x14ac:dyDescent="0.25">
      <c r="A34" s="1838"/>
      <c r="B34" s="1838"/>
      <c r="C34" s="1838"/>
      <c r="D34" s="1838"/>
      <c r="E34" s="1838"/>
      <c r="F34" s="1838"/>
      <c r="H34" s="1846">
        <f>SUM(H11:H32)</f>
        <v>30</v>
      </c>
      <c r="I34" s="1846">
        <f>SUM(I11:I32)</f>
        <v>25</v>
      </c>
      <c r="J34" s="1846">
        <f>SUM(J11:J32)</f>
        <v>25</v>
      </c>
      <c r="K34" s="1846">
        <f>SUM(H34:J34)</f>
        <v>80</v>
      </c>
    </row>
    <row r="35" spans="1:11" ht="12" customHeight="1" x14ac:dyDescent="0.2">
      <c r="A35" s="1839" t="s">
        <v>1392</v>
      </c>
      <c r="B35" s="1840"/>
      <c r="C35" s="2383"/>
      <c r="D35" s="2383"/>
      <c r="E35" s="2383"/>
      <c r="F35" s="2384"/>
    </row>
    <row r="36" spans="1:11" ht="12" customHeight="1" x14ac:dyDescent="0.2">
      <c r="A36" s="2366"/>
      <c r="B36" s="2367"/>
      <c r="C36" s="2367"/>
      <c r="D36" s="2367"/>
      <c r="E36" s="2367"/>
      <c r="F36" s="2368"/>
    </row>
    <row r="37" spans="1:11" ht="12" customHeight="1" x14ac:dyDescent="0.2">
      <c r="A37" s="2366"/>
      <c r="B37" s="2367"/>
      <c r="C37" s="2367"/>
      <c r="D37" s="2367"/>
      <c r="E37" s="2367"/>
      <c r="F37" s="2368"/>
    </row>
    <row r="38" spans="1:11" ht="12" customHeight="1" x14ac:dyDescent="0.2">
      <c r="A38" s="2369"/>
      <c r="B38" s="2370"/>
      <c r="C38" s="2370"/>
      <c r="D38" s="2370"/>
      <c r="E38" s="2370"/>
      <c r="F38" s="2371"/>
    </row>
    <row r="39" spans="1:11" ht="4.5" hidden="1" customHeight="1" x14ac:dyDescent="0.2">
      <c r="A39" s="1841"/>
      <c r="B39" s="1841"/>
      <c r="C39" s="1841"/>
      <c r="D39" s="1841"/>
      <c r="E39" s="1841"/>
      <c r="F39" s="1841"/>
    </row>
    <row r="40" spans="1:11" s="1838" customFormat="1" ht="12" customHeight="1" x14ac:dyDescent="0.25">
      <c r="A40" s="1842" t="s">
        <v>1391</v>
      </c>
      <c r="B40" s="1843"/>
      <c r="C40" s="2372"/>
      <c r="D40" s="2372"/>
      <c r="E40" s="2372"/>
      <c r="F40" s="2373"/>
      <c r="H40" s="1847"/>
      <c r="I40" s="1847"/>
      <c r="J40" s="1847"/>
      <c r="K40" s="1847"/>
    </row>
    <row r="41" spans="1:11" s="1838" customFormat="1" ht="12" customHeight="1" x14ac:dyDescent="0.25">
      <c r="A41" s="2374"/>
      <c r="B41" s="2375"/>
      <c r="C41" s="2375"/>
      <c r="D41" s="2375"/>
      <c r="E41" s="2375"/>
      <c r="F41" s="2376"/>
      <c r="H41" s="1847"/>
      <c r="I41" s="1847"/>
      <c r="J41" s="1847"/>
      <c r="K41" s="1847"/>
    </row>
    <row r="42" spans="1:11" s="1838" customFormat="1" ht="12" customHeight="1" x14ac:dyDescent="0.25">
      <c r="A42" s="2374"/>
      <c r="B42" s="2375"/>
      <c r="C42" s="2375"/>
      <c r="D42" s="2375"/>
      <c r="E42" s="2375"/>
      <c r="F42" s="2376"/>
      <c r="H42" s="1847"/>
      <c r="I42" s="1847"/>
      <c r="J42" s="1847"/>
      <c r="K42" s="1847"/>
    </row>
    <row r="43" spans="1:11" s="1838" customFormat="1" ht="15" x14ac:dyDescent="0.25">
      <c r="A43" s="2363"/>
      <c r="B43" s="2364"/>
      <c r="C43" s="2364"/>
      <c r="D43" s="2364"/>
      <c r="E43" s="2364"/>
      <c r="F43" s="2365"/>
      <c r="H43" s="1847"/>
      <c r="I43" s="1847"/>
      <c r="J43" s="1847"/>
      <c r="K43" s="1847"/>
    </row>
    <row r="44" spans="1:11" s="1838" customFormat="1" ht="12" hidden="1" customHeight="1" x14ac:dyDescent="0.25">
      <c r="A44" s="2363"/>
      <c r="B44" s="2364"/>
      <c r="C44" s="2364"/>
      <c r="D44" s="2364"/>
      <c r="E44" s="2364"/>
      <c r="F44" s="2365"/>
      <c r="H44" s="1847"/>
      <c r="I44" s="1847"/>
      <c r="J44" s="1847"/>
      <c r="K44" s="1847"/>
    </row>
    <row r="45" spans="1:11" s="1838" customFormat="1" ht="12" customHeight="1" x14ac:dyDescent="0.25">
      <c r="H45" s="1847"/>
      <c r="I45" s="1847"/>
      <c r="J45" s="1847"/>
      <c r="K45" s="1847"/>
    </row>
    <row r="46" spans="1:11" s="1838" customFormat="1" ht="9.75" customHeight="1" x14ac:dyDescent="0.25">
      <c r="H46" s="1847"/>
      <c r="I46" s="1847"/>
      <c r="J46" s="1847"/>
      <c r="K46" s="1847"/>
    </row>
    <row r="47" spans="1:11" s="1838" customFormat="1" ht="13.5" customHeight="1" x14ac:dyDescent="0.25">
      <c r="H47" s="1847"/>
      <c r="I47" s="1847"/>
      <c r="J47" s="1847"/>
      <c r="K47" s="1847"/>
    </row>
    <row r="48" spans="1:11" s="1838" customFormat="1" ht="15" x14ac:dyDescent="0.25">
      <c r="H48" s="1847"/>
      <c r="I48" s="1847"/>
      <c r="J48" s="1847"/>
      <c r="K48" s="1847"/>
    </row>
    <row r="49" spans="1:11" s="1838" customFormat="1" ht="15" hidden="1" x14ac:dyDescent="0.25">
      <c r="A49" s="1838" t="b">
        <v>0</v>
      </c>
      <c r="H49" s="1847"/>
      <c r="I49" s="1847"/>
      <c r="J49" s="1847"/>
      <c r="K49" s="1847"/>
    </row>
    <row r="50" spans="1:11" s="1838" customFormat="1" ht="15" x14ac:dyDescent="0.25">
      <c r="H50" s="1847"/>
      <c r="I50" s="1847"/>
      <c r="J50" s="1847"/>
      <c r="K50" s="1847"/>
    </row>
    <row r="51" spans="1:11" s="1838" customFormat="1" ht="15" x14ac:dyDescent="0.25">
      <c r="H51" s="1847"/>
      <c r="I51" s="1847"/>
      <c r="J51" s="1847"/>
      <c r="K51" s="1847"/>
    </row>
    <row r="52" spans="1:11" s="1838" customFormat="1" ht="15" x14ac:dyDescent="0.25">
      <c r="H52" s="1847"/>
      <c r="I52" s="1847"/>
      <c r="J52" s="1847"/>
      <c r="K52" s="1847"/>
    </row>
    <row r="53" spans="1:11" s="1838" customFormat="1" ht="15" x14ac:dyDescent="0.25">
      <c r="H53" s="1847"/>
      <c r="I53" s="1847"/>
      <c r="J53" s="1847"/>
      <c r="K53" s="1847"/>
    </row>
    <row r="54" spans="1:11" s="1838" customFormat="1" ht="15" x14ac:dyDescent="0.25">
      <c r="H54" s="1847"/>
      <c r="I54" s="1847"/>
      <c r="J54" s="1847"/>
      <c r="K54" s="1847"/>
    </row>
    <row r="55" spans="1:11" s="1838" customFormat="1" ht="15" x14ac:dyDescent="0.25">
      <c r="H55" s="1847"/>
      <c r="I55" s="1847"/>
      <c r="J55" s="1847"/>
      <c r="K55" s="1847"/>
    </row>
    <row r="56" spans="1:11" s="1838" customFormat="1" ht="15" x14ac:dyDescent="0.25">
      <c r="H56" s="1847"/>
      <c r="I56" s="1847"/>
      <c r="J56" s="1847"/>
      <c r="K56" s="1847"/>
    </row>
    <row r="57" spans="1:11" s="1838" customFormat="1" ht="15" x14ac:dyDescent="0.25">
      <c r="H57" s="1847"/>
      <c r="I57" s="1847"/>
      <c r="J57" s="1847"/>
      <c r="K57" s="1847"/>
    </row>
    <row r="58" spans="1:11" s="1838" customFormat="1" ht="15" x14ac:dyDescent="0.25">
      <c r="H58" s="1847"/>
      <c r="I58" s="1847"/>
      <c r="J58" s="1847"/>
      <c r="K58" s="1847"/>
    </row>
    <row r="59" spans="1:11" s="1838" customFormat="1" ht="15" x14ac:dyDescent="0.25">
      <c r="H59" s="1847"/>
      <c r="I59" s="1847"/>
      <c r="J59" s="1847"/>
      <c r="K59" s="1847"/>
    </row>
    <row r="60" spans="1:11" s="1838" customFormat="1" ht="15" x14ac:dyDescent="0.25">
      <c r="H60" s="1847"/>
      <c r="I60" s="1847"/>
      <c r="J60" s="1847"/>
      <c r="K60" s="1847"/>
    </row>
    <row r="61" spans="1:11" s="1838" customFormat="1" ht="15" x14ac:dyDescent="0.25">
      <c r="H61" s="1847"/>
      <c r="I61" s="1847"/>
      <c r="J61" s="1847"/>
      <c r="K61" s="1847"/>
    </row>
    <row r="62" spans="1:11" s="1838" customFormat="1" ht="15" x14ac:dyDescent="0.25">
      <c r="H62" s="1847"/>
      <c r="I62" s="1847"/>
      <c r="J62" s="1847"/>
      <c r="K62" s="1847"/>
    </row>
    <row r="63" spans="1:11" s="1838" customFormat="1" ht="15" x14ac:dyDescent="0.25">
      <c r="H63" s="1847"/>
      <c r="I63" s="1847"/>
      <c r="J63" s="1847"/>
      <c r="K63" s="1847"/>
    </row>
    <row r="64" spans="1:11" s="1838" customFormat="1" ht="15" x14ac:dyDescent="0.25">
      <c r="H64" s="1847"/>
      <c r="I64" s="1847"/>
      <c r="J64" s="1847"/>
      <c r="K64" s="1847"/>
    </row>
    <row r="65" spans="8:11" s="1838" customFormat="1" ht="15" x14ac:dyDescent="0.25">
      <c r="H65" s="1847"/>
      <c r="I65" s="1847"/>
      <c r="J65" s="1847"/>
      <c r="K65" s="1847"/>
    </row>
    <row r="66" spans="8:11" s="1838" customFormat="1" ht="15" x14ac:dyDescent="0.25">
      <c r="H66" s="1847"/>
      <c r="I66" s="1847"/>
      <c r="J66" s="1847"/>
      <c r="K66" s="1847"/>
    </row>
    <row r="67" spans="8:11" s="1838" customFormat="1" ht="15" x14ac:dyDescent="0.25">
      <c r="H67" s="1847"/>
      <c r="I67" s="1847"/>
      <c r="J67" s="1847"/>
      <c r="K67" s="1847"/>
    </row>
    <row r="68" spans="8:11" s="1838" customFormat="1" ht="15" x14ac:dyDescent="0.25">
      <c r="H68" s="1847"/>
      <c r="I68" s="1847"/>
      <c r="J68" s="1847"/>
      <c r="K68" s="1847"/>
    </row>
    <row r="69" spans="8:11" s="1838" customFormat="1" ht="15" x14ac:dyDescent="0.25">
      <c r="H69" s="1847"/>
      <c r="I69" s="1847"/>
      <c r="J69" s="1847"/>
      <c r="K69" s="1847"/>
    </row>
    <row r="70" spans="8:11" s="1838" customFormat="1" ht="15" x14ac:dyDescent="0.25">
      <c r="H70" s="1847"/>
      <c r="I70" s="1847"/>
      <c r="J70" s="1847"/>
      <c r="K70" s="1847"/>
    </row>
    <row r="71" spans="8:11" s="1838" customFormat="1" ht="15" x14ac:dyDescent="0.25">
      <c r="H71" s="1847"/>
      <c r="I71" s="1847"/>
      <c r="J71" s="1847"/>
      <c r="K71" s="1847"/>
    </row>
    <row r="72" spans="8:11" s="1838" customFormat="1" ht="15" x14ac:dyDescent="0.25">
      <c r="H72" s="1847"/>
      <c r="I72" s="1847"/>
      <c r="J72" s="1847"/>
      <c r="K72" s="1847"/>
    </row>
    <row r="73" spans="8:11" s="1838" customFormat="1" ht="15" x14ac:dyDescent="0.25">
      <c r="H73" s="1847"/>
      <c r="I73" s="1847"/>
      <c r="J73" s="1847"/>
      <c r="K73" s="1847"/>
    </row>
    <row r="74" spans="8:11" s="1838" customFormat="1" ht="15" x14ac:dyDescent="0.25">
      <c r="H74" s="1847"/>
      <c r="I74" s="1847"/>
      <c r="J74" s="1847"/>
      <c r="K74" s="1847"/>
    </row>
    <row r="75" spans="8:11" s="1838" customFormat="1" ht="15" x14ac:dyDescent="0.25">
      <c r="H75" s="1847"/>
      <c r="I75" s="1847"/>
      <c r="J75" s="1847"/>
      <c r="K75" s="1847"/>
    </row>
    <row r="76" spans="8:11" s="1838" customFormat="1" ht="15" x14ac:dyDescent="0.25">
      <c r="H76" s="1847"/>
      <c r="I76" s="1847"/>
      <c r="J76" s="1847"/>
      <c r="K76" s="1847"/>
    </row>
    <row r="77" spans="8:11" s="1838" customFormat="1" ht="15" x14ac:dyDescent="0.25">
      <c r="H77" s="1847"/>
      <c r="I77" s="1847"/>
      <c r="J77" s="1847"/>
      <c r="K77" s="1847"/>
    </row>
    <row r="78" spans="8:11" s="1838" customFormat="1" ht="15" x14ac:dyDescent="0.25">
      <c r="H78" s="1847"/>
      <c r="I78" s="1847"/>
      <c r="J78" s="1847"/>
      <c r="K78" s="1847"/>
    </row>
    <row r="79" spans="8:11" s="1838" customFormat="1" ht="15" x14ac:dyDescent="0.25">
      <c r="H79" s="1847"/>
      <c r="I79" s="1847"/>
      <c r="J79" s="1847"/>
      <c r="K79" s="1847"/>
    </row>
    <row r="80" spans="8:11" s="1838" customFormat="1" ht="15" x14ac:dyDescent="0.25">
      <c r="H80" s="1847"/>
      <c r="I80" s="1847"/>
      <c r="J80" s="1847"/>
      <c r="K80" s="1847"/>
    </row>
    <row r="81" spans="8:11" s="1838" customFormat="1" ht="15" x14ac:dyDescent="0.25">
      <c r="H81" s="1847"/>
      <c r="I81" s="1847"/>
      <c r="J81" s="1847"/>
      <c r="K81" s="1847"/>
    </row>
    <row r="82" spans="8:11" s="1838" customFormat="1" ht="15" x14ac:dyDescent="0.25">
      <c r="H82" s="1847"/>
      <c r="I82" s="1847"/>
      <c r="J82" s="1847"/>
      <c r="K82" s="1847"/>
    </row>
    <row r="83" spans="8:11" s="1838" customFormat="1" ht="15" x14ac:dyDescent="0.25">
      <c r="H83" s="1847"/>
      <c r="I83" s="1847"/>
      <c r="J83" s="1847"/>
      <c r="K83" s="1847"/>
    </row>
    <row r="84" spans="8:11" s="1838" customFormat="1" ht="15" x14ac:dyDescent="0.25">
      <c r="H84" s="1847"/>
      <c r="I84" s="1847"/>
      <c r="J84" s="1847"/>
      <c r="K84" s="1847"/>
    </row>
    <row r="85" spans="8:11" s="1838" customFormat="1" ht="15" x14ac:dyDescent="0.25">
      <c r="H85" s="1847"/>
      <c r="I85" s="1847"/>
      <c r="J85" s="1847"/>
      <c r="K85" s="1847"/>
    </row>
    <row r="86" spans="8:11" s="1838" customFormat="1" ht="15" x14ac:dyDescent="0.25">
      <c r="H86" s="1847"/>
      <c r="I86" s="1847"/>
      <c r="J86" s="1847"/>
      <c r="K86" s="1847"/>
    </row>
    <row r="87" spans="8:11" s="1838" customFormat="1" ht="15" x14ac:dyDescent="0.25">
      <c r="H87" s="1847"/>
      <c r="I87" s="1847"/>
      <c r="J87" s="1847"/>
      <c r="K87" s="1847"/>
    </row>
    <row r="88" spans="8:11" s="1838" customFormat="1" ht="15" x14ac:dyDescent="0.25">
      <c r="H88" s="1847"/>
      <c r="I88" s="1847"/>
      <c r="J88" s="1847"/>
      <c r="K88" s="1847"/>
    </row>
    <row r="89" spans="8:11" s="1838" customFormat="1" ht="15" x14ac:dyDescent="0.25">
      <c r="H89" s="1847"/>
      <c r="I89" s="1847"/>
      <c r="J89" s="1847"/>
      <c r="K89" s="1847"/>
    </row>
    <row r="90" spans="8:11" s="1838" customFormat="1" ht="15" x14ac:dyDescent="0.25">
      <c r="H90" s="1847"/>
      <c r="I90" s="1847"/>
      <c r="J90" s="1847"/>
      <c r="K90" s="1847"/>
    </row>
    <row r="91" spans="8:11" s="1838" customFormat="1" ht="15" x14ac:dyDescent="0.25">
      <c r="H91" s="1847"/>
      <c r="I91" s="1847"/>
      <c r="J91" s="1847"/>
      <c r="K91" s="1847"/>
    </row>
    <row r="92" spans="8:11" s="1838" customFormat="1" ht="15" x14ac:dyDescent="0.25">
      <c r="H92" s="1847"/>
      <c r="I92" s="1847"/>
      <c r="J92" s="1847"/>
      <c r="K92" s="1847"/>
    </row>
    <row r="93" spans="8:11" s="1838" customFormat="1" ht="15" x14ac:dyDescent="0.25">
      <c r="H93" s="1847"/>
      <c r="I93" s="1847"/>
      <c r="J93" s="1847"/>
      <c r="K93" s="1847"/>
    </row>
    <row r="94" spans="8:11" s="1838" customFormat="1" ht="15" x14ac:dyDescent="0.25">
      <c r="H94" s="1847"/>
      <c r="I94" s="1847"/>
      <c r="J94" s="1847"/>
      <c r="K94" s="1847"/>
    </row>
    <row r="95" spans="8:11" s="1838" customFormat="1" ht="15" x14ac:dyDescent="0.25">
      <c r="H95" s="1847"/>
      <c r="I95" s="1847"/>
      <c r="J95" s="1847"/>
      <c r="K95" s="1847"/>
    </row>
    <row r="96" spans="8:11" s="1838" customFormat="1" ht="15" x14ac:dyDescent="0.25">
      <c r="H96" s="1847"/>
      <c r="I96" s="1847"/>
      <c r="J96" s="1847"/>
      <c r="K96" s="1847"/>
    </row>
    <row r="97" spans="8:11" s="1838" customFormat="1" ht="15" x14ac:dyDescent="0.25">
      <c r="H97" s="1847"/>
      <c r="I97" s="1847"/>
      <c r="J97" s="1847"/>
      <c r="K97" s="184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C33" sqref="C33:I34"/>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2" t="s">
        <v>672</v>
      </c>
      <c r="B6" s="1614"/>
      <c r="C6" s="1614"/>
      <c r="D6" s="1614"/>
      <c r="E6" s="1615"/>
      <c r="F6" s="988"/>
      <c r="G6" s="982"/>
      <c r="H6" s="989" t="s">
        <v>1028</v>
      </c>
      <c r="I6" s="2390" t="str">
        <f>COVER!A17</f>
        <v>Prairie Grove CSD 46</v>
      </c>
      <c r="J6" s="2391"/>
      <c r="Q6" s="1636"/>
    </row>
    <row r="7" spans="1:17" x14ac:dyDescent="0.2">
      <c r="A7" s="2392" t="s">
        <v>869</v>
      </c>
      <c r="B7" s="2393"/>
      <c r="C7" s="2393"/>
      <c r="D7" s="2393"/>
      <c r="E7" s="2394"/>
      <c r="F7" s="990"/>
      <c r="G7" s="982"/>
      <c r="H7" s="989" t="s">
        <v>372</v>
      </c>
      <c r="I7" s="2395">
        <f>COVER!A13</f>
        <v>44063046003</v>
      </c>
      <c r="J7" s="2395"/>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3" t="s">
        <v>1979</v>
      </c>
      <c r="F9" s="996"/>
      <c r="G9" s="996"/>
      <c r="H9" s="1864"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6" t="s">
        <v>481</v>
      </c>
      <c r="B11" s="2397"/>
      <c r="C11" s="2398"/>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3">
        <f>'Expenditures 15-22'!K50</f>
        <v>278619</v>
      </c>
      <c r="F12" s="1012"/>
      <c r="G12" s="1783">
        <f t="shared" ref="G12:G18" si="0">SUM(E12:F12)</f>
        <v>278619</v>
      </c>
      <c r="H12" s="1013">
        <v>289340</v>
      </c>
      <c r="I12" s="1012"/>
      <c r="J12" s="1783">
        <f t="shared" ref="J12:J18" si="1">SUM(H12:I12)</f>
        <v>289340</v>
      </c>
    </row>
    <row r="13" spans="1:17" ht="15" customHeight="1" x14ac:dyDescent="0.2">
      <c r="A13" s="1008">
        <v>2</v>
      </c>
      <c r="B13" s="1009" t="s">
        <v>42</v>
      </c>
      <c r="C13" s="1010"/>
      <c r="D13" s="1011">
        <v>2330</v>
      </c>
      <c r="E13" s="1783">
        <f>'Expenditures 15-22'!K51</f>
        <v>188181</v>
      </c>
      <c r="F13" s="1012"/>
      <c r="G13" s="1783">
        <f t="shared" si="0"/>
        <v>188181</v>
      </c>
      <c r="H13" s="1013">
        <v>190791</v>
      </c>
      <c r="I13" s="1012"/>
      <c r="J13" s="1783">
        <f t="shared" si="1"/>
        <v>190791</v>
      </c>
    </row>
    <row r="14" spans="1:17" ht="15" customHeight="1" x14ac:dyDescent="0.2">
      <c r="A14" s="1008">
        <v>3</v>
      </c>
      <c r="B14" s="1009" t="s">
        <v>43</v>
      </c>
      <c r="C14" s="1010"/>
      <c r="D14" s="1014">
        <v>2490</v>
      </c>
      <c r="E14" s="1783">
        <f>'Expenditures 15-22'!K56</f>
        <v>0</v>
      </c>
      <c r="F14" s="1012"/>
      <c r="G14" s="1783">
        <f t="shared" si="0"/>
        <v>0</v>
      </c>
      <c r="H14" s="1013"/>
      <c r="I14" s="1012"/>
      <c r="J14" s="1783">
        <f t="shared" si="1"/>
        <v>0</v>
      </c>
    </row>
    <row r="15" spans="1:17" ht="15" customHeight="1" x14ac:dyDescent="0.2">
      <c r="A15" s="1008">
        <v>4</v>
      </c>
      <c r="B15" s="1009" t="s">
        <v>1068</v>
      </c>
      <c r="C15" s="1010"/>
      <c r="D15" s="1011">
        <v>2510</v>
      </c>
      <c r="E15" s="1783">
        <f>'Expenditures 15-22'!K59</f>
        <v>122643</v>
      </c>
      <c r="F15" s="1783">
        <f>'Expenditures 15-22'!K122</f>
        <v>33024</v>
      </c>
      <c r="G15" s="1783">
        <f t="shared" si="0"/>
        <v>155667</v>
      </c>
      <c r="H15" s="1013">
        <v>125021</v>
      </c>
      <c r="I15" s="1013">
        <v>33927</v>
      </c>
      <c r="J15" s="1783">
        <f t="shared" si="1"/>
        <v>158948</v>
      </c>
    </row>
    <row r="16" spans="1:17" ht="15" customHeight="1" x14ac:dyDescent="0.2">
      <c r="A16" s="1008">
        <v>5</v>
      </c>
      <c r="B16" s="1009" t="s">
        <v>101</v>
      </c>
      <c r="C16" s="1010"/>
      <c r="D16" s="1011">
        <v>2570</v>
      </c>
      <c r="E16" s="1783">
        <f>'Expenditures 15-22'!K64</f>
        <v>0</v>
      </c>
      <c r="F16" s="1012"/>
      <c r="G16" s="1783">
        <f t="shared" si="0"/>
        <v>0</v>
      </c>
      <c r="H16" s="1013"/>
      <c r="I16" s="1012"/>
      <c r="J16" s="1783">
        <f t="shared" si="1"/>
        <v>0</v>
      </c>
    </row>
    <row r="17" spans="1:10" ht="15" customHeight="1" x14ac:dyDescent="0.2">
      <c r="A17" s="1008">
        <v>6</v>
      </c>
      <c r="B17" s="1009" t="s">
        <v>1060</v>
      </c>
      <c r="C17" s="1010"/>
      <c r="D17" s="1011">
        <v>2610</v>
      </c>
      <c r="E17" s="1783">
        <f>'Expenditures 15-22'!K67</f>
        <v>0</v>
      </c>
      <c r="F17" s="1012"/>
      <c r="G17" s="1783">
        <f t="shared" si="0"/>
        <v>0</v>
      </c>
      <c r="H17" s="1013"/>
      <c r="I17" s="1012"/>
      <c r="J17" s="1783">
        <f t="shared" si="1"/>
        <v>0</v>
      </c>
    </row>
    <row r="18" spans="1:10" ht="22.5" customHeight="1" x14ac:dyDescent="0.2">
      <c r="A18" s="1015">
        <v>7</v>
      </c>
      <c r="B18" s="2399" t="s">
        <v>7</v>
      </c>
      <c r="C18" s="2400"/>
      <c r="D18" s="2401"/>
      <c r="E18" s="1016"/>
      <c r="F18" s="1016"/>
      <c r="G18" s="1784">
        <f t="shared" si="0"/>
        <v>0</v>
      </c>
      <c r="H18" s="1013"/>
      <c r="I18" s="1013"/>
      <c r="J18" s="1783">
        <f t="shared" si="1"/>
        <v>0</v>
      </c>
    </row>
    <row r="19" spans="1:10" ht="12.75" customHeight="1" thickBot="1" x14ac:dyDescent="0.25">
      <c r="A19" s="1008">
        <v>8</v>
      </c>
      <c r="B19" s="1017" t="s">
        <v>1161</v>
      </c>
      <c r="D19" s="1018"/>
      <c r="E19" s="1785">
        <f t="shared" ref="E19:J19" si="2">SUM(E12:E17)-E18</f>
        <v>589443</v>
      </c>
      <c r="F19" s="1785">
        <f t="shared" si="2"/>
        <v>33024</v>
      </c>
      <c r="G19" s="1785">
        <f t="shared" si="2"/>
        <v>622467</v>
      </c>
      <c r="H19" s="1785">
        <f t="shared" si="2"/>
        <v>605152</v>
      </c>
      <c r="I19" s="1785">
        <f t="shared" si="2"/>
        <v>33927</v>
      </c>
      <c r="J19" s="1785">
        <f t="shared" si="2"/>
        <v>639079</v>
      </c>
    </row>
    <row r="20" spans="1:10" ht="13.5" thickTop="1" x14ac:dyDescent="0.2">
      <c r="A20" s="1008">
        <v>9</v>
      </c>
      <c r="B20" s="2402" t="s">
        <v>1981</v>
      </c>
      <c r="C20" s="2402"/>
      <c r="D20" s="2403"/>
      <c r="E20" s="1019"/>
      <c r="F20" s="1019"/>
      <c r="G20" s="1019"/>
      <c r="H20" s="1019"/>
      <c r="I20" s="1019"/>
      <c r="J20" s="1786">
        <f>IF(AND(G19&gt;0,J19&gt;0),(((J19-G19)/G19)),"Enter Budget Data")</f>
        <v>2.6687358526636753E-2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08"/>
      <c r="D26" s="2408"/>
      <c r="E26" s="1023"/>
      <c r="F26" s="2407"/>
      <c r="G26" s="2407"/>
    </row>
    <row r="27" spans="1:10" x14ac:dyDescent="0.2">
      <c r="B27" s="1020"/>
      <c r="C27" s="1024" t="s">
        <v>1033</v>
      </c>
      <c r="D27" s="1025"/>
      <c r="E27" s="1026"/>
      <c r="F27" s="2404" t="s">
        <v>1509</v>
      </c>
      <c r="G27" s="2404"/>
    </row>
    <row r="28" spans="1:10" ht="28.5" customHeight="1" x14ac:dyDescent="0.2">
      <c r="B28" s="1020"/>
      <c r="C28" s="2406"/>
      <c r="D28" s="2406"/>
      <c r="E28" s="1027"/>
      <c r="F28" s="2406"/>
      <c r="G28" s="2406"/>
    </row>
    <row r="29" spans="1:10" x14ac:dyDescent="0.2">
      <c r="B29" s="1020"/>
      <c r="C29" s="1028" t="s">
        <v>1561</v>
      </c>
      <c r="E29" s="1029"/>
      <c r="F29" s="2405" t="s">
        <v>1510</v>
      </c>
      <c r="G29" s="2405"/>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7" t="s">
        <v>132</v>
      </c>
      <c r="D33" s="2388"/>
      <c r="E33" s="2388"/>
      <c r="F33" s="2388"/>
      <c r="G33" s="2388"/>
      <c r="H33" s="2388"/>
      <c r="I33" s="2388"/>
    </row>
    <row r="34" spans="1:10" ht="10.35" customHeight="1" x14ac:dyDescent="0.2">
      <c r="C34" s="2388"/>
      <c r="D34" s="2388"/>
      <c r="E34" s="2388"/>
      <c r="F34" s="2388"/>
      <c r="G34" s="2388"/>
      <c r="H34" s="2388"/>
      <c r="I34" s="2388"/>
    </row>
    <row r="35" spans="1:10" ht="7.5" customHeight="1" x14ac:dyDescent="0.2">
      <c r="C35" s="1035"/>
    </row>
    <row r="36" spans="1:10" ht="13.5" customHeight="1" x14ac:dyDescent="0.2">
      <c r="B36" s="1034"/>
      <c r="C36" s="2389" t="s">
        <v>1983</v>
      </c>
      <c r="D36" s="2388"/>
      <c r="E36" s="2388"/>
      <c r="F36" s="2388"/>
      <c r="G36" s="2388"/>
      <c r="H36" s="2388"/>
      <c r="I36" s="2388"/>
      <c r="J36" s="1036"/>
    </row>
    <row r="37" spans="1:10" ht="22.5" customHeight="1" x14ac:dyDescent="0.2">
      <c r="C37" s="2388"/>
      <c r="D37" s="2388"/>
      <c r="E37" s="2388"/>
      <c r="F37" s="2388"/>
      <c r="G37" s="2388"/>
      <c r="H37" s="2388"/>
      <c r="I37" s="2388"/>
      <c r="J37" s="1036"/>
    </row>
    <row r="38" spans="1:10" ht="7.5" customHeight="1" x14ac:dyDescent="0.2">
      <c r="C38" s="1035"/>
      <c r="D38" s="1037"/>
      <c r="E38" s="1038"/>
      <c r="F38" s="1039"/>
      <c r="G38" s="1038"/>
    </row>
    <row r="39" spans="1:10" ht="13.5" customHeight="1" x14ac:dyDescent="0.2">
      <c r="B39" s="1034"/>
      <c r="C39" s="2385" t="s">
        <v>882</v>
      </c>
      <c r="D39" s="2386"/>
      <c r="E39" s="2386"/>
      <c r="F39" s="2386"/>
      <c r="G39" s="2386"/>
      <c r="H39" s="2386"/>
      <c r="I39" s="2386"/>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9" sqref="B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41">
        <v>1</v>
      </c>
      <c r="B5" s="2012" t="s">
        <v>2103</v>
      </c>
    </row>
    <row r="6" spans="1:2" x14ac:dyDescent="0.2">
      <c r="A6" s="1041">
        <v>2</v>
      </c>
      <c r="B6" s="2012" t="s">
        <v>2092</v>
      </c>
    </row>
    <row r="7" spans="1:2" x14ac:dyDescent="0.2">
      <c r="A7" s="1041">
        <v>3</v>
      </c>
      <c r="B7" s="2012" t="s">
        <v>2090</v>
      </c>
    </row>
    <row r="8" spans="1:2" x14ac:dyDescent="0.2">
      <c r="A8" s="1041">
        <v>4</v>
      </c>
      <c r="B8" s="2012" t="s">
        <v>2093</v>
      </c>
    </row>
    <row r="9" spans="1:2" x14ac:dyDescent="0.2">
      <c r="A9" s="1042">
        <v>5</v>
      </c>
      <c r="B9" s="2012" t="s">
        <v>2104</v>
      </c>
    </row>
    <row r="10" spans="1:2" x14ac:dyDescent="0.2">
      <c r="A10" s="1042">
        <v>6</v>
      </c>
      <c r="B10" s="2012" t="s">
        <v>2091</v>
      </c>
    </row>
    <row r="11" spans="1:2" x14ac:dyDescent="0.2">
      <c r="A11" s="1042">
        <v>7</v>
      </c>
      <c r="B11" s="2012" t="s">
        <v>2094</v>
      </c>
    </row>
    <row r="12" spans="1:2" x14ac:dyDescent="0.2">
      <c r="A12" s="1042">
        <v>8</v>
      </c>
      <c r="B12" s="2012" t="s">
        <v>2095</v>
      </c>
    </row>
    <row r="13" spans="1:2" x14ac:dyDescent="0.2">
      <c r="A13" s="1042"/>
    </row>
    <row r="14" spans="1:2" x14ac:dyDescent="0.2">
      <c r="A14" s="1042"/>
    </row>
    <row r="15" spans="1:2" x14ac:dyDescent="0.2">
      <c r="A15" s="1042"/>
    </row>
    <row r="16" spans="1:2"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Prairie Grove CSD 46</v>
      </c>
    </row>
    <row r="65" spans="2:2" x14ac:dyDescent="0.2">
      <c r="B65" s="1043">
        <f>COVER!A13</f>
        <v>44063046003</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09" t="s">
        <v>1685</v>
      </c>
      <c r="B18" s="2409"/>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0" t="s">
        <v>1690</v>
      </c>
      <c r="B1" s="2411"/>
      <c r="C1" s="2411"/>
      <c r="D1" s="2411"/>
      <c r="E1" s="2411"/>
      <c r="F1" s="2412"/>
    </row>
    <row r="2" spans="1:8" ht="45" customHeight="1" x14ac:dyDescent="0.2">
      <c r="A2" s="2420" t="s">
        <v>1987</v>
      </c>
      <c r="B2" s="2421"/>
      <c r="C2" s="2421"/>
      <c r="D2" s="2421"/>
      <c r="E2" s="2421"/>
      <c r="F2" s="2422"/>
      <c r="G2" s="1047"/>
      <c r="H2" s="1047"/>
    </row>
    <row r="3" spans="1:8" ht="57" customHeight="1" x14ac:dyDescent="0.2">
      <c r="A3" s="2423" t="s">
        <v>1686</v>
      </c>
      <c r="B3" s="2424"/>
      <c r="C3" s="2424"/>
      <c r="D3" s="2424"/>
      <c r="E3" s="2424"/>
      <c r="F3" s="2425"/>
      <c r="G3" s="1047"/>
      <c r="H3" s="1047"/>
    </row>
    <row r="4" spans="1:8" ht="14.25" customHeight="1" x14ac:dyDescent="0.2">
      <c r="A4" s="2429" t="s">
        <v>1988</v>
      </c>
      <c r="B4" s="2430"/>
      <c r="C4" s="2430"/>
      <c r="D4" s="2430"/>
      <c r="E4" s="2430"/>
      <c r="F4" s="2431"/>
      <c r="G4" s="1047"/>
      <c r="H4" s="1047"/>
    </row>
    <row r="5" spans="1:8" ht="14.25" customHeight="1" x14ac:dyDescent="0.2">
      <c r="A5" s="2432" t="s">
        <v>1984</v>
      </c>
      <c r="B5" s="2433"/>
      <c r="C5" s="2433"/>
      <c r="D5" s="2433"/>
      <c r="E5" s="2433"/>
      <c r="F5" s="2434"/>
      <c r="G5" s="1047"/>
      <c r="H5" s="1047"/>
    </row>
    <row r="6" spans="1:8" s="1048" customFormat="1" ht="41.25" customHeight="1" x14ac:dyDescent="0.2">
      <c r="A6" s="2426" t="s">
        <v>1691</v>
      </c>
      <c r="B6" s="2427"/>
      <c r="C6" s="2427"/>
      <c r="D6" s="2427"/>
      <c r="E6" s="2427"/>
      <c r="F6" s="2428"/>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7">
        <f>'Acct Summary 7-8'!C8</f>
        <v>9229099</v>
      </c>
      <c r="C8" s="1787">
        <f>'Acct Summary 7-8'!D8</f>
        <v>1311458</v>
      </c>
      <c r="D8" s="1787">
        <f>'Acct Summary 7-8'!F8</f>
        <v>813972</v>
      </c>
      <c r="E8" s="1787">
        <f>'Acct Summary 7-8'!I8</f>
        <v>63283</v>
      </c>
      <c r="F8" s="1787">
        <f>SUM(B8:E8)</f>
        <v>11417812</v>
      </c>
    </row>
    <row r="9" spans="1:8" s="1052" customFormat="1" ht="14.25" customHeight="1" thickBot="1" x14ac:dyDescent="0.25">
      <c r="A9" s="1051" t="s">
        <v>1369</v>
      </c>
      <c r="B9" s="1788">
        <f>'Acct Summary 7-8'!C17</f>
        <v>8821046</v>
      </c>
      <c r="C9" s="1788">
        <f>'Acct Summary 7-8'!D17</f>
        <v>1215468</v>
      </c>
      <c r="D9" s="1788">
        <f>'Acct Summary 7-8'!F17</f>
        <v>525340</v>
      </c>
      <c r="E9" s="1787"/>
      <c r="F9" s="1787">
        <f>SUM(B9:E9)</f>
        <v>10561854</v>
      </c>
    </row>
    <row r="10" spans="1:8" s="1052" customFormat="1" ht="14.25" thickTop="1" thickBot="1" x14ac:dyDescent="0.25">
      <c r="A10" s="1053" t="s">
        <v>1370</v>
      </c>
      <c r="B10" s="1789">
        <f>(B8-B9)</f>
        <v>408053</v>
      </c>
      <c r="C10" s="1789">
        <f>(C8-C9)</f>
        <v>95990</v>
      </c>
      <c r="D10" s="1789">
        <f>(D8-D9)</f>
        <v>288632</v>
      </c>
      <c r="E10" s="1788">
        <f>(E8-E9)</f>
        <v>63283</v>
      </c>
      <c r="F10" s="1790">
        <f>SUM(F8-F9)</f>
        <v>855958</v>
      </c>
    </row>
    <row r="11" spans="1:8" s="1052" customFormat="1" ht="14.25" thickTop="1" thickBot="1" x14ac:dyDescent="0.25">
      <c r="A11" s="1054" t="s">
        <v>1985</v>
      </c>
      <c r="B11" s="1791">
        <f>'Acct Summary 7-8'!C81</f>
        <v>7559339</v>
      </c>
      <c r="C11" s="1791">
        <f>'Acct Summary 7-8'!D81</f>
        <v>2044454</v>
      </c>
      <c r="D11" s="1791">
        <f>'Acct Summary 7-8'!F81</f>
        <v>1065976</v>
      </c>
      <c r="E11" s="1791">
        <f>'Acct Summary 7-8'!I81</f>
        <v>368384</v>
      </c>
      <c r="F11" s="1792">
        <f>SUM(B11:E11)</f>
        <v>11038153</v>
      </c>
    </row>
    <row r="12" spans="1:8" ht="16.5" customHeight="1" thickTop="1" x14ac:dyDescent="0.2">
      <c r="A12" s="1055"/>
      <c r="B12" s="1056"/>
      <c r="C12" s="2414" t="str">
        <f>IF(AND(F10&lt;0,F11&gt;=0,ABS(F10*3)&gt;ABS(F11)),A16,IF(AND(F10&lt;0,F11&gt;0,ABS(F10*3)&lt;=ABS(F11)),A17,IF(AND(F10&lt;0,F11&lt;0),A16,IF(F11=0,A19,A18))))</f>
        <v>Balanced - no deficit reduction plan is required.</v>
      </c>
      <c r="D12" s="2415"/>
      <c r="E12" s="2415"/>
      <c r="F12" s="2416"/>
    </row>
    <row r="13" spans="1:8" ht="19.5" customHeight="1" x14ac:dyDescent="0.2">
      <c r="A13" s="1057"/>
      <c r="B13" s="1058"/>
      <c r="C13" s="2414"/>
      <c r="D13" s="2415"/>
      <c r="E13" s="2415"/>
      <c r="F13" s="2416"/>
      <c r="H13" s="1047"/>
    </row>
    <row r="14" spans="1:8" ht="19.5" customHeight="1" x14ac:dyDescent="0.2">
      <c r="A14" s="1057"/>
      <c r="B14" s="1058"/>
      <c r="C14" s="2414"/>
      <c r="D14" s="2415"/>
      <c r="E14" s="2415"/>
      <c r="F14" s="2416"/>
      <c r="H14" s="1047"/>
    </row>
    <row r="15" spans="1:8" ht="17.25" customHeight="1" x14ac:dyDescent="0.2">
      <c r="A15" s="1057"/>
      <c r="B15" s="1058"/>
      <c r="C15" s="2417"/>
      <c r="D15" s="2418"/>
      <c r="E15" s="2418"/>
      <c r="F15" s="2419"/>
      <c r="H15" s="1047"/>
    </row>
    <row r="16" spans="1:8" s="310" customFormat="1" ht="51.75" hidden="1" customHeight="1" x14ac:dyDescent="0.2">
      <c r="A16" s="2413" t="s">
        <v>1687</v>
      </c>
      <c r="B16" s="2413"/>
      <c r="C16" s="2413"/>
      <c r="D16" s="2413"/>
      <c r="E16" s="2413"/>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 colorId="8" zoomScale="110" zoomScaleNormal="110" workbookViewId="0">
      <selection activeCell="D49" sqref="D49"/>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5"/>
      <c r="B2" s="1866"/>
      <c r="C2" s="1867"/>
      <c r="D2" s="1868"/>
    </row>
    <row r="3" spans="1:4" ht="36" customHeight="1" x14ac:dyDescent="0.2">
      <c r="A3" s="2435" t="s">
        <v>665</v>
      </c>
      <c r="B3" s="2436"/>
      <c r="C3" s="2436"/>
      <c r="D3" s="2437"/>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6" t="s">
        <v>1504</v>
      </c>
      <c r="D7" s="2447"/>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38" t="s">
        <v>1008</v>
      </c>
      <c r="B15" s="2439"/>
      <c r="C15" s="2439"/>
      <c r="D15" s="2440"/>
    </row>
    <row r="16" spans="1:4" s="643" customFormat="1" ht="24" customHeight="1" x14ac:dyDescent="0.2">
      <c r="A16" s="2441" t="s">
        <v>663</v>
      </c>
      <c r="B16" s="2442"/>
      <c r="C16" s="2442"/>
      <c r="D16" s="2443"/>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0" t="s">
        <v>314</v>
      </c>
      <c r="D21" s="2451"/>
    </row>
    <row r="22" spans="1:10" ht="12.75" x14ac:dyDescent="0.2">
      <c r="A22" s="1112"/>
      <c r="B22" s="1113">
        <v>2</v>
      </c>
      <c r="C22" s="2448" t="s">
        <v>1524</v>
      </c>
      <c r="D22" s="2449"/>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2" t="s">
        <v>536</v>
      </c>
      <c r="D43" s="2453"/>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4" t="s">
        <v>784</v>
      </c>
      <c r="D56" s="2445"/>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4" t="s">
        <v>1696</v>
      </c>
      <c r="D70" s="2445"/>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44063046003</v>
      </c>
    </row>
    <row r="3" spans="1:2" x14ac:dyDescent="0.2">
      <c r="A3" t="s">
        <v>956</v>
      </c>
      <c r="B3" s="138" t="str">
        <f>COVER!A15</f>
        <v>MCHENRY</v>
      </c>
    </row>
    <row r="4" spans="1:2" x14ac:dyDescent="0.2">
      <c r="A4" t="s">
        <v>1007</v>
      </c>
      <c r="B4" s="138" t="str">
        <f>COVER!A17</f>
        <v>Prairie Grove CSD 46</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Yes</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4691395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10717</v>
      </c>
      <c r="D76" s="2" t="str">
        <f t="shared" si="0"/>
        <v>Error?</v>
      </c>
    </row>
    <row r="77" spans="1:4" x14ac:dyDescent="0.2">
      <c r="A77" s="5">
        <v>16</v>
      </c>
      <c r="B77" s="138">
        <f>'Assets-Liab 5-6'!C13</f>
        <v>7559627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288</v>
      </c>
      <c r="C91" s="2" t="s">
        <v>573</v>
      </c>
      <c r="D91" s="2" t="str">
        <f t="shared" si="0"/>
        <v>Error?</v>
      </c>
    </row>
    <row r="92" spans="1:4" x14ac:dyDescent="0.2">
      <c r="A92" s="5">
        <v>31</v>
      </c>
      <c r="B92" s="138">
        <f>'Assets-Liab 5-6'!C39</f>
        <v>7559339</v>
      </c>
      <c r="D92" s="2" t="str">
        <f t="shared" si="0"/>
        <v>Error?</v>
      </c>
    </row>
    <row r="93" spans="1:4" x14ac:dyDescent="0.2">
      <c r="A93" s="5">
        <v>32</v>
      </c>
      <c r="B93" s="138">
        <f>'Assets-Liab 5-6'!C41</f>
        <v>7559627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1247079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2044454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2044454</v>
      </c>
      <c r="D123" s="2" t="str">
        <f t="shared" si="0"/>
        <v>Error?</v>
      </c>
    </row>
    <row r="124" spans="1:4" x14ac:dyDescent="0.2">
      <c r="A124" s="5">
        <v>63</v>
      </c>
      <c r="B124" s="138">
        <f>'Assets-Liab 5-6'!D41</f>
        <v>2044454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2182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2182</v>
      </c>
      <c r="D140" s="2" t="str">
        <f t="shared" si="1"/>
        <v>Error?</v>
      </c>
    </row>
    <row r="141" spans="1:4" x14ac:dyDescent="0.2">
      <c r="A141" s="5">
        <v>80</v>
      </c>
      <c r="B141" s="138">
        <f>'Assets-Liab 5-6'!E41</f>
        <v>2182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1065976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1065976</v>
      </c>
      <c r="D170" s="2" t="str">
        <f t="shared" si="1"/>
        <v>Error?</v>
      </c>
    </row>
    <row r="171" spans="1:4" x14ac:dyDescent="0.2">
      <c r="A171" s="5">
        <v>110</v>
      </c>
      <c r="B171" s="138">
        <f>'Assets-Liab 5-6'!F41</f>
        <v>1065976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274008</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110666</v>
      </c>
      <c r="D189" s="2" t="str">
        <f t="shared" si="1"/>
        <v>Error?</v>
      </c>
    </row>
    <row r="190" spans="1:4" x14ac:dyDescent="0.2">
      <c r="A190" s="5">
        <v>129</v>
      </c>
      <c r="B190" s="138">
        <f>'Assets-Liab 5-6'!G41</f>
        <v>274008</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105154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105154</v>
      </c>
      <c r="D212" s="2" t="str">
        <f t="shared" si="2"/>
        <v>Error?</v>
      </c>
    </row>
    <row r="213" spans="1:4" x14ac:dyDescent="0.2">
      <c r="A213" s="12">
        <v>152</v>
      </c>
      <c r="B213" s="138">
        <f>'Assets-Liab 5-6'!H41</f>
        <v>105154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3873232</v>
      </c>
      <c r="D273" s="2" t="str">
        <f t="shared" si="3"/>
        <v>Error?</v>
      </c>
    </row>
    <row r="274" spans="1:4" x14ac:dyDescent="0.2">
      <c r="A274" s="5">
        <v>213</v>
      </c>
      <c r="B274" s="138">
        <f>'Assets-Liab 5-6'!M17</f>
        <v>11383827</v>
      </c>
      <c r="D274" s="2" t="str">
        <f t="shared" si="3"/>
        <v>Error?</v>
      </c>
    </row>
    <row r="275" spans="1:4" x14ac:dyDescent="0.2">
      <c r="A275" s="5">
        <v>214</v>
      </c>
      <c r="B275" s="138">
        <f>'Assets-Liab 5-6'!M18</f>
        <v>749493</v>
      </c>
      <c r="D275" s="2" t="str">
        <f t="shared" si="3"/>
        <v>Error?</v>
      </c>
    </row>
    <row r="276" spans="1:4" x14ac:dyDescent="0.2">
      <c r="A276" s="5">
        <v>215</v>
      </c>
      <c r="B276" s="138">
        <f>'Assets-Liab 5-6'!M19</f>
        <v>1073109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17608721</v>
      </c>
      <c r="C279" s="2" t="s">
        <v>573</v>
      </c>
      <c r="D279" s="2" t="str">
        <f t="shared" si="3"/>
        <v>Error?</v>
      </c>
    </row>
    <row r="280" spans="1:4" x14ac:dyDescent="0.2">
      <c r="A280" s="5">
        <v>219</v>
      </c>
      <c r="B280" s="138">
        <f>'Assets-Liab 5-6'!M40</f>
        <v>17608721</v>
      </c>
      <c r="D280" s="2" t="str">
        <f t="shared" si="3"/>
        <v>Error?</v>
      </c>
    </row>
    <row r="281" spans="1:4" x14ac:dyDescent="0.2">
      <c r="A281" s="5">
        <v>220</v>
      </c>
      <c r="B281" s="138">
        <f>'Assets-Liab 5-6'!M41</f>
        <v>17608721</v>
      </c>
      <c r="C281" s="2" t="s">
        <v>573</v>
      </c>
      <c r="D281" s="2" t="str">
        <f t="shared" si="3"/>
        <v>Error?</v>
      </c>
    </row>
    <row r="282" spans="1:4" x14ac:dyDescent="0.2">
      <c r="A282" s="5">
        <v>221</v>
      </c>
      <c r="B282" s="138">
        <f>'Assets-Liab 5-6'!N21</f>
        <v>2182</v>
      </c>
      <c r="D282" s="2" t="str">
        <f t="shared" si="3"/>
        <v>Error?</v>
      </c>
    </row>
    <row r="283" spans="1:4" x14ac:dyDescent="0.2">
      <c r="A283" s="5">
        <v>222</v>
      </c>
      <c r="B283" s="138">
        <f>'Assets-Liab 5-6'!N22</f>
        <v>2327818</v>
      </c>
      <c r="D283" s="2" t="str">
        <f t="shared" si="3"/>
        <v>Error?</v>
      </c>
    </row>
    <row r="284" spans="1:4" x14ac:dyDescent="0.2">
      <c r="A284" s="5">
        <v>223</v>
      </c>
      <c r="B284" s="138">
        <f>'Assets-Liab 5-6'!N23</f>
        <v>2330000</v>
      </c>
      <c r="C284" s="2" t="s">
        <v>573</v>
      </c>
      <c r="D284" s="2" t="str">
        <f t="shared" si="3"/>
        <v>Error?</v>
      </c>
    </row>
    <row r="285" spans="1:4" x14ac:dyDescent="0.2">
      <c r="A285" s="5">
        <v>224</v>
      </c>
      <c r="B285" s="138">
        <f>'Assets-Liab 5-6'!N36</f>
        <v>2330000</v>
      </c>
      <c r="D285" s="2" t="str">
        <f t="shared" si="3"/>
        <v>Error?</v>
      </c>
    </row>
    <row r="286" spans="1:4" x14ac:dyDescent="0.2">
      <c r="A286" s="10">
        <v>225</v>
      </c>
      <c r="D286" s="2" t="str">
        <f t="shared" si="3"/>
        <v>OK</v>
      </c>
    </row>
    <row r="287" spans="1:4" x14ac:dyDescent="0.2">
      <c r="A287" s="5">
        <v>226</v>
      </c>
      <c r="B287" s="138">
        <f>'Assets-Liab 5-6'!N37</f>
        <v>2330000</v>
      </c>
      <c r="C287" s="2" t="s">
        <v>573</v>
      </c>
      <c r="D287" s="2" t="str">
        <f t="shared" si="3"/>
        <v>Error?</v>
      </c>
    </row>
    <row r="288" spans="1:4" x14ac:dyDescent="0.2">
      <c r="A288" s="5">
        <v>227</v>
      </c>
      <c r="B288" s="138">
        <f>'Assets-Liab 5-6'!N41</f>
        <v>2330000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2724366</v>
      </c>
      <c r="D705" s="2" t="str">
        <f t="shared" si="10"/>
        <v>Error?</v>
      </c>
    </row>
    <row r="706" spans="1:4" x14ac:dyDescent="0.2">
      <c r="A706" s="5">
        <v>645</v>
      </c>
      <c r="B706" s="138">
        <f>'Expenditures 15-22'!C16</f>
        <v>111167</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60761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1074</v>
      </c>
      <c r="D718" s="2" t="str">
        <f t="shared" si="10"/>
        <v>Error?</v>
      </c>
    </row>
    <row r="719" spans="1:4" x14ac:dyDescent="0.2">
      <c r="A719" s="5">
        <v>658</v>
      </c>
      <c r="B719" s="138">
        <f>'Expenditures 15-22'!C15</f>
        <v>20664</v>
      </c>
      <c r="D719" s="2" t="str">
        <f t="shared" si="10"/>
        <v>Error?</v>
      </c>
    </row>
    <row r="720" spans="1:4" x14ac:dyDescent="0.2">
      <c r="A720" s="5">
        <v>659</v>
      </c>
      <c r="B720" s="138">
        <f>'Expenditures 15-22'!C33</f>
        <v>4262385</v>
      </c>
      <c r="C720" s="2" t="s">
        <v>573</v>
      </c>
      <c r="D720" s="2" t="str">
        <f t="shared" si="10"/>
        <v>Error?</v>
      </c>
    </row>
    <row r="721" spans="1:4" x14ac:dyDescent="0.2">
      <c r="A721" s="5">
        <v>660</v>
      </c>
      <c r="B721" s="138">
        <f>'Expenditures 15-22'!C36</f>
        <v>97416</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66785</v>
      </c>
      <c r="D723" s="2" t="str">
        <f t="shared" si="10"/>
        <v>Error?</v>
      </c>
    </row>
    <row r="724" spans="1:4" x14ac:dyDescent="0.2">
      <c r="A724" s="5">
        <v>663</v>
      </c>
      <c r="B724" s="138">
        <f>'Expenditures 15-22'!C39</f>
        <v>57505</v>
      </c>
      <c r="D724" s="2" t="str">
        <f t="shared" si="10"/>
        <v>Error?</v>
      </c>
    </row>
    <row r="725" spans="1:4" x14ac:dyDescent="0.2">
      <c r="A725" s="5">
        <v>664</v>
      </c>
      <c r="B725" s="138">
        <f>'Expenditures 15-22'!C40</f>
        <v>127953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349659</v>
      </c>
      <c r="C727" s="2" t="s">
        <v>573</v>
      </c>
      <c r="D727" s="2" t="str">
        <f t="shared" si="10"/>
        <v>Error?</v>
      </c>
    </row>
    <row r="728" spans="1:4" x14ac:dyDescent="0.2">
      <c r="A728" s="5">
        <v>667</v>
      </c>
      <c r="B728" s="138">
        <f>'Expenditures 15-22'!C44</f>
        <v>2329</v>
      </c>
      <c r="D728" s="2" t="str">
        <f t="shared" si="10"/>
        <v>Error?</v>
      </c>
    </row>
    <row r="729" spans="1:4" x14ac:dyDescent="0.2">
      <c r="A729" s="5">
        <v>668</v>
      </c>
      <c r="B729" s="138">
        <f>'Expenditures 15-22'!C45</f>
        <v>95934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98263</v>
      </c>
      <c r="C731" s="2" t="s">
        <v>573</v>
      </c>
      <c r="D731" s="2" t="str">
        <f t="shared" si="10"/>
        <v>Error?</v>
      </c>
    </row>
    <row r="732" spans="1:4" x14ac:dyDescent="0.2">
      <c r="A732" s="5">
        <v>671</v>
      </c>
      <c r="B732" s="138">
        <f>'Expenditures 15-22'!C49</f>
        <v>12942</v>
      </c>
      <c r="D732" s="2" t="str">
        <f t="shared" si="10"/>
        <v>Error?</v>
      </c>
    </row>
    <row r="733" spans="1:4" x14ac:dyDescent="0.2">
      <c r="A733" s="5">
        <v>672</v>
      </c>
      <c r="B733" s="138">
        <f>'Expenditures 15-22'!C50</f>
        <v>204716</v>
      </c>
      <c r="D733" s="2" t="str">
        <f t="shared" si="10"/>
        <v>Error?</v>
      </c>
    </row>
    <row r="734" spans="1:4" x14ac:dyDescent="0.2">
      <c r="A734" s="5">
        <v>673</v>
      </c>
      <c r="B734" s="138">
        <f>'Expenditures 15-22'!C53</f>
        <v>342877</v>
      </c>
      <c r="C734" s="2" t="s">
        <v>573</v>
      </c>
      <c r="D734" s="2" t="str">
        <f t="shared" si="10"/>
        <v>Error?</v>
      </c>
    </row>
    <row r="735" spans="1:4" x14ac:dyDescent="0.2">
      <c r="A735" s="5">
        <v>674</v>
      </c>
      <c r="B735" s="138">
        <f>'Expenditures 15-22'!C55</f>
        <v>266511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266511</v>
      </c>
      <c r="C737" s="2" t="s">
        <v>573</v>
      </c>
      <c r="D737" s="2" t="str">
        <f t="shared" si="10"/>
        <v>Error?</v>
      </c>
    </row>
    <row r="738" spans="1:4" x14ac:dyDescent="0.2">
      <c r="A738" s="5">
        <v>677</v>
      </c>
      <c r="B738" s="138">
        <f>'Expenditures 15-22'!C59</f>
        <v>90594</v>
      </c>
      <c r="D738" s="2" t="str">
        <f t="shared" si="10"/>
        <v>Error?</v>
      </c>
    </row>
    <row r="739" spans="1:4" x14ac:dyDescent="0.2">
      <c r="A739" s="5">
        <v>678</v>
      </c>
      <c r="B739" s="138">
        <f>'Expenditures 15-22'!C60</f>
        <v>105100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27697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223391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88353</v>
      </c>
      <c r="D751" s="2" t="str">
        <f t="shared" si="10"/>
        <v>Error?</v>
      </c>
    </row>
    <row r="752" spans="1:4" x14ac:dyDescent="0.2">
      <c r="A752" s="10">
        <v>691</v>
      </c>
      <c r="D752" s="2" t="str">
        <f t="shared" si="10"/>
        <v>OK</v>
      </c>
    </row>
    <row r="753" spans="1:4" x14ac:dyDescent="0.2">
      <c r="A753" s="5">
        <v>692</v>
      </c>
      <c r="B753" s="138">
        <f>'Expenditures 15-22'!C72</f>
        <v>88353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1369054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5631439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949210</v>
      </c>
      <c r="D763" s="2" t="str">
        <f t="shared" si="10"/>
        <v>Error?</v>
      </c>
    </row>
    <row r="764" spans="1:4" x14ac:dyDescent="0.2">
      <c r="A764" s="5">
        <v>703</v>
      </c>
      <c r="B764" s="138">
        <f>'Expenditures 15-22'!D16</f>
        <v>40189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19104</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3375</v>
      </c>
      <c r="D777" s="2" t="str">
        <f t="shared" si="11"/>
        <v>Error?</v>
      </c>
    </row>
    <row r="778" spans="1:4" x14ac:dyDescent="0.2">
      <c r="A778" s="5">
        <v>717</v>
      </c>
      <c r="B778" s="138">
        <f>'Expenditures 15-22'!D33</f>
        <v>1505407</v>
      </c>
      <c r="C778" s="2" t="s">
        <v>573</v>
      </c>
      <c r="D778" s="2" t="str">
        <f t="shared" si="11"/>
        <v>Error?</v>
      </c>
    </row>
    <row r="779" spans="1:4" x14ac:dyDescent="0.2">
      <c r="A779" s="5">
        <v>718</v>
      </c>
      <c r="B779" s="138">
        <f>'Expenditures 15-22'!D36</f>
        <v>35961</v>
      </c>
      <c r="D779" s="2" t="str">
        <f t="shared" si="11"/>
        <v>Error?</v>
      </c>
    </row>
    <row r="780" spans="1:4" x14ac:dyDescent="0.2">
      <c r="A780" s="5">
        <v>719</v>
      </c>
      <c r="B780" s="138">
        <f>'Expenditures 15-22'!D37</f>
        <v>0</v>
      </c>
      <c r="D780" s="2" t="str">
        <f t="shared" si="11"/>
        <v>Error?</v>
      </c>
    </row>
    <row r="781" spans="1:4" x14ac:dyDescent="0.2">
      <c r="A781" s="5">
        <v>720</v>
      </c>
      <c r="B781" s="138">
        <f>'Expenditures 15-22'!D38</f>
        <v>720</v>
      </c>
      <c r="D781" s="2" t="str">
        <f t="shared" si="11"/>
        <v>OK</v>
      </c>
    </row>
    <row r="782" spans="1:4" x14ac:dyDescent="0.2">
      <c r="A782" s="5">
        <v>721</v>
      </c>
      <c r="B782" s="138">
        <f>'Expenditures 15-22'!D39</f>
        <v>26561</v>
      </c>
      <c r="D782" s="2" t="str">
        <f t="shared" si="11"/>
        <v>Error?</v>
      </c>
    </row>
    <row r="783" spans="1:4" x14ac:dyDescent="0.2">
      <c r="A783" s="5">
        <v>722</v>
      </c>
      <c r="B783" s="138">
        <f>'Expenditures 15-22'!D40</f>
        <v>33461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96703</v>
      </c>
      <c r="C785" s="2" t="s">
        <v>573</v>
      </c>
      <c r="D785" s="2" t="str">
        <f t="shared" si="11"/>
        <v>Error?</v>
      </c>
    </row>
    <row r="786" spans="1:4" x14ac:dyDescent="0.2">
      <c r="A786" s="5">
        <v>725</v>
      </c>
      <c r="B786" s="138">
        <f>'Expenditures 15-22'!D44</f>
        <v>281</v>
      </c>
      <c r="D786" s="2" t="str">
        <f t="shared" si="11"/>
        <v>Error?</v>
      </c>
    </row>
    <row r="787" spans="1:4" x14ac:dyDescent="0.2">
      <c r="A787" s="5">
        <v>726</v>
      </c>
      <c r="B787" s="138">
        <f>'Expenditures 15-22'!D45</f>
        <v>26252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26533</v>
      </c>
      <c r="C789" s="2" t="s">
        <v>573</v>
      </c>
      <c r="D789" s="2" t="str">
        <f t="shared" si="11"/>
        <v>Error?</v>
      </c>
    </row>
    <row r="790" spans="1:4" x14ac:dyDescent="0.2">
      <c r="A790" s="5">
        <v>729</v>
      </c>
      <c r="B790" s="138">
        <f>'Expenditures 15-22'!D49</f>
        <v>-24388</v>
      </c>
      <c r="D790" s="2" t="str">
        <f t="shared" si="11"/>
        <v>Error?</v>
      </c>
    </row>
    <row r="791" spans="1:4" x14ac:dyDescent="0.2">
      <c r="A791" s="5">
        <v>730</v>
      </c>
      <c r="B791" s="138">
        <f>'Expenditures 15-22'!D50</f>
        <v>69291</v>
      </c>
      <c r="D791" s="2" t="str">
        <f t="shared" si="11"/>
        <v>Error?</v>
      </c>
    </row>
    <row r="792" spans="1:4" x14ac:dyDescent="0.2">
      <c r="A792" s="5">
        <v>731</v>
      </c>
      <c r="B792" s="138">
        <f>'Expenditures 15-22'!D53</f>
        <v>106366</v>
      </c>
      <c r="C792" s="2" t="s">
        <v>573</v>
      </c>
      <c r="D792" s="2" t="str">
        <f t="shared" si="11"/>
        <v>Error?</v>
      </c>
    </row>
    <row r="793" spans="1:4" x14ac:dyDescent="0.2">
      <c r="A793" s="5">
        <v>732</v>
      </c>
      <c r="B793" s="138">
        <f>'Expenditures 15-22'!D55</f>
        <v>123485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123485</v>
      </c>
      <c r="C795" s="2" t="s">
        <v>573</v>
      </c>
      <c r="D795" s="2" t="str">
        <f t="shared" si="11"/>
        <v>Error?</v>
      </c>
    </row>
    <row r="796" spans="1:4" x14ac:dyDescent="0.2">
      <c r="A796" s="5">
        <v>735</v>
      </c>
      <c r="B796" s="138">
        <f>'Expenditures 15-22'!D59</f>
        <v>29853</v>
      </c>
      <c r="D796" s="2" t="str">
        <f t="shared" si="11"/>
        <v>Error?</v>
      </c>
    </row>
    <row r="797" spans="1:4" x14ac:dyDescent="0.2">
      <c r="A797" s="5">
        <v>736</v>
      </c>
      <c r="B797" s="138">
        <f>'Expenditures 15-22'!D60</f>
        <v>36787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66640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35499</v>
      </c>
      <c r="D809" s="2" t="str">
        <f t="shared" si="11"/>
        <v>Error?</v>
      </c>
    </row>
    <row r="810" spans="1:4" x14ac:dyDescent="0.2">
      <c r="A810" s="10">
        <v>749</v>
      </c>
      <c r="D810" s="2" t="str">
        <f t="shared" si="11"/>
        <v>OK</v>
      </c>
    </row>
    <row r="811" spans="1:4" x14ac:dyDescent="0.2">
      <c r="A811" s="5">
        <v>750</v>
      </c>
      <c r="B811" s="138">
        <f>'Expenditures 15-22'!D72</f>
        <v>35499</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455226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1960633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32579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7888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190447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93241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57442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150683</v>
      </c>
      <c r="C843" s="2" t="s">
        <v>573</v>
      </c>
      <c r="D843" s="2" t="str">
        <f t="shared" si="12"/>
        <v>Error?</v>
      </c>
    </row>
    <row r="844" spans="1:4" x14ac:dyDescent="0.2">
      <c r="A844" s="5">
        <v>783</v>
      </c>
      <c r="B844" s="138">
        <f>'Expenditures 15-22'!E44</f>
        <v>79083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16036</v>
      </c>
      <c r="D846" s="2" t="str">
        <f t="shared" si="12"/>
        <v>Error?</v>
      </c>
    </row>
    <row r="847" spans="1:4" x14ac:dyDescent="0.2">
      <c r="A847" s="5">
        <v>786</v>
      </c>
      <c r="B847" s="138">
        <f>'Expenditures 15-22'!E47</f>
        <v>95119</v>
      </c>
      <c r="C847" s="2" t="s">
        <v>573</v>
      </c>
      <c r="D847" s="2" t="str">
        <f t="shared" si="12"/>
        <v>Error?</v>
      </c>
    </row>
    <row r="848" spans="1:4" x14ac:dyDescent="0.2">
      <c r="A848" s="5">
        <v>787</v>
      </c>
      <c r="B848" s="138">
        <f>'Expenditures 15-22'!E49</f>
        <v>75864</v>
      </c>
      <c r="D848" s="2" t="str">
        <f t="shared" si="12"/>
        <v>Error?</v>
      </c>
    </row>
    <row r="849" spans="1:4" x14ac:dyDescent="0.2">
      <c r="A849" s="5">
        <v>788</v>
      </c>
      <c r="B849" s="138">
        <f>'Expenditures 15-22'!E50</f>
        <v>1153</v>
      </c>
      <c r="D849" s="2" t="str">
        <f t="shared" si="12"/>
        <v>Error?</v>
      </c>
    </row>
    <row r="850" spans="1:4" x14ac:dyDescent="0.2">
      <c r="A850" s="5">
        <v>789</v>
      </c>
      <c r="B850" s="138">
        <f>'Expenditures 15-22'!E53</f>
        <v>78108</v>
      </c>
      <c r="C850" s="2" t="s">
        <v>573</v>
      </c>
      <c r="D850" s="2" t="str">
        <f t="shared" si="12"/>
        <v>Error?</v>
      </c>
    </row>
    <row r="851" spans="1:4" x14ac:dyDescent="0.2">
      <c r="A851" s="5">
        <v>790</v>
      </c>
      <c r="B851" s="138">
        <f>'Expenditures 15-22'!E55</f>
        <v>151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151</v>
      </c>
      <c r="C853" s="2" t="s">
        <v>573</v>
      </c>
      <c r="D853" s="2" t="str">
        <f t="shared" si="12"/>
        <v>Error?</v>
      </c>
    </row>
    <row r="854" spans="1:4" x14ac:dyDescent="0.2">
      <c r="A854" s="5">
        <v>793</v>
      </c>
      <c r="B854" s="138">
        <f>'Expenditures 15-22'!E59</f>
        <v>1114</v>
      </c>
      <c r="D854" s="2" t="str">
        <f t="shared" si="12"/>
        <v>Error?</v>
      </c>
    </row>
    <row r="855" spans="1:4" x14ac:dyDescent="0.2">
      <c r="A855" s="5">
        <v>794</v>
      </c>
      <c r="B855" s="138">
        <f>'Expenditures 15-22'!E60</f>
        <v>3407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103380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107901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68445</v>
      </c>
      <c r="D867" s="2" t="str">
        <f t="shared" si="12"/>
        <v>Error?</v>
      </c>
    </row>
    <row r="868" spans="1:4" x14ac:dyDescent="0.2">
      <c r="A868" s="10">
        <v>807</v>
      </c>
      <c r="D868" s="2" t="str">
        <f t="shared" si="12"/>
        <v>OK</v>
      </c>
    </row>
    <row r="869" spans="1:4" x14ac:dyDescent="0.2">
      <c r="A869" s="5">
        <v>808</v>
      </c>
      <c r="B869" s="138">
        <f>'Expenditures 15-22'!E72</f>
        <v>68445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500407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690854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153369</v>
      </c>
      <c r="D879" s="2" t="str">
        <f t="shared" si="12"/>
        <v>Error?</v>
      </c>
    </row>
    <row r="880" spans="1:4" x14ac:dyDescent="0.2">
      <c r="A880" s="5">
        <v>819</v>
      </c>
      <c r="B880" s="138">
        <f>'Expenditures 15-22'!F16</f>
        <v>698</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637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10793</v>
      </c>
      <c r="D892" s="2" t="str">
        <f t="shared" si="12"/>
        <v>Error?</v>
      </c>
    </row>
    <row r="893" spans="1:4" x14ac:dyDescent="0.2">
      <c r="A893" s="5">
        <v>832</v>
      </c>
      <c r="B893" s="138">
        <f>'Expenditures 15-22'!F15</f>
        <v>80</v>
      </c>
      <c r="D893" s="2" t="str">
        <f t="shared" si="12"/>
        <v>Error?</v>
      </c>
    </row>
    <row r="894" spans="1:4" x14ac:dyDescent="0.2">
      <c r="A894" s="5">
        <v>833</v>
      </c>
      <c r="B894" s="138">
        <f>'Expenditures 15-22'!F33</f>
        <v>191726</v>
      </c>
      <c r="C894" s="2" t="s">
        <v>573</v>
      </c>
      <c r="D894" s="2" t="str">
        <f t="shared" si="12"/>
        <v>Error?</v>
      </c>
    </row>
    <row r="895" spans="1:4" x14ac:dyDescent="0.2">
      <c r="A895" s="5">
        <v>834</v>
      </c>
      <c r="B895" s="138">
        <f>'Expenditures 15-22'!F36</f>
        <v>427</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1765</v>
      </c>
      <c r="D897" s="2" t="str">
        <f t="shared" si="13"/>
        <v>Error?</v>
      </c>
    </row>
    <row r="898" spans="1:4" x14ac:dyDescent="0.2">
      <c r="A898" s="5">
        <v>837</v>
      </c>
      <c r="B898" s="138">
        <f>'Expenditures 15-22'!F39</f>
        <v>3851</v>
      </c>
      <c r="D898" s="2" t="str">
        <f t="shared" si="13"/>
        <v>Error?</v>
      </c>
    </row>
    <row r="899" spans="1:4" x14ac:dyDescent="0.2">
      <c r="A899" s="5">
        <v>838</v>
      </c>
      <c r="B899" s="138">
        <f>'Expenditures 15-22'!F40</f>
        <v>1478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7521</v>
      </c>
      <c r="C901" s="2" t="s">
        <v>573</v>
      </c>
      <c r="D901" s="2" t="str">
        <f t="shared" si="13"/>
        <v>Error?</v>
      </c>
    </row>
    <row r="902" spans="1:4" x14ac:dyDescent="0.2">
      <c r="A902" s="5">
        <v>841</v>
      </c>
      <c r="B902" s="138">
        <f>'Expenditures 15-22'!F44</f>
        <v>1287</v>
      </c>
      <c r="D902" s="2" t="str">
        <f t="shared" si="13"/>
        <v>Error?</v>
      </c>
    </row>
    <row r="903" spans="1:4" x14ac:dyDescent="0.2">
      <c r="A903" s="5">
        <v>842</v>
      </c>
      <c r="B903" s="138">
        <f>'Expenditures 15-22'!F45</f>
        <v>14296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15583</v>
      </c>
      <c r="C905" s="2" t="s">
        <v>573</v>
      </c>
      <c r="D905" s="2" t="str">
        <f t="shared" si="13"/>
        <v>Error?</v>
      </c>
    </row>
    <row r="906" spans="1:4" x14ac:dyDescent="0.2">
      <c r="A906" s="5">
        <v>845</v>
      </c>
      <c r="B906" s="138">
        <f>'Expenditures 15-22'!F49</f>
        <v>8044</v>
      </c>
      <c r="D906" s="2" t="str">
        <f t="shared" si="13"/>
        <v>Error?</v>
      </c>
    </row>
    <row r="907" spans="1:4" x14ac:dyDescent="0.2">
      <c r="A907" s="5">
        <v>846</v>
      </c>
      <c r="B907" s="138">
        <f>'Expenditures 15-22'!F50</f>
        <v>1385</v>
      </c>
      <c r="D907" s="2" t="str">
        <f t="shared" si="13"/>
        <v>Error?</v>
      </c>
    </row>
    <row r="908" spans="1:4" x14ac:dyDescent="0.2">
      <c r="A908" s="5">
        <v>847</v>
      </c>
      <c r="B908" s="138">
        <f>'Expenditures 15-22'!F53</f>
        <v>9657</v>
      </c>
      <c r="C908" s="2" t="s">
        <v>573</v>
      </c>
      <c r="D908" s="2" t="str">
        <f t="shared" si="13"/>
        <v>Error?</v>
      </c>
    </row>
    <row r="909" spans="1:4" x14ac:dyDescent="0.2">
      <c r="A909" s="5">
        <v>848</v>
      </c>
      <c r="B909" s="138">
        <f>'Expenditures 15-22'!F55</f>
        <v>3952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3952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852</v>
      </c>
      <c r="D913" s="2" t="str">
        <f t="shared" si="13"/>
        <v>OK</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852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30244</v>
      </c>
      <c r="D925" s="2" t="str">
        <f t="shared" si="13"/>
        <v>Error?</v>
      </c>
    </row>
    <row r="926" spans="1:4" x14ac:dyDescent="0.2">
      <c r="A926" s="10">
        <v>865</v>
      </c>
      <c r="D926" s="2" t="str">
        <f t="shared" si="13"/>
        <v>OK</v>
      </c>
    </row>
    <row r="927" spans="1:4" x14ac:dyDescent="0.2">
      <c r="A927" s="5">
        <v>866</v>
      </c>
      <c r="B927" s="138">
        <f>'Expenditures 15-22'!F72</f>
        <v>30244</v>
      </c>
      <c r="C927" s="2" t="s">
        <v>573</v>
      </c>
      <c r="D927" s="2" t="str">
        <f t="shared" si="13"/>
        <v>Error?</v>
      </c>
    </row>
    <row r="928" spans="1:4" x14ac:dyDescent="0.2">
      <c r="A928" s="5">
        <v>867</v>
      </c>
      <c r="B928" s="138">
        <f>'Expenditures 15-22'!F73</f>
        <v>244</v>
      </c>
      <c r="D928" s="2" t="str">
        <f t="shared" si="13"/>
        <v>Error?</v>
      </c>
    </row>
    <row r="929" spans="1:4" x14ac:dyDescent="0.2">
      <c r="A929" s="5">
        <v>868</v>
      </c>
      <c r="B929" s="138">
        <f>'Expenditures 15-22'!F74</f>
        <v>68053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259779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46440</v>
      </c>
      <c r="D983" s="2" t="str">
        <f t="shared" si="14"/>
        <v>Error?</v>
      </c>
    </row>
    <row r="984" spans="1:4" x14ac:dyDescent="0.2">
      <c r="A984" s="10">
        <v>923</v>
      </c>
      <c r="D984" s="2" t="str">
        <f t="shared" si="14"/>
        <v>OK</v>
      </c>
    </row>
    <row r="985" spans="1:4" x14ac:dyDescent="0.2">
      <c r="A985" s="5">
        <v>924</v>
      </c>
      <c r="B985" s="138">
        <f>'Expenditures 15-22'!G72</f>
        <v>46440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46440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46440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734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734</v>
      </c>
      <c r="C1021" s="2" t="s">
        <v>573</v>
      </c>
      <c r="D1021" s="2" t="str">
        <f t="shared" si="14"/>
        <v>Error?</v>
      </c>
    </row>
    <row r="1022" spans="1:4" x14ac:dyDescent="0.2">
      <c r="A1022" s="5">
        <v>961</v>
      </c>
      <c r="B1022" s="138">
        <f>'Expenditures 15-22'!H49</f>
        <v>5213</v>
      </c>
      <c r="D1022" s="2" t="str">
        <f t="shared" si="14"/>
        <v>Error?</v>
      </c>
    </row>
    <row r="1023" spans="1:4" x14ac:dyDescent="0.2">
      <c r="A1023" s="5">
        <v>962</v>
      </c>
      <c r="B1023" s="138">
        <f>'Expenditures 15-22'!H50</f>
        <v>2074</v>
      </c>
      <c r="D1023" s="2" t="str">
        <f t="shared" ref="D1023:D1086" si="15">IF(ISBLANK(B1023),"OK",IF(A1023-B1023=0,"OK","Error?"))</f>
        <v>Error?</v>
      </c>
    </row>
    <row r="1024" spans="1:4" x14ac:dyDescent="0.2">
      <c r="A1024" s="5">
        <v>963</v>
      </c>
      <c r="B1024" s="138">
        <f>'Expenditures 15-22'!H53</f>
        <v>7467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1082</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1082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9283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217230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226513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3862714</v>
      </c>
      <c r="C1093" s="2" t="s">
        <v>573</v>
      </c>
      <c r="D1093" s="2" t="str">
        <f t="shared" si="16"/>
        <v>Error?</v>
      </c>
    </row>
    <row r="1094" spans="1:4" x14ac:dyDescent="0.2">
      <c r="A1094" s="5">
        <v>1033</v>
      </c>
      <c r="B1094" s="138">
        <f>'Expenditures 15-22'!K16</f>
        <v>152054</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80600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19755</v>
      </c>
      <c r="C1106" s="2" t="s">
        <v>573</v>
      </c>
      <c r="D1106" s="2" t="str">
        <f t="shared" si="16"/>
        <v>Error?</v>
      </c>
    </row>
    <row r="1107" spans="1:4" x14ac:dyDescent="0.2">
      <c r="A1107" s="5">
        <v>1046</v>
      </c>
      <c r="B1107" s="138">
        <f>'Expenditures 15-22'!K15</f>
        <v>24119</v>
      </c>
      <c r="C1107" s="2" t="s">
        <v>573</v>
      </c>
      <c r="D1107" s="2" t="str">
        <f t="shared" si="16"/>
        <v>Error?</v>
      </c>
    </row>
    <row r="1108" spans="1:4" x14ac:dyDescent="0.2">
      <c r="A1108" s="5">
        <v>1047</v>
      </c>
      <c r="B1108" s="138">
        <f>'Expenditures 15-22'!K33</f>
        <v>6153253</v>
      </c>
      <c r="C1108" s="2" t="s">
        <v>573</v>
      </c>
      <c r="D1108" s="2" t="str">
        <f t="shared" si="16"/>
        <v>Error?</v>
      </c>
    </row>
    <row r="1109" spans="1:4" x14ac:dyDescent="0.2">
      <c r="A1109" s="5">
        <v>1048</v>
      </c>
      <c r="B1109" s="138">
        <f>'Expenditures 15-22'!K36</f>
        <v>133804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162511</v>
      </c>
      <c r="C1111" s="2" t="s">
        <v>573</v>
      </c>
      <c r="D1111" s="2" t="str">
        <f t="shared" si="16"/>
        <v>Error?</v>
      </c>
    </row>
    <row r="1112" spans="1:4" x14ac:dyDescent="0.2">
      <c r="A1112" s="5">
        <v>1051</v>
      </c>
      <c r="B1112" s="138">
        <f>'Expenditures 15-22'!K39</f>
        <v>87917</v>
      </c>
      <c r="C1112" s="2" t="s">
        <v>573</v>
      </c>
      <c r="D1112" s="2" t="str">
        <f t="shared" si="16"/>
        <v>Error?</v>
      </c>
    </row>
    <row r="1113" spans="1:4" x14ac:dyDescent="0.2">
      <c r="A1113" s="5">
        <v>1052</v>
      </c>
      <c r="B1113" s="138">
        <f>'Expenditures 15-22'!K40</f>
        <v>220334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604566</v>
      </c>
      <c r="C1115" s="2" t="s">
        <v>573</v>
      </c>
      <c r="D1115" s="2" t="str">
        <f t="shared" si="16"/>
        <v>Error?</v>
      </c>
    </row>
    <row r="1116" spans="1:4" x14ac:dyDescent="0.2">
      <c r="A1116" s="5">
        <v>1055</v>
      </c>
      <c r="B1116" s="138">
        <f>'Expenditures 15-22'!K44</f>
        <v>83714</v>
      </c>
      <c r="C1116" s="2" t="s">
        <v>573</v>
      </c>
      <c r="D1116" s="2" t="str">
        <f t="shared" si="16"/>
        <v>Error?</v>
      </c>
    </row>
    <row r="1117" spans="1:4" x14ac:dyDescent="0.2">
      <c r="A1117" s="5">
        <v>1056</v>
      </c>
      <c r="B1117" s="138">
        <f>'Expenditures 15-22'!K45</f>
        <v>136482</v>
      </c>
      <c r="C1117" s="2" t="s">
        <v>573</v>
      </c>
      <c r="D1117" s="2" t="str">
        <f t="shared" si="16"/>
        <v>Error?</v>
      </c>
    </row>
    <row r="1118" spans="1:4" x14ac:dyDescent="0.2">
      <c r="A1118" s="5">
        <v>1057</v>
      </c>
      <c r="B1118" s="138">
        <f>'Expenditures 15-22'!K46</f>
        <v>16036</v>
      </c>
      <c r="C1118" s="2" t="s">
        <v>573</v>
      </c>
      <c r="D1118" s="2" t="str">
        <f t="shared" si="16"/>
        <v>Error?</v>
      </c>
    </row>
    <row r="1119" spans="1:4" x14ac:dyDescent="0.2">
      <c r="A1119" s="5">
        <v>1058</v>
      </c>
      <c r="B1119" s="138">
        <f>'Expenditures 15-22'!K47</f>
        <v>236232</v>
      </c>
      <c r="C1119" s="2" t="s">
        <v>573</v>
      </c>
      <c r="D1119" s="2" t="str">
        <f t="shared" si="16"/>
        <v>Error?</v>
      </c>
    </row>
    <row r="1120" spans="1:4" x14ac:dyDescent="0.2">
      <c r="A1120" s="5">
        <v>1059</v>
      </c>
      <c r="B1120" s="138">
        <f>'Expenditures 15-22'!K49</f>
        <v>77675</v>
      </c>
      <c r="C1120" s="2" t="s">
        <v>573</v>
      </c>
      <c r="D1120" s="2" t="str">
        <f t="shared" si="16"/>
        <v>Error?</v>
      </c>
    </row>
    <row r="1121" spans="1:4" x14ac:dyDescent="0.2">
      <c r="A1121" s="5">
        <v>1060</v>
      </c>
      <c r="B1121" s="138">
        <f>'Expenditures 15-22'!K50</f>
        <v>278619</v>
      </c>
      <c r="C1121" s="2" t="s">
        <v>573</v>
      </c>
      <c r="D1121" s="2" t="str">
        <f t="shared" si="16"/>
        <v>Error?</v>
      </c>
    </row>
    <row r="1122" spans="1:4" x14ac:dyDescent="0.2">
      <c r="A1122" s="5">
        <v>1061</v>
      </c>
      <c r="B1122" s="138">
        <f>'Expenditures 15-22'!K53</f>
        <v>544475</v>
      </c>
      <c r="C1122" s="2" t="s">
        <v>573</v>
      </c>
      <c r="D1122" s="2" t="str">
        <f t="shared" si="16"/>
        <v>Error?</v>
      </c>
    </row>
    <row r="1123" spans="1:4" x14ac:dyDescent="0.2">
      <c r="A1123" s="5">
        <v>1062</v>
      </c>
      <c r="B1123" s="138">
        <f>'Expenditures 15-22'!K55</f>
        <v>394099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394099</v>
      </c>
      <c r="C1125" s="2" t="s">
        <v>573</v>
      </c>
      <c r="D1125" s="2" t="str">
        <f t="shared" si="16"/>
        <v>Error?</v>
      </c>
    </row>
    <row r="1126" spans="1:4" x14ac:dyDescent="0.2">
      <c r="A1126" s="5">
        <v>1065</v>
      </c>
      <c r="B1126" s="138">
        <f>'Expenditures 15-22'!K59</f>
        <v>122643</v>
      </c>
      <c r="C1126" s="2" t="s">
        <v>573</v>
      </c>
      <c r="D1126" s="2" t="str">
        <f t="shared" si="16"/>
        <v>Error?</v>
      </c>
    </row>
    <row r="1127" spans="1:4" x14ac:dyDescent="0.2">
      <c r="A1127" s="5">
        <v>1066</v>
      </c>
      <c r="B1127" s="138">
        <f>'Expenditures 15-22'!K60</f>
        <v>146146</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131077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399866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271081</v>
      </c>
      <c r="C1139" s="2" t="s">
        <v>573</v>
      </c>
      <c r="D1139" s="2" t="str">
        <f t="shared" si="16"/>
        <v>Error?</v>
      </c>
    </row>
    <row r="1140" spans="1:4" x14ac:dyDescent="0.2">
      <c r="A1140" s="10">
        <v>1079</v>
      </c>
      <c r="D1140" s="2" t="str">
        <f t="shared" si="16"/>
        <v>OK</v>
      </c>
    </row>
    <row r="1141" spans="1:4" x14ac:dyDescent="0.2">
      <c r="A1141" s="5">
        <v>1080</v>
      </c>
      <c r="B1141" s="138">
        <f>'Expenditures 15-22'!K72</f>
        <v>271081</v>
      </c>
      <c r="C1141" s="2" t="s">
        <v>573</v>
      </c>
      <c r="D1141" s="2" t="str">
        <f t="shared" si="16"/>
        <v>Error?</v>
      </c>
    </row>
    <row r="1142" spans="1:4" x14ac:dyDescent="0.2">
      <c r="A1142" s="5">
        <v>1081</v>
      </c>
      <c r="B1142" s="138">
        <f>'Expenditures 15-22'!K73</f>
        <v>244</v>
      </c>
      <c r="C1142" s="2" t="s">
        <v>573</v>
      </c>
      <c r="D1142" s="2" t="str">
        <f t="shared" si="16"/>
        <v>Error?</v>
      </c>
    </row>
    <row r="1143" spans="1:4" x14ac:dyDescent="0.2">
      <c r="A1143" s="5">
        <v>1082</v>
      </c>
      <c r="B1143" s="138">
        <f>'Expenditures 15-22'!K74</f>
        <v>2450563</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217230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8821046</v>
      </c>
      <c r="C1152" s="2" t="s">
        <v>573</v>
      </c>
      <c r="D1152" s="2" t="str">
        <f t="shared" si="17"/>
        <v>Error?</v>
      </c>
    </row>
    <row r="1153" spans="1:4" x14ac:dyDescent="0.2">
      <c r="A1153" s="5">
        <v>1092</v>
      </c>
      <c r="B1153" s="138">
        <f>'Expenditures 15-22'!K115</f>
        <v>408053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25884</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306341</v>
      </c>
      <c r="D1221" s="2" t="str">
        <f t="shared" si="18"/>
        <v>Error?</v>
      </c>
    </row>
    <row r="1222" spans="1:4" x14ac:dyDescent="0.2">
      <c r="A1222" s="10">
        <v>1161</v>
      </c>
      <c r="D1222" s="2" t="str">
        <f t="shared" si="18"/>
        <v>OK</v>
      </c>
    </row>
    <row r="1223" spans="1:4" x14ac:dyDescent="0.2">
      <c r="A1223" s="5">
        <v>1162</v>
      </c>
      <c r="B1223" s="138">
        <f>'Expenditures 15-22'!C127</f>
        <v>332225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332225</v>
      </c>
      <c r="C1225" s="2" t="s">
        <v>573</v>
      </c>
      <c r="D1225" s="2" t="str">
        <f t="shared" si="18"/>
        <v>Error?</v>
      </c>
    </row>
    <row r="1226" spans="1:4" x14ac:dyDescent="0.2">
      <c r="A1226" s="5">
        <v>1165</v>
      </c>
      <c r="B1226" s="138">
        <f>'Expenditures 15-22'!C151</f>
        <v>332225</v>
      </c>
      <c r="C1226" s="2" t="s">
        <v>573</v>
      </c>
      <c r="D1226" s="2" t="str">
        <f t="shared" si="18"/>
        <v>Error?</v>
      </c>
    </row>
    <row r="1227" spans="1:4" x14ac:dyDescent="0.2">
      <c r="A1227" s="5">
        <v>1166</v>
      </c>
      <c r="B1227" s="138">
        <f>'Expenditures 15-22'!D122</f>
        <v>7140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83232</v>
      </c>
      <c r="D1229" s="2" t="str">
        <f t="shared" si="18"/>
        <v>Error?</v>
      </c>
    </row>
    <row r="1230" spans="1:4" x14ac:dyDescent="0.2">
      <c r="A1230" s="10">
        <v>1169</v>
      </c>
      <c r="D1230" s="2" t="str">
        <f t="shared" si="18"/>
        <v>OK</v>
      </c>
    </row>
    <row r="1231" spans="1:4" x14ac:dyDescent="0.2">
      <c r="A1231" s="5">
        <v>1170</v>
      </c>
      <c r="B1231" s="138">
        <f>'Expenditures 15-22'!D127</f>
        <v>90372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90372</v>
      </c>
      <c r="C1233" s="2" t="s">
        <v>573</v>
      </c>
      <c r="D1233" s="2" t="str">
        <f t="shared" si="18"/>
        <v>Error?</v>
      </c>
    </row>
    <row r="1234" spans="1:4" x14ac:dyDescent="0.2">
      <c r="A1234" s="5">
        <v>1173</v>
      </c>
      <c r="B1234" s="138">
        <f>'Expenditures 15-22'!D151</f>
        <v>90372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60</v>
      </c>
      <c r="D1236" s="2" t="str">
        <f t="shared" si="18"/>
        <v>Error?</v>
      </c>
    </row>
    <row r="1237" spans="1:4" x14ac:dyDescent="0.2">
      <c r="A1237" s="5">
        <v>1176</v>
      </c>
      <c r="B1237" s="138">
        <f>'Expenditures 15-22'!E124</f>
        <v>209639</v>
      </c>
      <c r="D1237" s="2" t="str">
        <f t="shared" si="18"/>
        <v>Error?</v>
      </c>
    </row>
    <row r="1238" spans="1:4" x14ac:dyDescent="0.2">
      <c r="A1238" s="10">
        <v>1177</v>
      </c>
      <c r="D1238" s="2" t="str">
        <f t="shared" si="18"/>
        <v>OK</v>
      </c>
    </row>
    <row r="1239" spans="1:4" x14ac:dyDescent="0.2">
      <c r="A1239" s="5">
        <v>1178</v>
      </c>
      <c r="B1239" s="138">
        <f>'Expenditures 15-22'!E127</f>
        <v>209699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209699</v>
      </c>
      <c r="C1241" s="2" t="s">
        <v>573</v>
      </c>
      <c r="D1241" s="2" t="str">
        <f t="shared" si="18"/>
        <v>Error?</v>
      </c>
    </row>
    <row r="1242" spans="1:4" x14ac:dyDescent="0.2">
      <c r="A1242" s="5">
        <v>1181</v>
      </c>
      <c r="B1242" s="138">
        <f>'Expenditures 15-22'!E151</f>
        <v>209699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200082</v>
      </c>
      <c r="D1245" s="2" t="str">
        <f t="shared" si="18"/>
        <v>Error?</v>
      </c>
    </row>
    <row r="1246" spans="1:4" x14ac:dyDescent="0.2">
      <c r="A1246" s="10">
        <v>1185</v>
      </c>
      <c r="D1246" s="2" t="str">
        <f t="shared" si="18"/>
        <v>OK</v>
      </c>
    </row>
    <row r="1247" spans="1:4" x14ac:dyDescent="0.2">
      <c r="A1247" s="5">
        <v>1186</v>
      </c>
      <c r="B1247" s="138">
        <f>'Expenditures 15-22'!F127</f>
        <v>200082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200082</v>
      </c>
      <c r="C1249" s="2" t="s">
        <v>573</v>
      </c>
      <c r="D1249" s="2" t="str">
        <f t="shared" si="18"/>
        <v>Error?</v>
      </c>
    </row>
    <row r="1250" spans="1:4" x14ac:dyDescent="0.2">
      <c r="A1250" s="5">
        <v>1189</v>
      </c>
      <c r="B1250" s="138">
        <f>'Expenditures 15-22'!F151</f>
        <v>200082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225150</v>
      </c>
      <c r="D1252" s="2" t="str">
        <f t="shared" si="18"/>
        <v>Error?</v>
      </c>
    </row>
    <row r="1253" spans="1:4" x14ac:dyDescent="0.2">
      <c r="A1253" s="5">
        <v>1192</v>
      </c>
      <c r="B1253" s="138">
        <f>'Expenditures 15-22'!G124</f>
        <v>105108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330258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330258</v>
      </c>
      <c r="C1258" s="2" t="s">
        <v>573</v>
      </c>
      <c r="D1258" s="2" t="str">
        <f t="shared" si="18"/>
        <v>Error?</v>
      </c>
    </row>
    <row r="1259" spans="1:4" x14ac:dyDescent="0.2">
      <c r="A1259" s="5">
        <v>1198</v>
      </c>
      <c r="B1259" s="138">
        <f>'Expenditures 15-22'!G151</f>
        <v>330258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9978</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9978</v>
      </c>
      <c r="C1273" s="2" t="s">
        <v>573</v>
      </c>
      <c r="D1273" s="2" t="str">
        <f t="shared" si="18"/>
        <v>Error?</v>
      </c>
    </row>
    <row r="1274" spans="1:4" x14ac:dyDescent="0.2">
      <c r="A1274" s="5">
        <v>1213</v>
      </c>
      <c r="B1274" s="138">
        <f>'Expenditures 15-22'!K122</f>
        <v>33024</v>
      </c>
      <c r="C1274" s="2" t="s">
        <v>573</v>
      </c>
      <c r="D1274" s="2" t="str">
        <f t="shared" si="18"/>
        <v>Error?</v>
      </c>
    </row>
    <row r="1275" spans="1:4" x14ac:dyDescent="0.2">
      <c r="A1275" s="5">
        <v>1214</v>
      </c>
      <c r="B1275" s="138">
        <f>'Expenditures 15-22'!K123</f>
        <v>225210</v>
      </c>
      <c r="C1275" s="2" t="s">
        <v>573</v>
      </c>
      <c r="D1275" s="2" t="str">
        <f t="shared" si="18"/>
        <v>Error?</v>
      </c>
    </row>
    <row r="1276" spans="1:4" x14ac:dyDescent="0.2">
      <c r="A1276" s="5">
        <v>1215</v>
      </c>
      <c r="B1276" s="138">
        <f>'Expenditures 15-22'!K124</f>
        <v>947256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1205490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1205490</v>
      </c>
      <c r="C1281" s="2" t="s">
        <v>573</v>
      </c>
      <c r="D1281" s="2" t="str">
        <f t="shared" si="19"/>
        <v>Error?</v>
      </c>
    </row>
    <row r="1282" spans="1:4" x14ac:dyDescent="0.2">
      <c r="A1282" s="5">
        <v>1221</v>
      </c>
      <c r="B1282" s="138">
        <f>'Expenditures 15-22'!K139</f>
        <v>9978</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1215468</v>
      </c>
      <c r="C1288" s="2" t="s">
        <v>573</v>
      </c>
      <c r="D1288" s="2" t="str">
        <f t="shared" si="19"/>
        <v>Error?</v>
      </c>
    </row>
    <row r="1289" spans="1:4" x14ac:dyDescent="0.2">
      <c r="A1289" s="5">
        <v>1228</v>
      </c>
      <c r="B1289" s="138">
        <f>'Expenditures 15-22'!K152</f>
        <v>95990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2475</v>
      </c>
      <c r="D1307" s="2" t="str">
        <f t="shared" si="19"/>
        <v>Error?</v>
      </c>
    </row>
    <row r="1308" spans="1:4" x14ac:dyDescent="0.2">
      <c r="A1308" s="5">
        <v>1247</v>
      </c>
      <c r="B1308" s="138">
        <f>'Expenditures 15-22'!E172</f>
        <v>2475</v>
      </c>
      <c r="C1308" s="2" t="s">
        <v>573</v>
      </c>
      <c r="D1308" s="2" t="str">
        <f t="shared" si="19"/>
        <v>Error?</v>
      </c>
    </row>
    <row r="1309" spans="1:4" x14ac:dyDescent="0.2">
      <c r="A1309" s="5">
        <v>1248</v>
      </c>
      <c r="B1309" s="138">
        <f>'Expenditures 15-22'!E174</f>
        <v>2475</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59838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609838</v>
      </c>
      <c r="C1317" s="2" t="s">
        <v>573</v>
      </c>
      <c r="D1317" s="2" t="str">
        <f t="shared" si="19"/>
        <v>Error?</v>
      </c>
    </row>
    <row r="1318" spans="1:4" x14ac:dyDescent="0.2">
      <c r="A1318" s="5">
        <v>1257</v>
      </c>
      <c r="B1318" s="138">
        <f>'Expenditures 15-22'!H174</f>
        <v>609838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59838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550000</v>
      </c>
      <c r="C1329" s="2" t="s">
        <v>573</v>
      </c>
      <c r="D1329" s="2" t="str">
        <f t="shared" si="19"/>
        <v>Error?</v>
      </c>
    </row>
    <row r="1330" spans="1:4" x14ac:dyDescent="0.2">
      <c r="A1330" s="5">
        <v>1269</v>
      </c>
      <c r="B1330" s="138">
        <f>'Expenditures 15-22'!K171</f>
        <v>2475</v>
      </c>
      <c r="C1330" s="2" t="s">
        <v>573</v>
      </c>
      <c r="D1330" s="2" t="str">
        <f t="shared" si="19"/>
        <v>Error?</v>
      </c>
    </row>
    <row r="1331" spans="1:4" x14ac:dyDescent="0.2">
      <c r="A1331" s="5">
        <v>1270</v>
      </c>
      <c r="B1331" s="138">
        <f>'Expenditures 15-22'!K172</f>
        <v>612313</v>
      </c>
      <c r="C1331" s="2" t="s">
        <v>573</v>
      </c>
      <c r="D1331" s="2" t="str">
        <f t="shared" si="19"/>
        <v>Error?</v>
      </c>
    </row>
    <row r="1332" spans="1:4" x14ac:dyDescent="0.2">
      <c r="A1332" s="5">
        <v>1271</v>
      </c>
      <c r="B1332" s="138">
        <f>'Expenditures 15-22'!K174</f>
        <v>612313</v>
      </c>
      <c r="C1332" s="2" t="s">
        <v>573</v>
      </c>
      <c r="D1332" s="2" t="str">
        <f t="shared" si="19"/>
        <v>Error?</v>
      </c>
    </row>
    <row r="1333" spans="1:4" x14ac:dyDescent="0.2">
      <c r="A1333" s="5">
        <v>1272</v>
      </c>
      <c r="B1333" s="138">
        <f>'Expenditures 15-22'!K175</f>
        <v>-612280</v>
      </c>
      <c r="C1333" s="2" t="s">
        <v>573</v>
      </c>
      <c r="D1333" s="2" t="str">
        <f t="shared" si="19"/>
        <v>Error?</v>
      </c>
    </row>
    <row r="1334" spans="1:4" x14ac:dyDescent="0.2">
      <c r="A1334" s="10">
        <v>1273</v>
      </c>
      <c r="D1334" s="2" t="str">
        <f t="shared" si="19"/>
        <v>OK</v>
      </c>
    </row>
    <row r="1335" spans="1:4" x14ac:dyDescent="0.2">
      <c r="A1335" s="5">
        <v>1274</v>
      </c>
      <c r="B1335" s="138">
        <f>'Expenditures 15-22'!C182</f>
        <v>299950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299950</v>
      </c>
      <c r="C1339" s="2" t="s">
        <v>573</v>
      </c>
      <c r="D1339" s="2" t="str">
        <f t="shared" si="19"/>
        <v>Error?</v>
      </c>
    </row>
    <row r="1340" spans="1:4" x14ac:dyDescent="0.2">
      <c r="A1340" s="5">
        <v>1279</v>
      </c>
      <c r="B1340" s="138">
        <f>'Expenditures 15-22'!C210</f>
        <v>299950</v>
      </c>
      <c r="C1340" s="2" t="s">
        <v>573</v>
      </c>
      <c r="D1340" s="2" t="str">
        <f t="shared" si="19"/>
        <v>Error?</v>
      </c>
    </row>
    <row r="1341" spans="1:4" x14ac:dyDescent="0.2">
      <c r="A1341" s="5">
        <v>1280</v>
      </c>
      <c r="B1341" s="138">
        <f>'Expenditures 15-22'!D182</f>
        <v>5824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5824</v>
      </c>
      <c r="C1345" s="2" t="s">
        <v>573</v>
      </c>
      <c r="D1345" s="2" t="str">
        <f t="shared" si="20"/>
        <v>Error?</v>
      </c>
    </row>
    <row r="1346" spans="1:4" x14ac:dyDescent="0.2">
      <c r="A1346" s="5">
        <v>1285</v>
      </c>
      <c r="B1346" s="138">
        <f>'Expenditures 15-22'!D210</f>
        <v>5824</v>
      </c>
      <c r="C1346" s="2" t="s">
        <v>573</v>
      </c>
      <c r="D1346" s="2" t="str">
        <f t="shared" si="20"/>
        <v>Error?</v>
      </c>
    </row>
    <row r="1347" spans="1:4" x14ac:dyDescent="0.2">
      <c r="A1347" s="5">
        <v>1286</v>
      </c>
      <c r="B1347" s="138">
        <f>'Expenditures 15-22'!E182</f>
        <v>151792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151792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151792</v>
      </c>
      <c r="C1353" s="2" t="s">
        <v>573</v>
      </c>
      <c r="D1353" s="2" t="str">
        <f t="shared" si="20"/>
        <v>Error?</v>
      </c>
    </row>
    <row r="1354" spans="1:4" x14ac:dyDescent="0.2">
      <c r="A1354" s="5">
        <v>1293</v>
      </c>
      <c r="B1354" s="138">
        <f>'Expenditures 15-22'!F182</f>
        <v>50288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50288</v>
      </c>
      <c r="C1358" s="2" t="s">
        <v>573</v>
      </c>
      <c r="D1358" s="2" t="str">
        <f t="shared" si="20"/>
        <v>Error?</v>
      </c>
    </row>
    <row r="1359" spans="1:4" x14ac:dyDescent="0.2">
      <c r="A1359" s="5">
        <v>1298</v>
      </c>
      <c r="B1359" s="138">
        <f>'Expenditures 15-22'!F210</f>
        <v>50288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228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228</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228</v>
      </c>
      <c r="C1376" s="2" t="s">
        <v>573</v>
      </c>
      <c r="D1376" s="2" t="str">
        <f t="shared" si="20"/>
        <v>Error?</v>
      </c>
    </row>
    <row r="1377" spans="1:4" x14ac:dyDescent="0.2">
      <c r="A1377" s="5">
        <v>1316</v>
      </c>
      <c r="B1377" s="138">
        <f>'Expenditures 15-22'!K182</f>
        <v>525340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525340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525340</v>
      </c>
      <c r="C1388" s="2" t="s">
        <v>573</v>
      </c>
      <c r="D1388" s="2" t="str">
        <f t="shared" si="20"/>
        <v>Error?</v>
      </c>
    </row>
    <row r="1389" spans="1:4" x14ac:dyDescent="0.2">
      <c r="A1389" s="5">
        <v>1328</v>
      </c>
      <c r="B1389" s="138">
        <f>'Expenditures 15-22'!K211</f>
        <v>288632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1627</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881</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922</v>
      </c>
      <c r="D1409" s="2" t="str">
        <f t="shared" si="21"/>
        <v>Error?</v>
      </c>
    </row>
    <row r="1410" spans="1:4" x14ac:dyDescent="0.2">
      <c r="A1410" s="5">
        <v>1349</v>
      </c>
      <c r="B1410" s="138">
        <f>'Expenditures 15-22'!D229</f>
        <v>120807</v>
      </c>
      <c r="C1410" s="2" t="s">
        <v>573</v>
      </c>
      <c r="D1410" s="2" t="str">
        <f t="shared" si="21"/>
        <v>Error?</v>
      </c>
    </row>
    <row r="1411" spans="1:4" x14ac:dyDescent="0.2">
      <c r="A1411" s="5">
        <v>1350</v>
      </c>
      <c r="B1411" s="138">
        <f>'Expenditures 15-22'!D232</f>
        <v>1397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10271</v>
      </c>
      <c r="D1413" s="2" t="str">
        <f t="shared" si="21"/>
        <v>Error?</v>
      </c>
    </row>
    <row r="1414" spans="1:4" x14ac:dyDescent="0.2">
      <c r="A1414" s="5">
        <v>1353</v>
      </c>
      <c r="B1414" s="138">
        <f>'Expenditures 15-22'!D235</f>
        <v>703</v>
      </c>
      <c r="D1414" s="2" t="str">
        <f t="shared" si="21"/>
        <v>Error?</v>
      </c>
    </row>
    <row r="1415" spans="1:4" x14ac:dyDescent="0.2">
      <c r="A1415" s="5">
        <v>1354</v>
      </c>
      <c r="B1415" s="138">
        <f>'Expenditures 15-22'!D236</f>
        <v>1808</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14179</v>
      </c>
      <c r="C1417" s="2" t="s">
        <v>573</v>
      </c>
      <c r="D1417" s="2" t="str">
        <f t="shared" si="21"/>
        <v>Error?</v>
      </c>
    </row>
    <row r="1418" spans="1:4" x14ac:dyDescent="0.2">
      <c r="A1418" s="5">
        <v>1357</v>
      </c>
      <c r="B1418" s="138">
        <f>'Expenditures 15-22'!D240</f>
        <v>32</v>
      </c>
      <c r="D1418" s="2" t="str">
        <f t="shared" si="21"/>
        <v>Error?</v>
      </c>
    </row>
    <row r="1419" spans="1:4" x14ac:dyDescent="0.2">
      <c r="A1419" s="5">
        <v>1358</v>
      </c>
      <c r="B1419" s="138">
        <f>'Expenditures 15-22'!D241</f>
        <v>3960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3992</v>
      </c>
      <c r="C1421" s="2" t="s">
        <v>573</v>
      </c>
      <c r="D1421" s="2" t="str">
        <f t="shared" si="21"/>
        <v>Error?</v>
      </c>
    </row>
    <row r="1422" spans="1:4" x14ac:dyDescent="0.2">
      <c r="A1422" s="5">
        <v>1361</v>
      </c>
      <c r="B1422" s="138">
        <f>'Expenditures 15-22'!D245</f>
        <v>2038</v>
      </c>
      <c r="D1422" s="2" t="str">
        <f t="shared" si="21"/>
        <v>Error?</v>
      </c>
    </row>
    <row r="1423" spans="1:4" x14ac:dyDescent="0.2">
      <c r="A1423" s="5">
        <v>1362</v>
      </c>
      <c r="B1423" s="138">
        <f>'Expenditures 15-22'!D246</f>
        <v>11387</v>
      </c>
      <c r="D1423" s="2" t="str">
        <f t="shared" si="21"/>
        <v>Error?</v>
      </c>
    </row>
    <row r="1424" spans="1:4" x14ac:dyDescent="0.2">
      <c r="A1424" s="5">
        <v>1363</v>
      </c>
      <c r="B1424" s="138">
        <f>'Expenditures 15-22'!D257</f>
        <v>20137</v>
      </c>
      <c r="C1424" s="2" t="s">
        <v>573</v>
      </c>
      <c r="D1424" s="2" t="str">
        <f t="shared" si="21"/>
        <v>Error?</v>
      </c>
    </row>
    <row r="1425" spans="1:4" x14ac:dyDescent="0.2">
      <c r="A1425" s="5">
        <v>1364</v>
      </c>
      <c r="B1425" s="138">
        <f>'Expenditures 15-22'!D259</f>
        <v>11510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11510</v>
      </c>
      <c r="C1427" s="2" t="s">
        <v>573</v>
      </c>
      <c r="D1427" s="2" t="str">
        <f t="shared" si="21"/>
        <v>Error?</v>
      </c>
    </row>
    <row r="1428" spans="1:4" x14ac:dyDescent="0.2">
      <c r="A1428" s="5">
        <v>1367</v>
      </c>
      <c r="B1428" s="138">
        <f>'Expenditures 15-22'!D263</f>
        <v>18348</v>
      </c>
      <c r="D1428" s="2" t="str">
        <f t="shared" si="21"/>
        <v>Error?</v>
      </c>
    </row>
    <row r="1429" spans="1:4" x14ac:dyDescent="0.2">
      <c r="A1429" s="5">
        <v>1368</v>
      </c>
      <c r="B1429" s="138">
        <f>'Expenditures 15-22'!D264</f>
        <v>18282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50004</v>
      </c>
      <c r="D1431" s="2" t="str">
        <f t="shared" si="21"/>
        <v>Error?</v>
      </c>
    </row>
    <row r="1432" spans="1:4" x14ac:dyDescent="0.2">
      <c r="A1432" s="5">
        <v>1371</v>
      </c>
      <c r="B1432" s="138">
        <f>'Expenditures 15-22'!D267</f>
        <v>51265</v>
      </c>
      <c r="D1432" s="2" t="str">
        <f t="shared" si="21"/>
        <v>Error?</v>
      </c>
    </row>
    <row r="1433" spans="1:4" x14ac:dyDescent="0.2">
      <c r="A1433" s="5">
        <v>1372</v>
      </c>
      <c r="B1433" s="138">
        <f>'Expenditures 15-22'!D268</f>
        <v>2281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140180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15115</v>
      </c>
      <c r="D1442" s="2" t="str">
        <f t="shared" si="21"/>
        <v>Error?</v>
      </c>
    </row>
    <row r="1443" spans="1:4" x14ac:dyDescent="0.2">
      <c r="A1443" s="10">
        <v>1382</v>
      </c>
      <c r="D1443" s="2" t="str">
        <f t="shared" si="21"/>
        <v>OK</v>
      </c>
    </row>
    <row r="1444" spans="1:4" x14ac:dyDescent="0.2">
      <c r="A1444" s="5">
        <v>1383</v>
      </c>
      <c r="B1444" s="138">
        <f>'Expenditures 15-22'!D277</f>
        <v>15115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205113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325920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1627</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881</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922</v>
      </c>
      <c r="C1473" s="2" t="s">
        <v>573</v>
      </c>
      <c r="D1473" s="2" t="str">
        <f t="shared" si="22"/>
        <v>Error?</v>
      </c>
    </row>
    <row r="1474" spans="1:4" x14ac:dyDescent="0.2">
      <c r="A1474" s="5">
        <v>1413</v>
      </c>
      <c r="B1474" s="138">
        <f>'Expenditures 15-22'!K229</f>
        <v>120807</v>
      </c>
      <c r="C1474" s="2" t="s">
        <v>573</v>
      </c>
      <c r="D1474" s="2" t="str">
        <f t="shared" si="22"/>
        <v>Error?</v>
      </c>
    </row>
    <row r="1475" spans="1:4" x14ac:dyDescent="0.2">
      <c r="A1475" s="5">
        <v>1414</v>
      </c>
      <c r="B1475" s="138">
        <f>'Expenditures 15-22'!K232</f>
        <v>1397</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10271</v>
      </c>
      <c r="C1477" s="2" t="s">
        <v>573</v>
      </c>
      <c r="D1477" s="2" t="str">
        <f t="shared" si="22"/>
        <v>Error?</v>
      </c>
    </row>
    <row r="1478" spans="1:4" x14ac:dyDescent="0.2">
      <c r="A1478" s="5">
        <v>1417</v>
      </c>
      <c r="B1478" s="138">
        <f>'Expenditures 15-22'!K235</f>
        <v>703</v>
      </c>
      <c r="C1478" s="2" t="s">
        <v>573</v>
      </c>
      <c r="D1478" s="2" t="str">
        <f t="shared" si="22"/>
        <v>Error?</v>
      </c>
    </row>
    <row r="1479" spans="1:4" x14ac:dyDescent="0.2">
      <c r="A1479" s="5">
        <v>1418</v>
      </c>
      <c r="B1479" s="138">
        <f>'Expenditures 15-22'!K236</f>
        <v>1808</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14179</v>
      </c>
      <c r="C1481" s="2" t="s">
        <v>573</v>
      </c>
      <c r="D1481" s="2" t="str">
        <f t="shared" si="22"/>
        <v>Error?</v>
      </c>
    </row>
    <row r="1482" spans="1:4" x14ac:dyDescent="0.2">
      <c r="A1482" s="5">
        <v>1421</v>
      </c>
      <c r="B1482" s="138">
        <f>'Expenditures 15-22'!K240</f>
        <v>32</v>
      </c>
      <c r="C1482" s="2" t="s">
        <v>573</v>
      </c>
      <c r="D1482" s="2" t="str">
        <f t="shared" si="22"/>
        <v>Error?</v>
      </c>
    </row>
    <row r="1483" spans="1:4" x14ac:dyDescent="0.2">
      <c r="A1483" s="5">
        <v>1422</v>
      </c>
      <c r="B1483" s="138">
        <f>'Expenditures 15-22'!K241</f>
        <v>3960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3992</v>
      </c>
      <c r="C1485" s="2" t="s">
        <v>573</v>
      </c>
      <c r="D1485" s="2" t="str">
        <f t="shared" si="22"/>
        <v>Error?</v>
      </c>
    </row>
    <row r="1486" spans="1:4" x14ac:dyDescent="0.2">
      <c r="A1486" s="5">
        <v>1425</v>
      </c>
      <c r="B1486" s="138">
        <f>'Expenditures 15-22'!K245</f>
        <v>2038</v>
      </c>
      <c r="C1486" s="2" t="s">
        <v>573</v>
      </c>
      <c r="D1486" s="2" t="str">
        <f t="shared" si="22"/>
        <v>Error?</v>
      </c>
    </row>
    <row r="1487" spans="1:4" x14ac:dyDescent="0.2">
      <c r="A1487" s="5">
        <v>1426</v>
      </c>
      <c r="B1487" s="138">
        <f>'Expenditures 15-22'!K246</f>
        <v>11387</v>
      </c>
      <c r="C1487" s="2" t="s">
        <v>573</v>
      </c>
      <c r="D1487" s="2" t="str">
        <f t="shared" si="22"/>
        <v>Error?</v>
      </c>
    </row>
    <row r="1488" spans="1:4" x14ac:dyDescent="0.2">
      <c r="A1488" s="5">
        <v>1427</v>
      </c>
      <c r="B1488" s="138">
        <f>'Expenditures 15-22'!K257</f>
        <v>20137</v>
      </c>
      <c r="C1488" s="2" t="s">
        <v>573</v>
      </c>
      <c r="D1488" s="2" t="str">
        <f t="shared" si="22"/>
        <v>Error?</v>
      </c>
    </row>
    <row r="1489" spans="1:4" x14ac:dyDescent="0.2">
      <c r="A1489" s="5">
        <v>1428</v>
      </c>
      <c r="B1489" s="138">
        <f>'Expenditures 15-22'!K259</f>
        <v>11510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11510</v>
      </c>
      <c r="C1491" s="2" t="s">
        <v>573</v>
      </c>
      <c r="D1491" s="2" t="str">
        <f t="shared" si="22"/>
        <v>Error?</v>
      </c>
    </row>
    <row r="1492" spans="1:4" x14ac:dyDescent="0.2">
      <c r="A1492" s="5">
        <v>1431</v>
      </c>
      <c r="B1492" s="138">
        <f>'Expenditures 15-22'!K263</f>
        <v>18348</v>
      </c>
      <c r="C1492" s="2" t="s">
        <v>573</v>
      </c>
      <c r="D1492" s="2" t="str">
        <f t="shared" si="22"/>
        <v>Error?</v>
      </c>
    </row>
    <row r="1493" spans="1:4" x14ac:dyDescent="0.2">
      <c r="A1493" s="5">
        <v>1432</v>
      </c>
      <c r="B1493" s="138">
        <f>'Expenditures 15-22'!K264</f>
        <v>18282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50004</v>
      </c>
      <c r="C1495" s="2" t="s">
        <v>573</v>
      </c>
      <c r="D1495" s="2" t="str">
        <f t="shared" si="22"/>
        <v>Error?</v>
      </c>
    </row>
    <row r="1496" spans="1:4" x14ac:dyDescent="0.2">
      <c r="A1496" s="5">
        <v>1435</v>
      </c>
      <c r="B1496" s="138">
        <f>'Expenditures 15-22'!K267</f>
        <v>51265</v>
      </c>
      <c r="C1496" s="2" t="s">
        <v>573</v>
      </c>
      <c r="D1496" s="2" t="str">
        <f t="shared" si="22"/>
        <v>Error?</v>
      </c>
    </row>
    <row r="1497" spans="1:4" x14ac:dyDescent="0.2">
      <c r="A1497" s="5">
        <v>1436</v>
      </c>
      <c r="B1497" s="138">
        <f>'Expenditures 15-22'!K268</f>
        <v>2281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140180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15115</v>
      </c>
      <c r="C1506" s="2" t="s">
        <v>573</v>
      </c>
      <c r="D1506" s="2" t="str">
        <f t="shared" si="22"/>
        <v>Error?</v>
      </c>
    </row>
    <row r="1507" spans="1:4" x14ac:dyDescent="0.2">
      <c r="A1507" s="10">
        <v>1446</v>
      </c>
      <c r="D1507" s="2" t="str">
        <f t="shared" si="22"/>
        <v>OK</v>
      </c>
    </row>
    <row r="1508" spans="1:4" x14ac:dyDescent="0.2">
      <c r="A1508" s="5">
        <v>1447</v>
      </c>
      <c r="B1508" s="138">
        <f>'Expenditures 15-22'!K277</f>
        <v>15115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205113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325920</v>
      </c>
      <c r="C1517" s="2" t="s">
        <v>573</v>
      </c>
      <c r="D1517" s="2" t="str">
        <f t="shared" si="22"/>
        <v>Error?</v>
      </c>
    </row>
    <row r="1518" spans="1:4" x14ac:dyDescent="0.2">
      <c r="A1518" s="5">
        <v>1457</v>
      </c>
      <c r="B1518" s="138">
        <f>'Expenditures 15-22'!K296</f>
        <v>47135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v>
      </c>
      <c r="C1535" s="2" t="s">
        <v>573</v>
      </c>
      <c r="D1535" s="2" t="str">
        <f t="shared" ref="D1535:D1598" si="23">IF(ISBLANK(B1535),"OK",IF(A1535-B1535=0,"OK","Error?"))</f>
        <v>Error?</v>
      </c>
    </row>
    <row r="1536" spans="1:4" x14ac:dyDescent="0.2">
      <c r="A1536" s="5">
        <v>1475</v>
      </c>
      <c r="B1536" s="138">
        <f>'Expenditures 15-22'!E312</f>
        <v>15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522314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522314</v>
      </c>
      <c r="C1547" s="2" t="s">
        <v>573</v>
      </c>
      <c r="D1547" s="2" t="str">
        <f t="shared" si="23"/>
        <v>Error?</v>
      </c>
    </row>
    <row r="1548" spans="1:4" x14ac:dyDescent="0.2">
      <c r="A1548" s="5">
        <v>1487</v>
      </c>
      <c r="B1548" s="138">
        <f>'Expenditures 15-22'!G312</f>
        <v>522314</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522329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522329</v>
      </c>
      <c r="C1559" s="2" t="s">
        <v>573</v>
      </c>
      <c r="D1559" s="2" t="str">
        <f t="shared" si="23"/>
        <v>Error?</v>
      </c>
    </row>
    <row r="1560" spans="1:4" x14ac:dyDescent="0.2">
      <c r="A1560" s="5">
        <v>1499</v>
      </c>
      <c r="B1560" s="138">
        <f>'Expenditures 15-22'!K312</f>
        <v>522329</v>
      </c>
      <c r="C1560" s="2" t="s">
        <v>573</v>
      </c>
      <c r="D1560" s="2" t="str">
        <f t="shared" si="23"/>
        <v>Error?</v>
      </c>
    </row>
    <row r="1561" spans="1:4" x14ac:dyDescent="0.2">
      <c r="A1561" s="5">
        <v>1500</v>
      </c>
      <c r="B1561" s="138">
        <f>'Expenditures 15-22'!K313</f>
        <v>-260211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7686648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7559339</v>
      </c>
      <c r="C1630" s="2" t="s">
        <v>573</v>
      </c>
      <c r="D1630" s="2" t="str">
        <f t="shared" si="24"/>
        <v>Error?</v>
      </c>
    </row>
    <row r="1631" spans="1:4" x14ac:dyDescent="0.2">
      <c r="A1631" s="5">
        <v>1570</v>
      </c>
      <c r="B1631" s="138">
        <f>'Acct Summary 7-8'!D79</f>
        <v>1948464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2044454</v>
      </c>
      <c r="C1644" s="2" t="s">
        <v>573</v>
      </c>
      <c r="D1644" s="2" t="str">
        <f t="shared" si="24"/>
        <v>Error?</v>
      </c>
    </row>
    <row r="1645" spans="1:4" x14ac:dyDescent="0.2">
      <c r="A1645" s="5">
        <v>1584</v>
      </c>
      <c r="B1645" s="138">
        <f>'Acct Summary 7-8'!E79</f>
        <v>2149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2182</v>
      </c>
      <c r="C1658" s="2" t="s">
        <v>573</v>
      </c>
      <c r="D1658" s="2" t="str">
        <f t="shared" si="24"/>
        <v>Error?</v>
      </c>
    </row>
    <row r="1659" spans="1:4" x14ac:dyDescent="0.2">
      <c r="A1659" s="5">
        <v>1598</v>
      </c>
      <c r="B1659" s="138">
        <f>'Acct Summary 7-8'!F79</f>
        <v>1077344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1065976</v>
      </c>
      <c r="C1672" s="2" t="s">
        <v>573</v>
      </c>
      <c r="D1672" s="2" t="str">
        <f t="shared" si="25"/>
        <v>Error?</v>
      </c>
    </row>
    <row r="1673" spans="1:4" x14ac:dyDescent="0.2">
      <c r="A1673" s="5">
        <v>1612</v>
      </c>
      <c r="B1673" s="138">
        <f>'Acct Summary 7-8'!G79</f>
        <v>226873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274008</v>
      </c>
      <c r="C1686" s="2" t="s">
        <v>573</v>
      </c>
      <c r="D1686" s="2" t="str">
        <f t="shared" si="25"/>
        <v>Error?</v>
      </c>
    </row>
    <row r="1687" spans="1:4" x14ac:dyDescent="0.2">
      <c r="A1687" s="5">
        <v>1626</v>
      </c>
      <c r="B1687" s="138">
        <f>'Acct Summary 7-8'!H79</f>
        <v>142316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105154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7049761</v>
      </c>
      <c r="C1744" s="2" t="s">
        <v>573</v>
      </c>
      <c r="D1744" s="2" t="str">
        <f t="shared" si="26"/>
        <v>Error?</v>
      </c>
    </row>
    <row r="1745" spans="1:5" x14ac:dyDescent="0.2">
      <c r="A1745" s="5">
        <v>1684</v>
      </c>
      <c r="B1745" s="138">
        <f>'Tax Sched 23'!B5</f>
        <v>1246065</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664396</v>
      </c>
      <c r="C1747" s="2" t="s">
        <v>573</v>
      </c>
      <c r="D1747" s="2" t="str">
        <f t="shared" si="26"/>
        <v>Error?</v>
      </c>
    </row>
    <row r="1748" spans="1:5" x14ac:dyDescent="0.2">
      <c r="A1748" s="5">
        <v>1687</v>
      </c>
      <c r="B1748" s="138">
        <f>'Tax Sched 23'!B8</f>
        <v>143953</v>
      </c>
      <c r="C1748" s="2" t="s">
        <v>573</v>
      </c>
      <c r="D1748" s="2" t="str">
        <f t="shared" si="26"/>
        <v>Error?</v>
      </c>
    </row>
    <row r="1749" spans="1:5" x14ac:dyDescent="0.2">
      <c r="A1749" s="5">
        <v>1688</v>
      </c>
      <c r="B1749" s="138">
        <f>'Tax Sched 23'!B10</f>
        <v>58471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59690</v>
      </c>
      <c r="C1752" s="2" t="s">
        <v>573</v>
      </c>
      <c r="D1752" s="2" t="str">
        <f t="shared" si="26"/>
        <v>Error?</v>
      </c>
    </row>
    <row r="1753" spans="1:5" x14ac:dyDescent="0.2">
      <c r="A1753" s="5">
        <v>1692</v>
      </c>
      <c r="B1753" s="138">
        <f>'Tax Sched 23'!B12</f>
        <v>225238</v>
      </c>
      <c r="C1753" s="2" t="s">
        <v>573</v>
      </c>
      <c r="D1753" s="2" t="str">
        <f t="shared" si="26"/>
        <v>Error?</v>
      </c>
    </row>
    <row r="1754" spans="1:5" x14ac:dyDescent="0.2">
      <c r="A1754" s="5">
        <v>1693</v>
      </c>
      <c r="B1754" s="138">
        <f>'Tax Sched 23'!B14</f>
        <v>806764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10459983</v>
      </c>
      <c r="C1759" s="2" t="s">
        <v>573</v>
      </c>
      <c r="D1759" s="2" t="str">
        <f t="shared" si="26"/>
        <v>Error?</v>
      </c>
    </row>
    <row r="1760" spans="1:5" x14ac:dyDescent="0.2">
      <c r="A1760" s="5">
        <v>1699</v>
      </c>
      <c r="B1760" s="138">
        <f>'Tax Sched 23'!D4</f>
        <v>3303763</v>
      </c>
      <c r="C1760" s="2" t="s">
        <v>573</v>
      </c>
      <c r="D1760" s="2" t="str">
        <f t="shared" si="26"/>
        <v>Error?</v>
      </c>
    </row>
    <row r="1761" spans="1:5" x14ac:dyDescent="0.2">
      <c r="A1761" s="5">
        <v>1700</v>
      </c>
      <c r="B1761" s="138">
        <f>'Tax Sched 23'!D5</f>
        <v>579144</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311360</v>
      </c>
      <c r="C1763" s="2" t="s">
        <v>573</v>
      </c>
      <c r="D1763" s="2" t="str">
        <f t="shared" si="26"/>
        <v>Error?</v>
      </c>
    </row>
    <row r="1764" spans="1:5" x14ac:dyDescent="0.2">
      <c r="A1764" s="5">
        <v>1703</v>
      </c>
      <c r="B1764" s="138">
        <f>'Tax Sched 23'!D8</f>
        <v>66720</v>
      </c>
      <c r="C1764" s="2" t="s">
        <v>573</v>
      </c>
      <c r="D1764" s="2" t="str">
        <f t="shared" si="26"/>
        <v>Error?</v>
      </c>
    </row>
    <row r="1765" spans="1:5" x14ac:dyDescent="0.2">
      <c r="A1765" s="5">
        <v>1704</v>
      </c>
      <c r="B1765" s="138">
        <f>'Tax Sched 23'!D10</f>
        <v>33252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22121</v>
      </c>
      <c r="C1768" s="2" t="s">
        <v>573</v>
      </c>
      <c r="D1768" s="2" t="str">
        <f t="shared" si="26"/>
        <v>Error?</v>
      </c>
    </row>
    <row r="1769" spans="1:5" x14ac:dyDescent="0.2">
      <c r="A1769" s="5">
        <v>1708</v>
      </c>
      <c r="B1769" s="138">
        <f>'Tax Sched 23'!D12</f>
        <v>104395</v>
      </c>
      <c r="C1769" s="2" t="s">
        <v>573</v>
      </c>
      <c r="D1769" s="2" t="str">
        <f t="shared" si="26"/>
        <v>Error?</v>
      </c>
    </row>
    <row r="1770" spans="1:5" x14ac:dyDescent="0.2">
      <c r="A1770" s="5">
        <v>1709</v>
      </c>
      <c r="B1770" s="138">
        <f>'Tax Sched 23'!D14</f>
        <v>378074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4894140</v>
      </c>
      <c r="C1775" s="2" t="s">
        <v>573</v>
      </c>
      <c r="D1775" s="2" t="str">
        <f t="shared" si="26"/>
        <v>Error?</v>
      </c>
    </row>
    <row r="1776" spans="1:5" x14ac:dyDescent="0.2">
      <c r="A1776" s="5">
        <v>1715</v>
      </c>
      <c r="B1776" s="138">
        <f>'Tax Sched 23'!C4</f>
        <v>3745998</v>
      </c>
      <c r="D1776" s="2" t="str">
        <f t="shared" si="26"/>
        <v>Error?</v>
      </c>
    </row>
    <row r="1777" spans="1:4" x14ac:dyDescent="0.2">
      <c r="A1777" s="5">
        <v>1716</v>
      </c>
      <c r="B1777" s="138">
        <f>'Tax Sched 23'!C5</f>
        <v>666921</v>
      </c>
      <c r="D1777" s="2" t="str">
        <f t="shared" si="26"/>
        <v>Error?</v>
      </c>
    </row>
    <row r="1778" spans="1:4" x14ac:dyDescent="0.2">
      <c r="A1778" s="5">
        <v>1717</v>
      </c>
      <c r="B1778" s="138">
        <f>'Tax Sched 23'!C6</f>
        <v>0</v>
      </c>
      <c r="D1778" s="2" t="str">
        <f t="shared" si="26"/>
        <v>Error?</v>
      </c>
    </row>
    <row r="1779" spans="1:4" x14ac:dyDescent="0.2">
      <c r="A1779" s="5">
        <v>1718</v>
      </c>
      <c r="B1779" s="138">
        <f>'Tax Sched 23'!C7</f>
        <v>353036</v>
      </c>
      <c r="D1779" s="2" t="str">
        <f t="shared" si="26"/>
        <v>Error?</v>
      </c>
    </row>
    <row r="1780" spans="1:4" x14ac:dyDescent="0.2">
      <c r="A1780" s="5">
        <v>1719</v>
      </c>
      <c r="B1780" s="138">
        <f>'Tax Sched 23'!C8</f>
        <v>77233</v>
      </c>
      <c r="D1780" s="2" t="str">
        <f t="shared" si="26"/>
        <v>Error?</v>
      </c>
    </row>
    <row r="1781" spans="1:4" x14ac:dyDescent="0.2">
      <c r="A1781" s="5">
        <v>1720</v>
      </c>
      <c r="B1781" s="138">
        <f>'Tax Sched 23'!C10</f>
        <v>25219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37569</v>
      </c>
      <c r="D1784" s="2" t="str">
        <f t="shared" si="26"/>
        <v>Error?</v>
      </c>
    </row>
    <row r="1785" spans="1:4" x14ac:dyDescent="0.2">
      <c r="A1785" s="5">
        <v>1724</v>
      </c>
      <c r="B1785" s="138">
        <f>'Tax Sched 23'!C12</f>
        <v>120843</v>
      </c>
      <c r="D1785" s="2" t="str">
        <f t="shared" si="26"/>
        <v>Error?</v>
      </c>
    </row>
    <row r="1786" spans="1:4" x14ac:dyDescent="0.2">
      <c r="A1786" s="5">
        <v>1725</v>
      </c>
      <c r="B1786" s="138">
        <f>'Tax Sched 23'!C14</f>
        <v>428690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5565843</v>
      </c>
      <c r="C1791" s="2" t="s">
        <v>573</v>
      </c>
      <c r="D1791" s="2" t="str">
        <f t="shared" ref="D1791:D1854" si="27">IF(ISBLANK(B1791),"OK",IF(A1791-B1791=0,"OK","Error?"))</f>
        <v>Error?</v>
      </c>
    </row>
    <row r="1792" spans="1:4" x14ac:dyDescent="0.2">
      <c r="A1792" s="5">
        <v>1731</v>
      </c>
      <c r="B1792" s="138">
        <f>'Tax Sched 23'!F4</f>
        <v>3597197</v>
      </c>
      <c r="C1792" s="2" t="s">
        <v>573</v>
      </c>
      <c r="D1792" s="2" t="str">
        <f t="shared" si="27"/>
        <v>Error?</v>
      </c>
    </row>
    <row r="1793" spans="1:4" x14ac:dyDescent="0.2">
      <c r="A1793" s="5">
        <v>1732</v>
      </c>
      <c r="B1793" s="138">
        <f>'Tax Sched 23'!F5</f>
        <v>640430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339013.14</v>
      </c>
      <c r="C1795" s="2" t="s">
        <v>573</v>
      </c>
      <c r="D1795" s="2" t="str">
        <f t="shared" si="27"/>
        <v>Error?</v>
      </c>
    </row>
    <row r="1796" spans="1:4" x14ac:dyDescent="0.2">
      <c r="A1796" s="5">
        <v>1735</v>
      </c>
      <c r="B1796" s="138">
        <f>'Tax Sched 23'!F8</f>
        <v>74165</v>
      </c>
      <c r="C1796" s="2" t="s">
        <v>573</v>
      </c>
      <c r="D1796" s="2" t="str">
        <f t="shared" si="27"/>
        <v>Error?</v>
      </c>
    </row>
    <row r="1797" spans="1:4" x14ac:dyDescent="0.2">
      <c r="A1797" s="5">
        <v>1736</v>
      </c>
      <c r="B1797" s="138">
        <f>'Tax Sched 23'!F10</f>
        <v>24216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36077</v>
      </c>
      <c r="C1800" s="2" t="s">
        <v>573</v>
      </c>
      <c r="D1800" s="2" t="str">
        <f t="shared" si="27"/>
        <v>Error?</v>
      </c>
    </row>
    <row r="1801" spans="1:4" x14ac:dyDescent="0.2">
      <c r="A1801" s="5">
        <v>1740</v>
      </c>
      <c r="B1801" s="138">
        <f>'Tax Sched 23'!F12</f>
        <v>116043</v>
      </c>
      <c r="C1801" s="2" t="s">
        <v>573</v>
      </c>
      <c r="D1801" s="2" t="str">
        <f t="shared" si="27"/>
        <v>Error?</v>
      </c>
    </row>
    <row r="1802" spans="1:4" x14ac:dyDescent="0.2">
      <c r="A1802" s="5">
        <v>1741</v>
      </c>
      <c r="B1802" s="138">
        <f>'Tax Sched 23'!F14</f>
        <v>411660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5344751.1399999997</v>
      </c>
      <c r="C1807" s="2" t="s">
        <v>573</v>
      </c>
      <c r="D1807" s="2" t="str">
        <f t="shared" si="27"/>
        <v>Error?</v>
      </c>
    </row>
    <row r="1808" spans="1:4" x14ac:dyDescent="0.2">
      <c r="A1808" s="5">
        <v>1747</v>
      </c>
      <c r="B1808" s="138">
        <f>'Tax Sched 23'!E4</f>
        <v>7343195</v>
      </c>
      <c r="D1808" s="2" t="str">
        <f t="shared" si="27"/>
        <v>Error?</v>
      </c>
    </row>
    <row r="1809" spans="1:4" x14ac:dyDescent="0.2">
      <c r="A1809" s="5">
        <v>1748</v>
      </c>
      <c r="B1809" s="138">
        <f>'Tax Sched 23'!E5</f>
        <v>1307351</v>
      </c>
      <c r="D1809" s="2" t="str">
        <f t="shared" si="27"/>
        <v>Error?</v>
      </c>
    </row>
    <row r="1810" spans="1:4" x14ac:dyDescent="0.2">
      <c r="A1810" s="5">
        <v>1749</v>
      </c>
      <c r="B1810" s="138">
        <f>'Tax Sched 23'!E6</f>
        <v>0</v>
      </c>
      <c r="D1810" s="2" t="str">
        <f t="shared" si="27"/>
        <v>Error?</v>
      </c>
    </row>
    <row r="1811" spans="1:4" x14ac:dyDescent="0.2">
      <c r="A1811" s="5">
        <v>1750</v>
      </c>
      <c r="B1811" s="138">
        <f>'Tax Sched 23'!E7</f>
        <v>692049.14</v>
      </c>
      <c r="D1811" s="2" t="str">
        <f t="shared" si="27"/>
        <v>Error?</v>
      </c>
    </row>
    <row r="1812" spans="1:4" x14ac:dyDescent="0.2">
      <c r="A1812" s="5">
        <v>1751</v>
      </c>
      <c r="B1812" s="138">
        <f>'Tax Sched 23'!E8</f>
        <v>151398</v>
      </c>
      <c r="D1812" s="2" t="str">
        <f t="shared" si="27"/>
        <v>Error?</v>
      </c>
    </row>
    <row r="1813" spans="1:4" x14ac:dyDescent="0.2">
      <c r="A1813" s="5">
        <v>1752</v>
      </c>
      <c r="B1813" s="138">
        <f>'Tax Sched 23'!E10</f>
        <v>49435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73646</v>
      </c>
      <c r="D1816" s="2" t="str">
        <f t="shared" si="27"/>
        <v>Error?</v>
      </c>
    </row>
    <row r="1817" spans="1:4" x14ac:dyDescent="0.2">
      <c r="A1817" s="5">
        <v>1756</v>
      </c>
      <c r="B1817" s="138">
        <f>'Tax Sched 23'!E12</f>
        <v>236886</v>
      </c>
      <c r="D1817" s="2" t="str">
        <f t="shared" si="27"/>
        <v>Error?</v>
      </c>
    </row>
    <row r="1818" spans="1:4" x14ac:dyDescent="0.2">
      <c r="A1818" s="5">
        <v>1757</v>
      </c>
      <c r="B1818" s="138">
        <f>'Tax Sched 23'!E14</f>
        <v>840350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10910594.140000001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2880000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806764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806764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806764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3873232</v>
      </c>
      <c r="D2008" s="2" t="str">
        <f t="shared" si="30"/>
        <v>Error?</v>
      </c>
    </row>
    <row r="2009" spans="1:4" x14ac:dyDescent="0.2">
      <c r="A2009" s="5">
        <v>1948</v>
      </c>
      <c r="B2009" s="138">
        <f>'Cap Outlay Deprec 26'!C8</f>
        <v>11644195</v>
      </c>
      <c r="D2009" s="2" t="str">
        <f t="shared" si="30"/>
        <v>Error?</v>
      </c>
    </row>
    <row r="2010" spans="1:4" x14ac:dyDescent="0.2">
      <c r="A2010" s="5">
        <v>1949</v>
      </c>
      <c r="B2010" s="138">
        <f>'Cap Outlay Deprec 26'!C10</f>
        <v>682186</v>
      </c>
      <c r="D2010" s="2" t="str">
        <f t="shared" si="30"/>
        <v>Error?</v>
      </c>
    </row>
    <row r="2011" spans="1:4" x14ac:dyDescent="0.2">
      <c r="A2011" s="5">
        <v>1950</v>
      </c>
      <c r="B2011" s="138">
        <f>'Cap Outlay Deprec 26'!C12</f>
        <v>1538564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17738177</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130335</v>
      </c>
      <c r="D2016" s="2" t="str">
        <f t="shared" si="30"/>
        <v>Error?</v>
      </c>
    </row>
    <row r="2017" spans="1:4" x14ac:dyDescent="0.2">
      <c r="A2017" s="5">
        <v>1956</v>
      </c>
      <c r="B2017" s="138">
        <f>'Cap Outlay Deprec 26'!D12</f>
        <v>250053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909448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260368</v>
      </c>
      <c r="D2021" s="2" t="str">
        <f t="shared" si="30"/>
        <v>Error?</v>
      </c>
    </row>
    <row r="2022" spans="1:4" x14ac:dyDescent="0.2">
      <c r="A2022" s="5">
        <v>1961</v>
      </c>
      <c r="B2022" s="138">
        <f>'Cap Outlay Deprec 26'!E10</f>
        <v>63028</v>
      </c>
      <c r="D2022" s="2" t="str">
        <f t="shared" si="30"/>
        <v>Error?</v>
      </c>
    </row>
    <row r="2023" spans="1:4" x14ac:dyDescent="0.2">
      <c r="A2023" s="5">
        <v>1962</v>
      </c>
      <c r="B2023" s="138">
        <f>'Cap Outlay Deprec 26'!E12</f>
        <v>715508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1038904</v>
      </c>
      <c r="C2025" s="2" t="s">
        <v>573</v>
      </c>
      <c r="D2025" s="2" t="str">
        <f t="shared" si="30"/>
        <v>Error?</v>
      </c>
    </row>
    <row r="2026" spans="1:4" x14ac:dyDescent="0.2">
      <c r="A2026" s="5">
        <v>1965</v>
      </c>
      <c r="B2026" s="138">
        <f>'Cap Outlay Deprec 26'!F5</f>
        <v>3873232</v>
      </c>
      <c r="C2026" s="2" t="s">
        <v>573</v>
      </c>
      <c r="D2026" s="2" t="str">
        <f t="shared" si="30"/>
        <v>Error?</v>
      </c>
    </row>
    <row r="2027" spans="1:4" x14ac:dyDescent="0.2">
      <c r="A2027" s="5">
        <v>1966</v>
      </c>
      <c r="B2027" s="138">
        <f>'Cap Outlay Deprec 26'!F8</f>
        <v>11383827</v>
      </c>
      <c r="C2027" s="2" t="s">
        <v>573</v>
      </c>
      <c r="D2027" s="2" t="str">
        <f t="shared" si="30"/>
        <v>Error?</v>
      </c>
    </row>
    <row r="2028" spans="1:4" x14ac:dyDescent="0.2">
      <c r="A2028" s="5">
        <v>1967</v>
      </c>
      <c r="B2028" s="138">
        <f>'Cap Outlay Deprec 26'!F10</f>
        <v>749493</v>
      </c>
      <c r="C2028" s="2" t="s">
        <v>573</v>
      </c>
      <c r="D2028" s="2" t="str">
        <f t="shared" si="30"/>
        <v>Error?</v>
      </c>
    </row>
    <row r="2029" spans="1:4" x14ac:dyDescent="0.2">
      <c r="A2029" s="5">
        <v>1968</v>
      </c>
      <c r="B2029" s="138">
        <f>'Cap Outlay Deprec 26'!F12</f>
        <v>1073109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17608721</v>
      </c>
      <c r="C2031" s="2" t="s">
        <v>573</v>
      </c>
      <c r="D2031" s="2" t="str">
        <f t="shared" si="30"/>
        <v>Error?</v>
      </c>
    </row>
    <row r="2032" spans="1:4" x14ac:dyDescent="0.2">
      <c r="A2032" s="10">
        <v>1971</v>
      </c>
      <c r="D2032" s="2" t="str">
        <f t="shared" si="30"/>
        <v>OK</v>
      </c>
    </row>
    <row r="2033" spans="1:4" x14ac:dyDescent="0.2">
      <c r="A2033" s="5">
        <v>1972</v>
      </c>
      <c r="B2033" s="138">
        <f>'Cap Outlay Deprec 26'!H8</f>
        <v>7178503</v>
      </c>
      <c r="D2033" s="2" t="str">
        <f t="shared" si="30"/>
        <v>Error?</v>
      </c>
    </row>
    <row r="2034" spans="1:4" x14ac:dyDescent="0.2">
      <c r="A2034" s="5">
        <v>1973</v>
      </c>
      <c r="B2034" s="138">
        <f>'Cap Outlay Deprec 26'!H10</f>
        <v>461886</v>
      </c>
      <c r="D2034" s="2" t="str">
        <f t="shared" si="30"/>
        <v>Error?</v>
      </c>
    </row>
    <row r="2035" spans="1:4" x14ac:dyDescent="0.2">
      <c r="A2035" s="5">
        <v>1974</v>
      </c>
      <c r="B2035" s="138">
        <f>'Cap Outlay Deprec 26'!H12</f>
        <v>1214171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8854560</v>
      </c>
      <c r="C2037" s="2" t="s">
        <v>573</v>
      </c>
      <c r="D2037" s="2" t="str">
        <f t="shared" si="30"/>
        <v>Error?</v>
      </c>
    </row>
    <row r="2038" spans="1:4" x14ac:dyDescent="0.2">
      <c r="A2038" s="10">
        <v>1977</v>
      </c>
      <c r="D2038" s="2" t="str">
        <f t="shared" si="30"/>
        <v>OK</v>
      </c>
    </row>
    <row r="2039" spans="1:4" x14ac:dyDescent="0.2">
      <c r="A2039" s="5">
        <v>1978</v>
      </c>
      <c r="B2039" s="138">
        <f>'Cap Outlay Deprec 26'!I8</f>
        <v>261380</v>
      </c>
      <c r="D2039" s="2" t="str">
        <f t="shared" si="30"/>
        <v>Error?</v>
      </c>
    </row>
    <row r="2040" spans="1:4" x14ac:dyDescent="0.2">
      <c r="A2040" s="5">
        <v>1979</v>
      </c>
      <c r="B2040" s="138">
        <f>'Cap Outlay Deprec 26'!I10</f>
        <v>30357</v>
      </c>
      <c r="D2040" s="2" t="str">
        <f t="shared" si="30"/>
        <v>Error?</v>
      </c>
    </row>
    <row r="2041" spans="1:4" x14ac:dyDescent="0.2">
      <c r="A2041" s="5">
        <v>1980</v>
      </c>
      <c r="B2041" s="138">
        <f>'Cap Outlay Deprec 26'!I12</f>
        <v>37349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329086</v>
      </c>
      <c r="C2043" s="2" t="s">
        <v>573</v>
      </c>
      <c r="D2043" s="2" t="str">
        <f t="shared" si="30"/>
        <v>Error?</v>
      </c>
    </row>
    <row r="2044" spans="1:4" x14ac:dyDescent="0.2">
      <c r="A2044" s="10">
        <v>1983</v>
      </c>
      <c r="D2044" s="2" t="str">
        <f t="shared" si="30"/>
        <v>OK</v>
      </c>
    </row>
    <row r="2045" spans="1:4" x14ac:dyDescent="0.2">
      <c r="A2045" s="5">
        <v>1984</v>
      </c>
      <c r="B2045" s="138">
        <f>'Cap Outlay Deprec 26'!J8</f>
        <v>260368</v>
      </c>
      <c r="D2045" s="2" t="str">
        <f t="shared" si="30"/>
        <v>Error?</v>
      </c>
    </row>
    <row r="2046" spans="1:4" x14ac:dyDescent="0.2">
      <c r="A2046" s="5">
        <v>1985</v>
      </c>
      <c r="B2046" s="138">
        <f>'Cap Outlay Deprec 26'!J10</f>
        <v>63028</v>
      </c>
      <c r="D2046" s="2" t="str">
        <f t="shared" si="30"/>
        <v>Error?</v>
      </c>
    </row>
    <row r="2047" spans="1:4" x14ac:dyDescent="0.2">
      <c r="A2047" s="5">
        <v>1986</v>
      </c>
      <c r="B2047" s="138">
        <f>'Cap Outlay Deprec 26'!J12</f>
        <v>715508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1038904</v>
      </c>
      <c r="C2049" s="2" t="s">
        <v>573</v>
      </c>
      <c r="D2049" s="2" t="str">
        <f t="shared" si="31"/>
        <v>Error?</v>
      </c>
    </row>
    <row r="2050" spans="1:4" x14ac:dyDescent="0.2">
      <c r="A2050" s="10">
        <v>1989</v>
      </c>
      <c r="D2050" s="2" t="str">
        <f t="shared" si="31"/>
        <v>OK</v>
      </c>
    </row>
    <row r="2051" spans="1:4" x14ac:dyDescent="0.2">
      <c r="A2051" s="5">
        <v>1990</v>
      </c>
      <c r="B2051" s="138">
        <f>'Cap Outlay Deprec 26'!K8</f>
        <v>7179515</v>
      </c>
      <c r="C2051" s="2" t="s">
        <v>573</v>
      </c>
      <c r="D2051" s="2" t="str">
        <f t="shared" si="31"/>
        <v>Error?</v>
      </c>
    </row>
    <row r="2052" spans="1:4" x14ac:dyDescent="0.2">
      <c r="A2052" s="5">
        <v>1991</v>
      </c>
      <c r="B2052" s="138">
        <f>'Cap Outlay Deprec 26'!K10</f>
        <v>429215</v>
      </c>
      <c r="C2052" s="2" t="s">
        <v>573</v>
      </c>
      <c r="D2052" s="2" t="str">
        <f t="shared" si="31"/>
        <v>Error?</v>
      </c>
    </row>
    <row r="2053" spans="1:4" x14ac:dyDescent="0.2">
      <c r="A2053" s="5">
        <v>1992</v>
      </c>
      <c r="B2053" s="138">
        <f>'Cap Outlay Deprec 26'!K12</f>
        <v>536012</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8144742</v>
      </c>
      <c r="C2055" s="2" t="s">
        <v>573</v>
      </c>
      <c r="D2055" s="2" t="str">
        <f t="shared" si="31"/>
        <v>Error?</v>
      </c>
    </row>
    <row r="2056" spans="1:4" x14ac:dyDescent="0.2">
      <c r="A2056" s="5">
        <v>1995</v>
      </c>
      <c r="B2056" s="138">
        <f>'Cap Outlay Deprec 26'!L5</f>
        <v>3873232</v>
      </c>
      <c r="C2056" s="2" t="s">
        <v>573</v>
      </c>
      <c r="D2056" s="2" t="str">
        <f t="shared" si="31"/>
        <v>Error?</v>
      </c>
    </row>
    <row r="2057" spans="1:4" x14ac:dyDescent="0.2">
      <c r="A2057" s="5">
        <v>1996</v>
      </c>
      <c r="B2057" s="138">
        <f>'Cap Outlay Deprec 26'!L8</f>
        <v>4204312</v>
      </c>
      <c r="C2057" s="2" t="s">
        <v>573</v>
      </c>
      <c r="D2057" s="2" t="str">
        <f t="shared" si="31"/>
        <v>Error?</v>
      </c>
    </row>
    <row r="2058" spans="1:4" x14ac:dyDescent="0.2">
      <c r="A2058" s="5">
        <v>1997</v>
      </c>
      <c r="B2058" s="138">
        <f>'Cap Outlay Deprec 26'!L10</f>
        <v>320278</v>
      </c>
      <c r="C2058" s="2" t="s">
        <v>573</v>
      </c>
      <c r="D2058" s="2" t="str">
        <f t="shared" si="31"/>
        <v>Error?</v>
      </c>
    </row>
    <row r="2059" spans="1:4" x14ac:dyDescent="0.2">
      <c r="A2059" s="5">
        <v>1998</v>
      </c>
      <c r="B2059" s="138">
        <f>'Cap Outlay Deprec 26'!L12</f>
        <v>537097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9463979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217230</v>
      </c>
      <c r="C2089" s="2" t="s">
        <v>573</v>
      </c>
      <c r="D2089" s="2" t="str">
        <f t="shared" si="31"/>
        <v>Error?</v>
      </c>
    </row>
    <row r="2090" spans="1:4" x14ac:dyDescent="0.2">
      <c r="A2090" s="10">
        <v>2029</v>
      </c>
      <c r="D2090" s="2" t="str">
        <f t="shared" si="31"/>
        <v>OK</v>
      </c>
    </row>
    <row r="2091" spans="1:4" x14ac:dyDescent="0.2">
      <c r="A2091" s="5">
        <v>2030</v>
      </c>
      <c r="B2091" s="138">
        <f>'Expenditures 15-22'!H137</f>
        <v>9978</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9978</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163342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8452307</v>
      </c>
      <c r="C2551" s="2" t="s">
        <v>573</v>
      </c>
      <c r="D2551" s="2" t="str">
        <f t="shared" si="38"/>
        <v>Error?</v>
      </c>
    </row>
    <row r="2552" spans="1:4" x14ac:dyDescent="0.2">
      <c r="A2552" s="10">
        <v>2491</v>
      </c>
      <c r="D2552" s="2" t="str">
        <f t="shared" si="38"/>
        <v>OK</v>
      </c>
    </row>
    <row r="2553" spans="1:4" x14ac:dyDescent="0.2">
      <c r="A2553" s="5">
        <v>2492</v>
      </c>
      <c r="B2553" s="138">
        <f>'Acct Summary 7-8'!C6</f>
        <v>461974</v>
      </c>
      <c r="C2553" s="2" t="s">
        <v>573</v>
      </c>
      <c r="D2553" s="2" t="str">
        <f t="shared" si="38"/>
        <v>Error?</v>
      </c>
    </row>
    <row r="2554" spans="1:4" x14ac:dyDescent="0.2">
      <c r="A2554" s="5">
        <v>2493</v>
      </c>
      <c r="B2554" s="138">
        <f>'Acct Summary 7-8'!C7</f>
        <v>314818</v>
      </c>
      <c r="C2554" s="2" t="s">
        <v>573</v>
      </c>
      <c r="D2554" s="2" t="str">
        <f t="shared" si="38"/>
        <v>Error?</v>
      </c>
    </row>
    <row r="2555" spans="1:4" x14ac:dyDescent="0.2">
      <c r="A2555" s="5">
        <v>2494</v>
      </c>
      <c r="B2555" s="138">
        <f>'Acct Summary 7-8'!C8</f>
        <v>9229099</v>
      </c>
      <c r="C2555" s="2" t="s">
        <v>573</v>
      </c>
      <c r="D2555" s="2" t="str">
        <f t="shared" si="38"/>
        <v>Error?</v>
      </c>
    </row>
    <row r="2556" spans="1:4" x14ac:dyDescent="0.2">
      <c r="A2556" s="5">
        <v>2495</v>
      </c>
      <c r="B2556" s="138">
        <f>'Acct Summary 7-8'!C12</f>
        <v>6153253</v>
      </c>
      <c r="C2556" s="2" t="s">
        <v>573</v>
      </c>
      <c r="D2556" s="2" t="str">
        <f t="shared" si="38"/>
        <v>Error?</v>
      </c>
    </row>
    <row r="2557" spans="1:4" x14ac:dyDescent="0.2">
      <c r="A2557" s="5">
        <v>2496</v>
      </c>
      <c r="B2557" s="138">
        <f>'Acct Summary 7-8'!C13</f>
        <v>2450563</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217230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8821046</v>
      </c>
      <c r="C2561" s="2" t="s">
        <v>573</v>
      </c>
      <c r="D2561" s="2" t="str">
        <f t="shared" si="39"/>
        <v>Error?</v>
      </c>
    </row>
    <row r="2562" spans="1:4" x14ac:dyDescent="0.2">
      <c r="A2562" s="5">
        <v>2501</v>
      </c>
      <c r="B2562" s="138">
        <f>'Acct Summary 7-8'!C20</f>
        <v>408053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1311458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1311458</v>
      </c>
      <c r="C2568" s="2" t="s">
        <v>573</v>
      </c>
      <c r="D2568" s="2" t="str">
        <f t="shared" si="39"/>
        <v>Error?</v>
      </c>
    </row>
    <row r="2569" spans="1:4" x14ac:dyDescent="0.2">
      <c r="A2569" s="5">
        <v>2508</v>
      </c>
      <c r="B2569" s="138">
        <f>'Acct Summary 7-8'!D13</f>
        <v>1205490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9978</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1215468</v>
      </c>
      <c r="C2573" s="2" t="s">
        <v>573</v>
      </c>
      <c r="D2573" s="2" t="str">
        <f t="shared" si="39"/>
        <v>Error?</v>
      </c>
    </row>
    <row r="2574" spans="1:4" x14ac:dyDescent="0.2">
      <c r="A2574" s="5">
        <v>2513</v>
      </c>
      <c r="B2574" s="138">
        <f>'Acct Summary 7-8'!D20</f>
        <v>95990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680824</v>
      </c>
      <c r="C2591" s="2" t="s">
        <v>573</v>
      </c>
      <c r="D2591" s="2" t="str">
        <f t="shared" si="39"/>
        <v>Error?</v>
      </c>
    </row>
    <row r="2592" spans="1:4" x14ac:dyDescent="0.2">
      <c r="A2592" s="10">
        <v>2531</v>
      </c>
      <c r="D2592" s="2" t="str">
        <f t="shared" si="39"/>
        <v>OK</v>
      </c>
    </row>
    <row r="2593" spans="1:4" x14ac:dyDescent="0.2">
      <c r="A2593" s="5">
        <v>2532</v>
      </c>
      <c r="B2593" s="138">
        <f>'Acct Summary 7-8'!F6</f>
        <v>133148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813972</v>
      </c>
      <c r="C2595" s="2" t="s">
        <v>573</v>
      </c>
      <c r="D2595" s="2" t="str">
        <f t="shared" si="39"/>
        <v>Error?</v>
      </c>
    </row>
    <row r="2596" spans="1:4" x14ac:dyDescent="0.2">
      <c r="A2596" s="5">
        <v>2535</v>
      </c>
      <c r="B2596" s="138">
        <f>'Acct Summary 7-8'!F13</f>
        <v>525340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525340</v>
      </c>
      <c r="C2600" s="2" t="s">
        <v>573</v>
      </c>
      <c r="D2600" s="2" t="str">
        <f t="shared" si="39"/>
        <v>Error?</v>
      </c>
    </row>
    <row r="2601" spans="1:4" x14ac:dyDescent="0.2">
      <c r="A2601" s="5">
        <v>2540</v>
      </c>
      <c r="B2601" s="138">
        <f>'Acct Summary 7-8'!F20</f>
        <v>288632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373055</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373055</v>
      </c>
      <c r="C2606" s="2" t="s">
        <v>573</v>
      </c>
      <c r="D2606" s="2" t="str">
        <f t="shared" si="39"/>
        <v>Error?</v>
      </c>
    </row>
    <row r="2607" spans="1:4" x14ac:dyDescent="0.2">
      <c r="A2607" s="5">
        <v>2546</v>
      </c>
      <c r="B2607" s="138">
        <f>'Acct Summary 7-8'!G12</f>
        <v>120807</v>
      </c>
      <c r="C2607" s="2" t="s">
        <v>573</v>
      </c>
      <c r="D2607" s="2" t="str">
        <f t="shared" si="39"/>
        <v>Error?</v>
      </c>
    </row>
    <row r="2608" spans="1:4" x14ac:dyDescent="0.2">
      <c r="A2608" s="5">
        <v>2547</v>
      </c>
      <c r="B2608" s="138">
        <f>'Acct Summary 7-8'!G13</f>
        <v>205113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325920</v>
      </c>
      <c r="C2612" s="2" t="s">
        <v>573</v>
      </c>
      <c r="D2612" s="2" t="str">
        <f t="shared" si="39"/>
        <v>Error?</v>
      </c>
    </row>
    <row r="2613" spans="1:4" x14ac:dyDescent="0.2">
      <c r="A2613" s="5">
        <v>2552</v>
      </c>
      <c r="B2613" s="138">
        <f>'Acct Summary 7-8'!G20</f>
        <v>47135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33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612313</v>
      </c>
      <c r="C2634" s="2" t="s">
        <v>573</v>
      </c>
      <c r="D2634" s="2" t="str">
        <f t="shared" si="40"/>
        <v>Error?</v>
      </c>
    </row>
    <row r="2635" spans="1:4" x14ac:dyDescent="0.2">
      <c r="A2635" s="5">
        <v>2574</v>
      </c>
      <c r="B2635" s="138">
        <f>'Acct Summary 7-8'!E17</f>
        <v>612313</v>
      </c>
      <c r="C2635" s="2" t="s">
        <v>573</v>
      </c>
      <c r="D2635" s="2" t="str">
        <f t="shared" si="40"/>
        <v>Error?</v>
      </c>
    </row>
    <row r="2636" spans="1:4" x14ac:dyDescent="0.2">
      <c r="A2636" s="5">
        <v>2575</v>
      </c>
      <c r="B2636" s="138">
        <f>'Acct Summary 7-8'!E20</f>
        <v>-612280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2169</v>
      </c>
      <c r="C2655" s="2" t="s">
        <v>573</v>
      </c>
      <c r="D2655" s="2" t="str">
        <f t="shared" si="40"/>
        <v>Error?</v>
      </c>
    </row>
    <row r="2656" spans="1:4" x14ac:dyDescent="0.2">
      <c r="A2656" s="5">
        <v>2595</v>
      </c>
      <c r="B2656" s="138">
        <f>'Acct Summary 7-8'!H6</f>
        <v>259949</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262118</v>
      </c>
      <c r="C2658" s="2" t="s">
        <v>573</v>
      </c>
      <c r="D2658" s="2" t="str">
        <f t="shared" si="40"/>
        <v>Error?</v>
      </c>
    </row>
    <row r="2659" spans="1:4" x14ac:dyDescent="0.2">
      <c r="A2659" s="5">
        <v>2598</v>
      </c>
      <c r="B2659" s="138">
        <f>'Acct Summary 7-8'!H13</f>
        <v>522329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522329</v>
      </c>
      <c r="C2661" s="2" t="s">
        <v>573</v>
      </c>
      <c r="D2661" s="2" t="str">
        <f t="shared" si="40"/>
        <v>Error?</v>
      </c>
    </row>
    <row r="2662" spans="1:4" x14ac:dyDescent="0.2">
      <c r="A2662" s="5">
        <v>2601</v>
      </c>
      <c r="B2662" s="138">
        <f>'Acct Summary 7-8'!H20</f>
        <v>-260211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125219</v>
      </c>
      <c r="D2718" s="2" t="str">
        <f t="shared" si="41"/>
        <v>Error?</v>
      </c>
    </row>
    <row r="2719" spans="1:4" x14ac:dyDescent="0.2">
      <c r="A2719" s="5">
        <v>2658</v>
      </c>
      <c r="B2719" s="138">
        <f>'Expenditures 15-22'!D51</f>
        <v>61463</v>
      </c>
      <c r="D2719" s="2" t="str">
        <f t="shared" si="41"/>
        <v>Error?</v>
      </c>
    </row>
    <row r="2720" spans="1:4" x14ac:dyDescent="0.2">
      <c r="A2720" s="5">
        <v>2659</v>
      </c>
      <c r="B2720" s="138">
        <f>'Expenditures 15-22'!E51</f>
        <v>1091</v>
      </c>
      <c r="D2720" s="2" t="str">
        <f t="shared" si="41"/>
        <v>Error?</v>
      </c>
    </row>
    <row r="2721" spans="1:4" x14ac:dyDescent="0.2">
      <c r="A2721" s="5">
        <v>2660</v>
      </c>
      <c r="B2721" s="138">
        <f>'Expenditures 15-22'!F51</f>
        <v>228</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180</v>
      </c>
      <c r="D2723" s="2" t="str">
        <f t="shared" si="41"/>
        <v>Error?</v>
      </c>
    </row>
    <row r="2724" spans="1:4" x14ac:dyDescent="0.2">
      <c r="A2724" s="5">
        <v>2663</v>
      </c>
      <c r="B2724" s="138">
        <f>'Expenditures 15-22'!K51</f>
        <v>188181</v>
      </c>
      <c r="C2724" s="2" t="s">
        <v>573</v>
      </c>
      <c r="D2724" s="2" t="str">
        <f t="shared" si="41"/>
        <v>Error?</v>
      </c>
    </row>
    <row r="2725" spans="1:4" x14ac:dyDescent="0.2">
      <c r="A2725" s="5">
        <v>2664</v>
      </c>
      <c r="B2725" s="138">
        <f>'Expenditures 15-22'!D247</f>
        <v>6712</v>
      </c>
      <c r="D2725" s="2" t="str">
        <f t="shared" si="41"/>
        <v>Error?</v>
      </c>
    </row>
    <row r="2726" spans="1:4" x14ac:dyDescent="0.2">
      <c r="A2726" s="5">
        <v>2665</v>
      </c>
      <c r="B2726" s="138">
        <f>'Expenditures 15-22'!K247</f>
        <v>6712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529060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368384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30423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368384</v>
      </c>
      <c r="D2912" s="2" t="str">
        <f t="shared" si="44"/>
        <v>Error?</v>
      </c>
    </row>
    <row r="2913" spans="1:4" x14ac:dyDescent="0.2">
      <c r="A2913" s="5">
        <v>2852</v>
      </c>
      <c r="B2913" s="138">
        <f>'Assets-Liab 5-6'!I41</f>
        <v>368384</v>
      </c>
      <c r="C2913" s="2" t="s">
        <v>573</v>
      </c>
      <c r="D2913" s="2" t="str">
        <f t="shared" si="44"/>
        <v>Error?</v>
      </c>
    </row>
    <row r="2914" spans="1:4" x14ac:dyDescent="0.2">
      <c r="A2914" s="5">
        <v>2853</v>
      </c>
      <c r="B2914" s="138">
        <f>'Assets-Liab 5-6'!L33</f>
        <v>30423</v>
      </c>
      <c r="D2914" s="2" t="str">
        <f t="shared" si="44"/>
        <v>Error?</v>
      </c>
    </row>
    <row r="2915" spans="1:4" x14ac:dyDescent="0.2">
      <c r="A2915" s="10">
        <v>2854</v>
      </c>
      <c r="D2915" s="2" t="str">
        <f t="shared" si="44"/>
        <v>OK</v>
      </c>
    </row>
    <row r="2916" spans="1:4" x14ac:dyDescent="0.2">
      <c r="A2916" s="5">
        <v>2855</v>
      </c>
      <c r="B2916" s="138">
        <f>'Assets-Liab 5-6'!L34</f>
        <v>30423</v>
      </c>
      <c r="C2916" s="2" t="s">
        <v>573</v>
      </c>
      <c r="D2916" s="2" t="str">
        <f t="shared" si="44"/>
        <v>Error?</v>
      </c>
    </row>
    <row r="2917" spans="1:4" x14ac:dyDescent="0.2">
      <c r="A2917" s="5">
        <v>2856</v>
      </c>
      <c r="B2917" s="138">
        <f>'Assets-Liab 5-6'!L41</f>
        <v>30423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9978</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9978</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334975</v>
      </c>
      <c r="D3055" s="2" t="str">
        <f t="shared" si="46"/>
        <v>Error?</v>
      </c>
    </row>
    <row r="3056" spans="1:4" x14ac:dyDescent="0.2">
      <c r="A3056" s="5">
        <v>2995</v>
      </c>
      <c r="B3056" s="138">
        <f>'Expenditures 15-22'!D10</f>
        <v>133861</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4920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473756</v>
      </c>
      <c r="C3062" s="2" t="s">
        <v>573</v>
      </c>
      <c r="D3062" s="2" t="str">
        <f t="shared" si="46"/>
        <v>Error?</v>
      </c>
    </row>
    <row r="3063" spans="1:4" x14ac:dyDescent="0.2">
      <c r="A3063" s="10">
        <v>3002</v>
      </c>
      <c r="D3063" s="2" t="str">
        <f t="shared" si="46"/>
        <v>OK</v>
      </c>
    </row>
    <row r="3064" spans="1:4" x14ac:dyDescent="0.2">
      <c r="A3064" s="5">
        <v>3003</v>
      </c>
      <c r="B3064" s="138">
        <f>'Expenditures 15-22'!D219</f>
        <v>4261</v>
      </c>
      <c r="D3064" s="2" t="str">
        <f t="shared" si="46"/>
        <v>Error?</v>
      </c>
    </row>
    <row r="3065" spans="1:4" x14ac:dyDescent="0.2">
      <c r="A3065" s="5">
        <v>3004</v>
      </c>
      <c r="B3065" s="138">
        <f>'Expenditures 15-22'!K219</f>
        <v>4261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63283</v>
      </c>
      <c r="C3225" s="2" t="s">
        <v>573</v>
      </c>
      <c r="D3225" s="2" t="str">
        <f t="shared" si="49"/>
        <v>Error?</v>
      </c>
    </row>
    <row r="3226" spans="1:4" x14ac:dyDescent="0.2">
      <c r="A3226" s="5">
        <v>3165</v>
      </c>
      <c r="B3226" s="138">
        <f>'Acct Summary 7-8'!I8</f>
        <v>63283</v>
      </c>
      <c r="C3226" s="2" t="s">
        <v>573</v>
      </c>
      <c r="D3226" s="2" t="str">
        <f t="shared" si="49"/>
        <v>Error?</v>
      </c>
    </row>
    <row r="3227" spans="1:4" x14ac:dyDescent="0.2">
      <c r="A3227" s="5">
        <v>3166</v>
      </c>
      <c r="B3227" s="138">
        <f>'Acct Summary 7-8'!I20</f>
        <v>63283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300000</v>
      </c>
      <c r="C3229" s="2" t="s">
        <v>573</v>
      </c>
      <c r="D3229" s="2" t="str">
        <f t="shared" si="49"/>
        <v>Error?</v>
      </c>
    </row>
    <row r="3230" spans="1:4" x14ac:dyDescent="0.2">
      <c r="A3230" s="5">
        <v>3169</v>
      </c>
      <c r="B3230" s="138">
        <f>'Acct Summary 7-8'!C75</f>
        <v>2475</v>
      </c>
      <c r="D3230" s="2" t="str">
        <f t="shared" si="49"/>
        <v>Error?</v>
      </c>
    </row>
    <row r="3231" spans="1:4" x14ac:dyDescent="0.2">
      <c r="A3231" s="5">
        <v>3170</v>
      </c>
      <c r="B3231" s="138">
        <f>'Acct Summary 7-8'!C76</f>
        <v>835362</v>
      </c>
      <c r="C3231" s="2" t="s">
        <v>573</v>
      </c>
      <c r="D3231" s="2" t="str">
        <f t="shared" si="49"/>
        <v>Error?</v>
      </c>
    </row>
    <row r="3232" spans="1:4" x14ac:dyDescent="0.2">
      <c r="A3232" s="5">
        <v>3171</v>
      </c>
      <c r="B3232" s="138">
        <f>'Acct Summary 7-8'!C77</f>
        <v>-535362</v>
      </c>
      <c r="C3232" s="2" t="s">
        <v>573</v>
      </c>
      <c r="D3232" s="2" t="str">
        <f t="shared" si="49"/>
        <v>Error?</v>
      </c>
    </row>
    <row r="3233" spans="1:4" x14ac:dyDescent="0.2">
      <c r="A3233" s="5">
        <v>3172</v>
      </c>
      <c r="B3233" s="138">
        <f>'Acct Summary 7-8'!C78</f>
        <v>-127309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95990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300000</v>
      </c>
      <c r="C3254" s="2" t="s">
        <v>573</v>
      </c>
      <c r="D3254" s="2" t="str">
        <f t="shared" si="49"/>
        <v>Error?</v>
      </c>
    </row>
    <row r="3255" spans="1:4" x14ac:dyDescent="0.2">
      <c r="A3255" s="5">
        <v>3194</v>
      </c>
      <c r="B3255" s="138">
        <f>'Acct Summary 7-8'!F77</f>
        <v>-300000</v>
      </c>
      <c r="C3255" s="2" t="s">
        <v>573</v>
      </c>
      <c r="D3255" s="2" t="str">
        <f t="shared" si="49"/>
        <v>Error?</v>
      </c>
    </row>
    <row r="3256" spans="1:4" x14ac:dyDescent="0.2">
      <c r="A3256" s="5">
        <v>3195</v>
      </c>
      <c r="B3256" s="138">
        <f>'Acct Summary 7-8'!F78</f>
        <v>-11368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47135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2475</v>
      </c>
      <c r="D3273" s="2" t="str">
        <f t="shared" si="50"/>
        <v>Error?</v>
      </c>
    </row>
    <row r="3274" spans="1:4" x14ac:dyDescent="0.2">
      <c r="A3274" s="5">
        <v>3213</v>
      </c>
      <c r="B3274" s="138">
        <f>'Acct Summary 7-8'!E44</f>
        <v>612313</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612313</v>
      </c>
      <c r="C3277" s="2" t="s">
        <v>573</v>
      </c>
      <c r="D3277" s="2" t="str">
        <f t="shared" si="50"/>
        <v>Error?</v>
      </c>
    </row>
    <row r="3278" spans="1:4" x14ac:dyDescent="0.2">
      <c r="A3278" s="5">
        <v>3217</v>
      </c>
      <c r="B3278" s="138">
        <f>'Acct Summary 7-8'!E78</f>
        <v>33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223049</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223049</v>
      </c>
      <c r="C3299" s="2" t="s">
        <v>573</v>
      </c>
      <c r="D3299" s="2" t="str">
        <f t="shared" si="50"/>
        <v>Error?</v>
      </c>
    </row>
    <row r="3300" spans="1:4" x14ac:dyDescent="0.2">
      <c r="A3300" s="5">
        <v>3239</v>
      </c>
      <c r="B3300" s="138">
        <f>'Acct Summary 7-8'!H78</f>
        <v>-37162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63283</v>
      </c>
      <c r="C3320" s="2" t="s">
        <v>573</v>
      </c>
      <c r="D3320" s="2" t="str">
        <f t="shared" si="50"/>
        <v>Error?</v>
      </c>
    </row>
    <row r="3321" spans="1:4" x14ac:dyDescent="0.2">
      <c r="A3321" s="5">
        <v>3260</v>
      </c>
      <c r="B3321" s="138">
        <f>'Acct Summary 7-8'!I79</f>
        <v>305101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368384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855559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287403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148537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15362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1306861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40682</v>
      </c>
      <c r="D3387" s="2" t="str">
        <f t="shared" si="51"/>
        <v>Error?</v>
      </c>
    </row>
    <row r="3388" spans="1:4" x14ac:dyDescent="0.2">
      <c r="A3388" s="5">
        <v>3327</v>
      </c>
      <c r="B3388" s="138">
        <f>'Expenditures 15-22'!D217</f>
        <v>61222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40682</v>
      </c>
      <c r="C3390" s="2" t="s">
        <v>573</v>
      </c>
      <c r="D3390" s="2" t="str">
        <f t="shared" si="51"/>
        <v>Error?</v>
      </c>
    </row>
    <row r="3391" spans="1:4" x14ac:dyDescent="0.2">
      <c r="A3391" s="5">
        <v>3330</v>
      </c>
      <c r="B3391" s="138">
        <f>'Expenditures 15-22'!K217</f>
        <v>61222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2857515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797345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2182</v>
      </c>
      <c r="D3417" s="2" t="str">
        <f t="shared" si="52"/>
        <v>Error?</v>
      </c>
    </row>
    <row r="3418" spans="1:4" x14ac:dyDescent="0.2">
      <c r="A3418" s="10">
        <v>3357</v>
      </c>
      <c r="D3418" s="2" t="str">
        <f t="shared" si="52"/>
        <v>OK</v>
      </c>
    </row>
    <row r="3419" spans="1:4" x14ac:dyDescent="0.2">
      <c r="A3419" s="5">
        <v>3358</v>
      </c>
      <c r="B3419" s="138">
        <f>'Assets-Liab 5-6'!F4</f>
        <v>1065976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274008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105154</v>
      </c>
      <c r="D3425" s="2" t="str">
        <f t="shared" si="52"/>
        <v>Error?</v>
      </c>
    </row>
    <row r="3426" spans="1:4" x14ac:dyDescent="0.2">
      <c r="A3426" s="10">
        <v>3365</v>
      </c>
      <c r="D3426" s="2" t="str">
        <f t="shared" si="52"/>
        <v>OK</v>
      </c>
    </row>
    <row r="3427" spans="1:4" x14ac:dyDescent="0.2">
      <c r="A3427" s="5">
        <v>3366</v>
      </c>
      <c r="B3427" s="138">
        <f>'Assets-Liab 5-6'!I4</f>
        <v>368384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30423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205645</v>
      </c>
      <c r="C3446" s="2" t="s">
        <v>573</v>
      </c>
      <c r="D3446" s="2" t="str">
        <f t="shared" si="52"/>
        <v>Error?</v>
      </c>
    </row>
    <row r="3447" spans="1:4" x14ac:dyDescent="0.2">
      <c r="A3447" s="5">
        <v>3386</v>
      </c>
      <c r="B3447" s="138">
        <f>'Tax Sched 23'!D16</f>
        <v>95311</v>
      </c>
      <c r="C3447" s="2" t="s">
        <v>573</v>
      </c>
      <c r="D3447" s="2" t="str">
        <f t="shared" si="52"/>
        <v>Error?</v>
      </c>
    </row>
    <row r="3448" spans="1:4" x14ac:dyDescent="0.2">
      <c r="A3448" s="5">
        <v>3387</v>
      </c>
      <c r="B3448" s="138">
        <f>'Tax Sched 23'!C16</f>
        <v>110334</v>
      </c>
      <c r="D3448" s="2" t="str">
        <f t="shared" si="52"/>
        <v>Error?</v>
      </c>
    </row>
    <row r="3449" spans="1:4" x14ac:dyDescent="0.2">
      <c r="A3449" s="5">
        <v>3388</v>
      </c>
      <c r="B3449" s="138">
        <f>'Tax Sched 23'!F16</f>
        <v>105950</v>
      </c>
      <c r="C3449" s="2" t="s">
        <v>573</v>
      </c>
      <c r="D3449" s="2" t="str">
        <f t="shared" si="52"/>
        <v>Error?</v>
      </c>
    </row>
    <row r="3450" spans="1:4" x14ac:dyDescent="0.2">
      <c r="A3450" s="5">
        <v>3389</v>
      </c>
      <c r="B3450" s="138">
        <f>'Tax Sched 23'!E16</f>
        <v>216284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529060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529060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529060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417331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417331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417331</v>
      </c>
      <c r="D3567" s="2" t="str">
        <f t="shared" si="54"/>
        <v>Error?</v>
      </c>
    </row>
    <row r="3568" spans="1:4" x14ac:dyDescent="0.2">
      <c r="A3568" s="5">
        <v>3507</v>
      </c>
      <c r="B3568" s="138">
        <f>'Assets-Liab 5-6'!K41</f>
        <v>417331</v>
      </c>
      <c r="C3568" s="2" t="s">
        <v>573</v>
      </c>
      <c r="D3568" s="2" t="str">
        <f t="shared" si="54"/>
        <v>Error?</v>
      </c>
    </row>
    <row r="3569" spans="1:4" x14ac:dyDescent="0.2">
      <c r="A3569" s="5">
        <v>3508</v>
      </c>
      <c r="B3569" s="138">
        <f>'Acct Summary 7-8'!K4</f>
        <v>228123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228123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228123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228123</v>
      </c>
      <c r="C3588" s="2" t="s">
        <v>573</v>
      </c>
      <c r="D3588" s="2" t="str">
        <f t="shared" si="55"/>
        <v>Error?</v>
      </c>
    </row>
    <row r="3589" spans="1:4" x14ac:dyDescent="0.2">
      <c r="A3589" s="5">
        <v>3528</v>
      </c>
      <c r="B3589" s="138">
        <f>'Acct Summary 7-8'!K79</f>
        <v>189208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417331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228123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46258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3640945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12870044</v>
      </c>
      <c r="C4122" s="2" t="s">
        <v>573</v>
      </c>
      <c r="D4122" s="2" t="str">
        <f t="shared" si="63"/>
        <v>Error?</v>
      </c>
    </row>
    <row r="4123" spans="1:4" x14ac:dyDescent="0.2">
      <c r="A4123" s="5">
        <v>4062</v>
      </c>
      <c r="B4123" s="138">
        <f>'Acct Summary 7-8'!D10</f>
        <v>1311458</v>
      </c>
      <c r="C4123" s="2" t="s">
        <v>573</v>
      </c>
      <c r="D4123" s="2" t="str">
        <f t="shared" si="63"/>
        <v>Error?</v>
      </c>
    </row>
    <row r="4124" spans="1:4" x14ac:dyDescent="0.2">
      <c r="A4124" s="5">
        <v>4063</v>
      </c>
      <c r="B4124" s="138">
        <f>'Acct Summary 7-8'!E10</f>
        <v>33</v>
      </c>
      <c r="C4124" s="2" t="s">
        <v>573</v>
      </c>
      <c r="D4124" s="2" t="str">
        <f t="shared" si="63"/>
        <v>Error?</v>
      </c>
    </row>
    <row r="4125" spans="1:4" x14ac:dyDescent="0.2">
      <c r="A4125" s="5">
        <v>4064</v>
      </c>
      <c r="B4125" s="138">
        <f>'Acct Summary 7-8'!F10</f>
        <v>813972</v>
      </c>
      <c r="C4125" s="2" t="s">
        <v>573</v>
      </c>
      <c r="D4125" s="2" t="str">
        <f t="shared" si="63"/>
        <v>Error?</v>
      </c>
    </row>
    <row r="4126" spans="1:4" x14ac:dyDescent="0.2">
      <c r="A4126" s="5">
        <v>4065</v>
      </c>
      <c r="B4126" s="138">
        <f>'Acct Summary 7-8'!G10</f>
        <v>373055</v>
      </c>
      <c r="C4126" s="2" t="s">
        <v>573</v>
      </c>
      <c r="D4126" s="2" t="str">
        <f t="shared" si="63"/>
        <v>Error?</v>
      </c>
    </row>
    <row r="4127" spans="1:4" x14ac:dyDescent="0.2">
      <c r="A4127" s="5">
        <v>4066</v>
      </c>
      <c r="B4127" s="138">
        <f>'Acct Summary 7-8'!H10</f>
        <v>262118</v>
      </c>
      <c r="C4127" s="2" t="s">
        <v>573</v>
      </c>
      <c r="D4127" s="2" t="str">
        <f t="shared" si="63"/>
        <v>Error?</v>
      </c>
    </row>
    <row r="4128" spans="1:4" x14ac:dyDescent="0.2">
      <c r="A4128" s="5">
        <v>4067</v>
      </c>
      <c r="B4128" s="138">
        <f>'Acct Summary 7-8'!I10</f>
        <v>63283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228123</v>
      </c>
      <c r="C4130" s="2" t="s">
        <v>573</v>
      </c>
      <c r="D4130" s="2" t="str">
        <f t="shared" si="63"/>
        <v>Error?</v>
      </c>
    </row>
    <row r="4131" spans="1:4" x14ac:dyDescent="0.2">
      <c r="A4131" s="5">
        <v>4070</v>
      </c>
      <c r="B4131" s="138">
        <f>'Acct Summary 7-8'!C18</f>
        <v>3640945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12461991</v>
      </c>
      <c r="C4136" s="2" t="s">
        <v>573</v>
      </c>
      <c r="D4136" s="2" t="str">
        <f t="shared" si="63"/>
        <v>Error?</v>
      </c>
    </row>
    <row r="4137" spans="1:4" x14ac:dyDescent="0.2">
      <c r="A4137" s="5">
        <v>4076</v>
      </c>
      <c r="B4137" s="138">
        <f>'Acct Summary 7-8'!D19</f>
        <v>1215468</v>
      </c>
      <c r="C4137" s="2" t="s">
        <v>573</v>
      </c>
      <c r="D4137" s="2" t="str">
        <f t="shared" si="63"/>
        <v>Error?</v>
      </c>
    </row>
    <row r="4138" spans="1:4" x14ac:dyDescent="0.2">
      <c r="A4138" s="5">
        <v>4077</v>
      </c>
      <c r="B4138" s="138">
        <f>'Acct Summary 7-8'!E19</f>
        <v>612313</v>
      </c>
      <c r="C4138" s="2" t="s">
        <v>573</v>
      </c>
      <c r="D4138" s="2" t="str">
        <f t="shared" si="63"/>
        <v>Error?</v>
      </c>
    </row>
    <row r="4139" spans="1:4" x14ac:dyDescent="0.2">
      <c r="A4139" s="5">
        <v>4078</v>
      </c>
      <c r="B4139" s="138">
        <f>'Acct Summary 7-8'!F19</f>
        <v>525340</v>
      </c>
      <c r="C4139" s="2" t="s">
        <v>573</v>
      </c>
      <c r="D4139" s="2" t="str">
        <f t="shared" si="63"/>
        <v>Error?</v>
      </c>
    </row>
    <row r="4140" spans="1:4" x14ac:dyDescent="0.2">
      <c r="A4140" s="5">
        <v>4079</v>
      </c>
      <c r="B4140" s="138">
        <f>'Acct Summary 7-8'!G19</f>
        <v>325920</v>
      </c>
      <c r="C4140" s="2" t="s">
        <v>573</v>
      </c>
      <c r="D4140" s="2" t="str">
        <f t="shared" si="63"/>
        <v>Error?</v>
      </c>
    </row>
    <row r="4141" spans="1:4" x14ac:dyDescent="0.2">
      <c r="A4141" s="5">
        <v>4080</v>
      </c>
      <c r="B4141" s="138">
        <f>'Acct Summary 7-8'!H19</f>
        <v>522329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2330000</v>
      </c>
      <c r="C4171" s="2" t="s">
        <v>573</v>
      </c>
      <c r="D4171" s="2" t="str">
        <f t="shared" si="64"/>
        <v>Error?</v>
      </c>
    </row>
    <row r="4172" spans="1:4" x14ac:dyDescent="0.2">
      <c r="A4172" s="5">
        <v>4111</v>
      </c>
      <c r="B4172" s="138">
        <f>'Short-Term Long-Term Debt 24'!J49</f>
        <v>2327818</v>
      </c>
      <c r="C4172" s="2" t="s">
        <v>573</v>
      </c>
      <c r="D4172" s="2" t="str">
        <f t="shared" si="64"/>
        <v>Error?</v>
      </c>
    </row>
    <row r="4173" spans="1:4" x14ac:dyDescent="0.2">
      <c r="A4173" s="5">
        <v>4112</v>
      </c>
      <c r="B4173" s="138">
        <f>'Short-Term Long-Term Debt 24'!H49</f>
        <v>550000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3068.2999999999997</v>
      </c>
      <c r="C4265" s="2" t="s">
        <v>573</v>
      </c>
      <c r="D4265" s="2" t="str">
        <f t="shared" si="65"/>
        <v>Error?</v>
      </c>
      <c r="E4265" s="128"/>
    </row>
    <row r="4266" spans="1:5" x14ac:dyDescent="0.2">
      <c r="A4266" s="12">
        <v>4205</v>
      </c>
      <c r="B4266" s="138">
        <f>('FP Info 3'!F10)*100000</f>
        <v>546.29999999999995</v>
      </c>
      <c r="C4266" s="2" t="s">
        <v>573</v>
      </c>
      <c r="D4266" s="2" t="str">
        <f t="shared" si="65"/>
        <v>Error?</v>
      </c>
      <c r="E4266" s="128"/>
    </row>
    <row r="4267" spans="1:5" x14ac:dyDescent="0.2">
      <c r="A4267" s="12">
        <v>4206</v>
      </c>
      <c r="B4267" s="138">
        <f>('FP Info 3'!H10)*100000</f>
        <v>289.2</v>
      </c>
      <c r="C4267" s="2" t="s">
        <v>573</v>
      </c>
      <c r="D4267" s="2" t="str">
        <f t="shared" si="65"/>
        <v>Error?</v>
      </c>
      <c r="E4267" s="128"/>
    </row>
    <row r="4268" spans="1:5" x14ac:dyDescent="0.2">
      <c r="A4268" s="12">
        <v>4207</v>
      </c>
      <c r="B4268" s="138">
        <f>('FP Info 3'!J10)*100000</f>
        <v>3904</v>
      </c>
      <c r="C4268" s="2" t="s">
        <v>573</v>
      </c>
      <c r="D4268" s="2" t="str">
        <f t="shared" si="65"/>
        <v>Error?</v>
      </c>
    </row>
    <row r="4269" spans="1:5" x14ac:dyDescent="0.2">
      <c r="A4269" s="12">
        <v>4208</v>
      </c>
      <c r="B4269" s="138">
        <f>'FP Info 3'!J16</f>
        <v>11038153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8814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19309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14575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10646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70864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239326731</v>
      </c>
      <c r="D4995" s="2" t="str">
        <f t="shared" si="77"/>
        <v>Error?</v>
      </c>
    </row>
    <row r="4996" spans="1:4" x14ac:dyDescent="0.2">
      <c r="A4996" s="12">
        <v>4935</v>
      </c>
      <c r="B4996" s="138">
        <f>'FP Info 3'!H31</f>
        <v>16513544.439000001</v>
      </c>
      <c r="D4996" s="2" t="str">
        <f t="shared" si="77"/>
        <v>Error?</v>
      </c>
    </row>
    <row r="4997" spans="1:4" x14ac:dyDescent="0.2">
      <c r="A4997" s="12">
        <v>4936</v>
      </c>
      <c r="B4997" s="138">
        <f>'FP Info 3'!H37</f>
        <v>2330000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300000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300000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7049761</v>
      </c>
      <c r="D5061" s="2" t="str">
        <f t="shared" si="78"/>
        <v>Error?</v>
      </c>
    </row>
    <row r="5062" spans="1:4" x14ac:dyDescent="0.2">
      <c r="A5062" s="10">
        <v>5001</v>
      </c>
      <c r="D5062" s="2" t="str">
        <f t="shared" si="78"/>
        <v>OK</v>
      </c>
    </row>
    <row r="5063" spans="1:4" x14ac:dyDescent="0.2">
      <c r="A5063" s="5">
        <v>5002</v>
      </c>
      <c r="B5063" s="138">
        <f>'Revenues 9-14'!C7</f>
        <v>806764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7856525</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162583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162583</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1380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1380</v>
      </c>
      <c r="C5087" s="2" t="s">
        <v>573</v>
      </c>
      <c r="D5087" s="2" t="str">
        <f t="shared" si="78"/>
        <v>Error?</v>
      </c>
    </row>
    <row r="5088" spans="1:4" x14ac:dyDescent="0.2">
      <c r="A5088" s="5">
        <v>5027</v>
      </c>
      <c r="B5088" s="138">
        <f>'Revenues 9-14'!C65</f>
        <v>138802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138802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18756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v>
      </c>
      <c r="D5094" s="2" t="str">
        <f t="shared" si="78"/>
        <v>Error?</v>
      </c>
    </row>
    <row r="5095" spans="1:4" x14ac:dyDescent="0.2">
      <c r="A5095" s="5">
        <v>5034</v>
      </c>
      <c r="B5095" s="138">
        <f>'Revenues 9-14'!C74</f>
        <v>1450</v>
      </c>
      <c r="D5095" s="2" t="str">
        <f t="shared" si="78"/>
        <v>Error?</v>
      </c>
    </row>
    <row r="5096" spans="1:4" x14ac:dyDescent="0.2">
      <c r="A5096" s="5">
        <v>5035</v>
      </c>
      <c r="B5096" s="138">
        <f>'Revenues 9-14'!C75</f>
        <v>89108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33832</v>
      </c>
      <c r="D5099" s="2" t="str">
        <f t="shared" si="78"/>
        <v>Error?</v>
      </c>
    </row>
    <row r="5100" spans="1:4" x14ac:dyDescent="0.2">
      <c r="A5100" s="5">
        <v>5039</v>
      </c>
      <c r="B5100" s="138">
        <f>'Revenues 9-14'!C80</f>
        <v>230</v>
      </c>
      <c r="D5100" s="2" t="str">
        <f t="shared" si="78"/>
        <v>Error?</v>
      </c>
    </row>
    <row r="5101" spans="1:4" x14ac:dyDescent="0.2">
      <c r="A5101" s="5">
        <v>5040</v>
      </c>
      <c r="B5101" s="138">
        <f>'Revenues 9-14'!C81</f>
        <v>11275</v>
      </c>
      <c r="D5101" s="2" t="str">
        <f t="shared" si="78"/>
        <v>Error?</v>
      </c>
    </row>
    <row r="5102" spans="1:4" x14ac:dyDescent="0.2">
      <c r="A5102" s="5">
        <v>5041</v>
      </c>
      <c r="B5102" s="138">
        <f>'Revenues 9-14'!C82</f>
        <v>45337</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71303</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71303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16405</v>
      </c>
      <c r="D5119" s="2" t="str">
        <f t="shared" ref="D5119:D5182" si="79">IF(ISBLANK(B5119),"OK",IF(A5119-B5119=0,"OK","Error?"))</f>
        <v>Error?</v>
      </c>
    </row>
    <row r="5120" spans="1:4" x14ac:dyDescent="0.2">
      <c r="A5120" s="5">
        <v>5059</v>
      </c>
      <c r="B5120" s="138">
        <f>'Revenues 9-14'!C108</f>
        <v>87269</v>
      </c>
      <c r="C5120" s="2" t="s">
        <v>573</v>
      </c>
      <c r="D5120" s="2" t="str">
        <f t="shared" si="79"/>
        <v>Error?</v>
      </c>
    </row>
    <row r="5121" spans="1:4" x14ac:dyDescent="0.2">
      <c r="A5121" s="5">
        <v>5060</v>
      </c>
      <c r="B5121" s="138">
        <f>'Revenues 9-14'!C109</f>
        <v>8452307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454930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454930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3725</v>
      </c>
      <c r="D5134" s="2" t="str">
        <f t="shared" si="79"/>
        <v>Error?</v>
      </c>
    </row>
    <row r="5135" spans="1:4" x14ac:dyDescent="0.2">
      <c r="A5135" s="5">
        <v>5074</v>
      </c>
      <c r="B5135" s="138">
        <f>'Revenues 9-14'!C127</f>
        <v>1922</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5647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647</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7044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461974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46258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46258</v>
      </c>
      <c r="C5246" s="2" t="s">
        <v>573</v>
      </c>
      <c r="D5246" s="2" t="str">
        <f t="shared" si="80"/>
        <v>Error?</v>
      </c>
    </row>
    <row r="5247" spans="1:4" x14ac:dyDescent="0.2">
      <c r="A5247" s="5">
        <v>5186</v>
      </c>
      <c r="B5247" s="138">
        <f>'Revenues 9-14'!C200</f>
        <v>52451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14575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52451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7344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155421</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162765</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314818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314818</v>
      </c>
      <c r="C5326" s="2" t="s">
        <v>573</v>
      </c>
      <c r="D5326" s="2" t="str">
        <f t="shared" si="82"/>
        <v>Error?</v>
      </c>
    </row>
    <row r="5327" spans="1:5" x14ac:dyDescent="0.2">
      <c r="A5327" s="5">
        <v>5266</v>
      </c>
      <c r="B5327" s="138">
        <f>'Revenues 9-14'!C268</f>
        <v>9229099</v>
      </c>
      <c r="C5327" s="2" t="s">
        <v>573</v>
      </c>
      <c r="D5327" s="2" t="str">
        <f t="shared" si="82"/>
        <v>Error?</v>
      </c>
    </row>
    <row r="5328" spans="1:5" x14ac:dyDescent="0.2">
      <c r="A5328" s="5">
        <v>5267</v>
      </c>
      <c r="B5328" s="138">
        <f>'Revenues 9-14'!D5</f>
        <v>1246065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1246065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29706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29706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18804</v>
      </c>
      <c r="D5349" s="2" t="str">
        <f t="shared" si="82"/>
        <v>Error?</v>
      </c>
    </row>
    <row r="5350" spans="1:4" x14ac:dyDescent="0.2">
      <c r="A5350" s="5">
        <v>5289</v>
      </c>
      <c r="B5350" s="138">
        <f>'Revenues 9-14'!D96</f>
        <v>12191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4692</v>
      </c>
      <c r="D5354" s="2" t="str">
        <f t="shared" si="82"/>
        <v>Error?</v>
      </c>
    </row>
    <row r="5355" spans="1:4" x14ac:dyDescent="0.2">
      <c r="A5355" s="5">
        <v>5294</v>
      </c>
      <c r="B5355" s="138">
        <f>'Revenues 9-14'!D108</f>
        <v>35687</v>
      </c>
      <c r="C5355" s="2" t="s">
        <v>573</v>
      </c>
      <c r="D5355" s="2" t="str">
        <f t="shared" si="82"/>
        <v>Error?</v>
      </c>
    </row>
    <row r="5356" spans="1:4" x14ac:dyDescent="0.2">
      <c r="A5356" s="5">
        <v>5295</v>
      </c>
      <c r="B5356" s="138">
        <f>'Revenues 9-14'!D109</f>
        <v>1311458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1311458</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33</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33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33</v>
      </c>
      <c r="C5552" s="2" t="s">
        <v>573</v>
      </c>
      <c r="D5552" s="2" t="str">
        <f t="shared" si="85"/>
        <v>Error?</v>
      </c>
    </row>
    <row r="5553" spans="1:4" x14ac:dyDescent="0.2">
      <c r="A5553" s="5">
        <v>5492</v>
      </c>
      <c r="B5553" s="138">
        <f>'Revenues 9-14'!F5</f>
        <v>664396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664396</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16428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16428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680824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42617</v>
      </c>
      <c r="D5615" s="2" t="str">
        <f t="shared" si="86"/>
        <v>Error?</v>
      </c>
    </row>
    <row r="5616" spans="1:4" x14ac:dyDescent="0.2">
      <c r="A5616" s="10">
        <v>5555</v>
      </c>
      <c r="D5616" s="2" t="str">
        <f t="shared" si="86"/>
        <v>OK</v>
      </c>
    </row>
    <row r="5617" spans="1:5" x14ac:dyDescent="0.2">
      <c r="A5617" s="5">
        <v>5556</v>
      </c>
      <c r="B5617" s="138">
        <f>'Revenues 9-14'!F153</f>
        <v>90531</v>
      </c>
      <c r="D5617" s="2" t="str">
        <f t="shared" si="86"/>
        <v>Error?</v>
      </c>
    </row>
    <row r="5618" spans="1:5" x14ac:dyDescent="0.2">
      <c r="A5618" s="5">
        <v>5557</v>
      </c>
      <c r="B5618" s="138">
        <f>'Revenues 9-14'!F155</f>
        <v>133148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133148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133148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813972</v>
      </c>
      <c r="C5720" s="2" t="s">
        <v>573</v>
      </c>
      <c r="D5720" s="2" t="str">
        <f t="shared" si="88"/>
        <v>Error?</v>
      </c>
    </row>
    <row r="5721" spans="1:4" x14ac:dyDescent="0.2">
      <c r="A5721" s="5">
        <v>5660</v>
      </c>
      <c r="B5721" s="138">
        <f>'Revenues 9-14'!G5</f>
        <v>143953</v>
      </c>
      <c r="D5721" s="2" t="str">
        <f t="shared" si="88"/>
        <v>Error?</v>
      </c>
    </row>
    <row r="5722" spans="1:4" x14ac:dyDescent="0.2">
      <c r="A5722" s="5">
        <v>5661</v>
      </c>
      <c r="B5722" s="138">
        <f>'Revenues 9-14'!G7</f>
        <v>0</v>
      </c>
      <c r="D5722" s="2" t="str">
        <f t="shared" si="88"/>
        <v>Error?</v>
      </c>
    </row>
    <row r="5723" spans="1:4" x14ac:dyDescent="0.2">
      <c r="A5723" s="5">
        <v>5662</v>
      </c>
      <c r="B5723" s="138">
        <f>'Revenues 9-14'!G8</f>
        <v>205645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349598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20000</v>
      </c>
      <c r="C5730" s="2" t="s">
        <v>573</v>
      </c>
      <c r="D5730" s="2" t="str">
        <f t="shared" si="88"/>
        <v>Error?</v>
      </c>
    </row>
    <row r="5731" spans="1:4" x14ac:dyDescent="0.2">
      <c r="A5731" s="5">
        <v>5670</v>
      </c>
      <c r="B5731" s="138">
        <f>'Revenues 9-14'!G65</f>
        <v>3457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3457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373055</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2169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2169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259949</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259949</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259949</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262118</v>
      </c>
      <c r="C5915" s="2" t="s">
        <v>573</v>
      </c>
      <c r="D5915" s="2" t="str">
        <f t="shared" si="91"/>
        <v>Error?</v>
      </c>
    </row>
    <row r="5916" spans="1:4" x14ac:dyDescent="0.2">
      <c r="A5916" s="5">
        <v>5855</v>
      </c>
      <c r="B5916" s="138">
        <f>'Revenues 9-14'!I5</f>
        <v>58471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58471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4812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4812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63283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225238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225238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2885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2885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228123</v>
      </c>
      <c r="C6023" s="2" t="s">
        <v>573</v>
      </c>
      <c r="D6023" s="2" t="str">
        <f t="shared" si="93"/>
        <v>Error?</v>
      </c>
    </row>
    <row r="6024" spans="1:5" x14ac:dyDescent="0.2">
      <c r="A6024" s="5">
        <v>5963</v>
      </c>
      <c r="B6024" s="138">
        <f>'Revenues 9-14'!G109</f>
        <v>373055</v>
      </c>
      <c r="C6024" s="2" t="s">
        <v>573</v>
      </c>
      <c r="D6024" s="2" t="str">
        <f t="shared" si="93"/>
        <v>Error?</v>
      </c>
    </row>
    <row r="6025" spans="1:5" x14ac:dyDescent="0.2">
      <c r="A6025" s="5">
        <v>5964</v>
      </c>
      <c r="B6025" s="138">
        <f>'Revenues 9-14'!H109</f>
        <v>2169</v>
      </c>
      <c r="C6025" s="2" t="s">
        <v>573</v>
      </c>
      <c r="D6025" s="2" t="str">
        <f t="shared" si="93"/>
        <v>Error?</v>
      </c>
    </row>
    <row r="6026" spans="1:5" x14ac:dyDescent="0.2">
      <c r="A6026" s="5">
        <v>5965</v>
      </c>
      <c r="B6026" s="138">
        <f>'Revenues 9-14'!I109</f>
        <v>63283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228123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68864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17759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626.79999999999995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30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258972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288</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258972</v>
      </c>
      <c r="D6215" s="2" t="str">
        <f t="shared" si="96"/>
        <v>Error?</v>
      </c>
      <c r="E6215" s="2" t="s">
        <v>190</v>
      </c>
    </row>
    <row r="6216" spans="1:5" x14ac:dyDescent="0.2">
      <c r="A6216">
        <v>6155</v>
      </c>
      <c r="B6216" s="138">
        <f>'Assets-Liab 5-6'!J41</f>
        <v>258972</v>
      </c>
      <c r="D6216" s="2" t="str">
        <f t="shared" si="96"/>
        <v>Error?</v>
      </c>
      <c r="E6216" s="2" t="s">
        <v>190</v>
      </c>
    </row>
    <row r="6217" spans="1:5" x14ac:dyDescent="0.2">
      <c r="A6217">
        <v>6156</v>
      </c>
      <c r="B6217" s="138">
        <f>'Assets-Liab 5-6'!J4</f>
        <v>258972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64282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64282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64282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116974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116974</v>
      </c>
      <c r="D6229" s="2" t="str">
        <f t="shared" si="96"/>
        <v>Error?</v>
      </c>
      <c r="E6229" s="2" t="s">
        <v>190</v>
      </c>
    </row>
    <row r="6230" spans="1:5" x14ac:dyDescent="0.2">
      <c r="A6230">
        <v>6169</v>
      </c>
      <c r="B6230" s="138">
        <f>'Acct Summary 7-8'!J20</f>
        <v>-52692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-52692</v>
      </c>
      <c r="D6263" s="2" t="str">
        <f t="shared" si="96"/>
        <v>Error?</v>
      </c>
      <c r="E6263" s="2" t="s">
        <v>190</v>
      </c>
    </row>
    <row r="6264" spans="1:5" x14ac:dyDescent="0.2">
      <c r="A6264">
        <v>6203</v>
      </c>
      <c r="B6264" s="138">
        <f>'Acct Summary 7-8'!J79</f>
        <v>311664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258972</v>
      </c>
      <c r="D6266" s="2" t="str">
        <f t="shared" si="96"/>
        <v>Error?</v>
      </c>
      <c r="E6266" s="2" t="s">
        <v>190</v>
      </c>
    </row>
    <row r="6267" spans="1:5" x14ac:dyDescent="0.2">
      <c r="A6267">
        <v>6206</v>
      </c>
      <c r="B6267" s="138">
        <f>'Acct Summary 7-8'!C82</f>
        <v>-127309</v>
      </c>
      <c r="D6267" s="2" t="str">
        <f t="shared" si="96"/>
        <v>Error?</v>
      </c>
      <c r="E6267" s="2" t="s">
        <v>190</v>
      </c>
    </row>
    <row r="6268" spans="1:5" x14ac:dyDescent="0.2">
      <c r="A6268">
        <v>6207</v>
      </c>
      <c r="B6268" s="138">
        <f>'Acct Summary 7-8'!D82</f>
        <v>95990</v>
      </c>
      <c r="D6268" s="2" t="str">
        <f t="shared" si="96"/>
        <v>Error?</v>
      </c>
      <c r="E6268" s="2" t="s">
        <v>190</v>
      </c>
    </row>
    <row r="6269" spans="1:5" x14ac:dyDescent="0.2">
      <c r="A6269">
        <v>6208</v>
      </c>
      <c r="B6269" s="138">
        <f>'Acct Summary 7-8'!E82</f>
        <v>33</v>
      </c>
      <c r="D6269" s="2" t="str">
        <f t="shared" si="96"/>
        <v>Error?</v>
      </c>
      <c r="E6269" s="2" t="s">
        <v>190</v>
      </c>
    </row>
    <row r="6270" spans="1:5" x14ac:dyDescent="0.2">
      <c r="A6270">
        <v>6209</v>
      </c>
      <c r="B6270" s="138">
        <f>'Acct Summary 7-8'!F82</f>
        <v>-11368</v>
      </c>
      <c r="D6270" s="2" t="str">
        <f t="shared" si="96"/>
        <v>Error?</v>
      </c>
      <c r="E6270" s="2" t="s">
        <v>190</v>
      </c>
    </row>
    <row r="6271" spans="1:5" x14ac:dyDescent="0.2">
      <c r="A6271">
        <v>6210</v>
      </c>
      <c r="B6271" s="138">
        <f>'Acct Summary 7-8'!G82</f>
        <v>47135</v>
      </c>
      <c r="D6271" s="2" t="str">
        <f t="shared" ref="D6271:D6334" si="97">IF(ISBLANK(B6271),"OK",IF(A6271-B6271=0,"OK","Error?"))</f>
        <v>Error?</v>
      </c>
      <c r="E6271" s="2" t="s">
        <v>190</v>
      </c>
    </row>
    <row r="6272" spans="1:5" x14ac:dyDescent="0.2">
      <c r="A6272">
        <v>6211</v>
      </c>
      <c r="B6272" s="138">
        <f>'Acct Summary 7-8'!H82</f>
        <v>-37162</v>
      </c>
      <c r="D6272" s="2" t="str">
        <f t="shared" si="97"/>
        <v>Error?</v>
      </c>
      <c r="E6272" s="2" t="s">
        <v>190</v>
      </c>
    </row>
    <row r="6273" spans="1:5" x14ac:dyDescent="0.2">
      <c r="A6273">
        <v>6212</v>
      </c>
      <c r="B6273" s="138">
        <f>'Acct Summary 7-8'!I82</f>
        <v>63283</v>
      </c>
      <c r="D6273" s="2" t="str">
        <f t="shared" si="97"/>
        <v>Error?</v>
      </c>
      <c r="E6273" s="2" t="s">
        <v>190</v>
      </c>
    </row>
    <row r="6274" spans="1:5" x14ac:dyDescent="0.2">
      <c r="A6274">
        <v>6213</v>
      </c>
      <c r="B6274" s="138">
        <f>'Acct Summary 7-8'!J82</f>
        <v>-52692</v>
      </c>
      <c r="D6274" s="2" t="str">
        <f t="shared" si="97"/>
        <v>Error?</v>
      </c>
      <c r="E6274" s="2" t="s">
        <v>190</v>
      </c>
    </row>
    <row r="6275" spans="1:5" x14ac:dyDescent="0.2">
      <c r="A6275">
        <v>6214</v>
      </c>
      <c r="B6275" s="138">
        <f>'Acct Summary 7-8'!K82</f>
        <v>228123</v>
      </c>
      <c r="D6275" s="2" t="str">
        <f t="shared" si="97"/>
        <v>Error?</v>
      </c>
      <c r="E6275" s="2" t="s">
        <v>190</v>
      </c>
    </row>
    <row r="6276" spans="1:5" x14ac:dyDescent="0.2">
      <c r="A6276">
        <v>6215</v>
      </c>
      <c r="B6276" s="138">
        <f>'Acct Summary 7-8'!C83</f>
        <v>-1.6841287313613004E-2</v>
      </c>
      <c r="D6276" s="2" t="str">
        <f t="shared" si="97"/>
        <v>Error?</v>
      </c>
      <c r="E6276" s="2" t="s">
        <v>190</v>
      </c>
    </row>
    <row r="6277" spans="1:5" x14ac:dyDescent="0.2">
      <c r="A6277">
        <v>6216</v>
      </c>
      <c r="B6277" s="138">
        <f>'Acct Summary 7-8'!D83</f>
        <v>4.6951410987970385E-2</v>
      </c>
      <c r="D6277" s="2" t="str">
        <f t="shared" si="97"/>
        <v>Error?</v>
      </c>
      <c r="E6277" s="2" t="s">
        <v>190</v>
      </c>
    </row>
    <row r="6278" spans="1:5" x14ac:dyDescent="0.2">
      <c r="A6278">
        <v>6217</v>
      </c>
      <c r="B6278" s="138">
        <f>'Acct Summary 7-8'!E83</f>
        <v>1.5123739688359304E-2</v>
      </c>
      <c r="D6278" s="2" t="str">
        <f t="shared" si="97"/>
        <v>Error?</v>
      </c>
      <c r="E6278" s="2" t="s">
        <v>190</v>
      </c>
    </row>
    <row r="6279" spans="1:5" x14ac:dyDescent="0.2">
      <c r="A6279">
        <v>6218</v>
      </c>
      <c r="B6279" s="138">
        <f>'Acct Summary 7-8'!F83</f>
        <v>-1.0664405202368533E-2</v>
      </c>
      <c r="D6279" s="2" t="str">
        <f t="shared" si="97"/>
        <v>Error?</v>
      </c>
      <c r="E6279" s="2" t="s">
        <v>190</v>
      </c>
    </row>
    <row r="6280" spans="1:5" x14ac:dyDescent="0.2">
      <c r="A6280">
        <v>6219</v>
      </c>
      <c r="B6280" s="138">
        <f>'Acct Summary 7-8'!G83</f>
        <v>0.17202052494817668</v>
      </c>
      <c r="D6280" s="2" t="str">
        <f t="shared" si="97"/>
        <v>Error?</v>
      </c>
      <c r="E6280" s="2" t="s">
        <v>190</v>
      </c>
    </row>
    <row r="6281" spans="1:5" x14ac:dyDescent="0.2">
      <c r="A6281">
        <v>6220</v>
      </c>
      <c r="B6281" s="138">
        <f>'Acct Summary 7-8'!H83</f>
        <v>-0.35340548148429923</v>
      </c>
      <c r="D6281" s="2" t="str">
        <f t="shared" si="97"/>
        <v>Error?</v>
      </c>
      <c r="E6281" s="2" t="s">
        <v>190</v>
      </c>
    </row>
    <row r="6282" spans="1:5" x14ac:dyDescent="0.2">
      <c r="A6282">
        <v>6221</v>
      </c>
      <c r="B6282" s="138">
        <f>'Acct Summary 7-8'!I83</f>
        <v>0.17178541956219598</v>
      </c>
      <c r="D6282" s="2" t="str">
        <f t="shared" si="97"/>
        <v>Error?</v>
      </c>
      <c r="E6282" s="2" t="s">
        <v>190</v>
      </c>
    </row>
    <row r="6283" spans="1:5" x14ac:dyDescent="0.2">
      <c r="A6283">
        <v>6222</v>
      </c>
      <c r="B6283" s="138">
        <f>'Acct Summary 7-8'!J83</f>
        <v>-0.20346601176961215</v>
      </c>
      <c r="D6283" s="2" t="str">
        <f t="shared" si="97"/>
        <v>Error?</v>
      </c>
      <c r="E6283" s="2" t="s">
        <v>190</v>
      </c>
    </row>
    <row r="6284" spans="1:5" x14ac:dyDescent="0.2">
      <c r="A6284">
        <v>6223</v>
      </c>
      <c r="B6284" s="138">
        <f>'Acct Summary 7-8'!K83</f>
        <v>0.54662366323134393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550000</v>
      </c>
      <c r="D6287" s="2" t="str">
        <f t="shared" si="97"/>
        <v>Error?</v>
      </c>
      <c r="E6287" s="2" t="s">
        <v>190</v>
      </c>
    </row>
    <row r="6288" spans="1:5" x14ac:dyDescent="0.2">
      <c r="A6288">
        <v>6227</v>
      </c>
      <c r="B6288" s="138">
        <f>'Acct Summary 7-8'!E40</f>
        <v>59838</v>
      </c>
      <c r="D6288" s="2" t="str">
        <f t="shared" si="97"/>
        <v>Error?</v>
      </c>
      <c r="E6288" s="2" t="s">
        <v>190</v>
      </c>
    </row>
    <row r="6289" spans="1:5" x14ac:dyDescent="0.2">
      <c r="A6289">
        <v>6228</v>
      </c>
      <c r="B6289" s="138">
        <f>'Acct Summary 7-8'!H41</f>
        <v>223049</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59690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59690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4592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4592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64282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3190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233394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98</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3288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2100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2100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2100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217230</v>
      </c>
      <c r="D6983" s="2" t="str">
        <f t="shared" si="108"/>
        <v>Error?</v>
      </c>
    </row>
    <row r="6984" spans="1:4" x14ac:dyDescent="0.2">
      <c r="A6984">
        <v>6923</v>
      </c>
      <c r="B6984" s="138">
        <f>'Expenditures 15-22'!K86</f>
        <v>217230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217230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5388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42854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42854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42854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116974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42854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64282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17258</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17258</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17258</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11212</v>
      </c>
      <c r="D7075" s="2" t="str">
        <f t="shared" si="109"/>
        <v>Error?</v>
      </c>
    </row>
    <row r="7076" spans="1:4" x14ac:dyDescent="0.2">
      <c r="A7076">
        <v>7015</v>
      </c>
      <c r="B7076" s="138">
        <f>'Expenditures 15-22'!K218</f>
        <v>11212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76308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76308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593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593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40073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40073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116974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116974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116974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116974</v>
      </c>
      <c r="D7224" s="2" t="str">
        <f t="shared" si="111"/>
        <v>Error?</v>
      </c>
    </row>
    <row r="7225" spans="1:4" x14ac:dyDescent="0.2">
      <c r="A7225">
        <v>7164</v>
      </c>
      <c r="B7225" s="138">
        <f>'Expenditures 15-22'!K343</f>
        <v>-52692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153819</v>
      </c>
      <c r="D7251" s="2" t="str">
        <f t="shared" si="112"/>
        <v>Error?</v>
      </c>
    </row>
    <row r="7252" spans="1:4" x14ac:dyDescent="0.2">
      <c r="A7252">
        <f t="shared" si="113"/>
        <v>7191</v>
      </c>
      <c r="B7252" s="138">
        <f>'Expenditures 15-22'!D9</f>
        <v>72265</v>
      </c>
      <c r="D7252" s="2" t="str">
        <f t="shared" si="112"/>
        <v>Error?</v>
      </c>
    </row>
    <row r="7253" spans="1:4" x14ac:dyDescent="0.2">
      <c r="A7253">
        <f t="shared" si="113"/>
        <v>7192</v>
      </c>
      <c r="B7253" s="138">
        <f>'Expenditures 15-22'!E9</f>
        <v>1443</v>
      </c>
      <c r="D7253" s="2" t="str">
        <f t="shared" si="112"/>
        <v>Error?</v>
      </c>
    </row>
    <row r="7254" spans="1:4" x14ac:dyDescent="0.2">
      <c r="A7254">
        <f t="shared" si="113"/>
        <v>7193</v>
      </c>
      <c r="B7254" s="138">
        <f>'Expenditures 15-22'!F9</f>
        <v>5867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65500</v>
      </c>
      <c r="D7624" s="2" t="str">
        <f t="shared" si="124"/>
        <v>Error?</v>
      </c>
      <c r="E7624" s="2" t="s">
        <v>19</v>
      </c>
    </row>
    <row r="7625" spans="1:5" x14ac:dyDescent="0.2">
      <c r="A7625">
        <f t="shared" si="123"/>
        <v>7564</v>
      </c>
      <c r="B7625" s="138">
        <f>'Cap Outlay Deprec 26'!I17</f>
        <v>6550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335636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550000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59838</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223049</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806764</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342189.64</v>
      </c>
      <c r="D7797" s="2" t="str">
        <f t="shared" si="127"/>
        <v>Error?</v>
      </c>
      <c r="E7797" s="4" t="s">
        <v>1904</v>
      </c>
    </row>
    <row r="7798" spans="1:5" x14ac:dyDescent="0.2">
      <c r="A7798">
        <v>7737</v>
      </c>
      <c r="B7798" s="138">
        <f>'Contracts Paid in CY 29'!F141</f>
        <v>100000</v>
      </c>
      <c r="D7798" s="2" t="str">
        <f t="shared" si="127"/>
        <v>Error?</v>
      </c>
      <c r="E7798" s="4" t="s">
        <v>1904</v>
      </c>
    </row>
    <row r="7799" spans="1:5" x14ac:dyDescent="0.2">
      <c r="A7799">
        <v>7738</v>
      </c>
      <c r="B7799" s="138">
        <f>'Contracts Paid in CY 29'!G141</f>
        <v>242189.64</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77" t="s">
        <v>1191</v>
      </c>
      <c r="B2" s="2477"/>
      <c r="C2" s="2477"/>
      <c r="D2" s="2477"/>
      <c r="E2" s="2477"/>
      <c r="F2" s="2477"/>
      <c r="G2" s="2477"/>
      <c r="H2" s="2477"/>
      <c r="I2" s="2477"/>
      <c r="J2" s="2477"/>
      <c r="K2" s="2477"/>
      <c r="L2" s="2477"/>
    </row>
    <row r="3" spans="1:29" ht="13.5" customHeight="1" x14ac:dyDescent="0.2">
      <c r="A3" s="2463" t="s">
        <v>1190</v>
      </c>
      <c r="B3" s="2463"/>
      <c r="C3" s="2463"/>
      <c r="D3" s="2463"/>
      <c r="E3" s="2463"/>
      <c r="F3" s="2463"/>
      <c r="G3" s="2463"/>
      <c r="H3" s="2463"/>
      <c r="I3" s="2463"/>
      <c r="J3" s="2463"/>
      <c r="K3" s="2463"/>
      <c r="L3" s="2463"/>
    </row>
    <row r="4" spans="1:29" ht="13.5" customHeight="1" x14ac:dyDescent="0.2">
      <c r="A4" s="2477" t="s">
        <v>1989</v>
      </c>
      <c r="B4" s="2494"/>
      <c r="C4" s="2494"/>
      <c r="D4" s="2494"/>
      <c r="E4" s="2494"/>
      <c r="F4" s="2494"/>
      <c r="G4" s="2494"/>
      <c r="H4" s="2494"/>
      <c r="I4" s="2494"/>
      <c r="J4" s="2494"/>
      <c r="K4" s="2494"/>
      <c r="L4" s="2494"/>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57" t="str">
        <f>COVER!A17</f>
        <v>Prairie Grove CSD 46</v>
      </c>
      <c r="B7" s="2458"/>
      <c r="C7" s="2458"/>
      <c r="D7" s="2495"/>
      <c r="E7" s="2496">
        <f>COVER!A13</f>
        <v>44063046003</v>
      </c>
      <c r="F7" s="2497"/>
      <c r="G7" s="2464" t="str">
        <f>COVER!T23</f>
        <v>066-005142</v>
      </c>
      <c r="H7" s="2465"/>
      <c r="I7" s="2465"/>
      <c r="J7" s="2465"/>
      <c r="K7" s="2465"/>
      <c r="L7" s="2466"/>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67"/>
      <c r="B9" s="2468"/>
      <c r="C9" s="2468"/>
      <c r="D9" s="2468"/>
      <c r="E9" s="2468"/>
      <c r="F9" s="2469"/>
      <c r="G9" s="2470" t="str">
        <f>COVER!T13</f>
        <v>EDER, CASELLA &amp; CO.</v>
      </c>
      <c r="H9" s="2471"/>
      <c r="I9" s="2471"/>
      <c r="J9" s="2471"/>
      <c r="K9" s="2471"/>
      <c r="L9" s="2472"/>
    </row>
    <row r="10" spans="1:29" ht="13.5" customHeight="1" x14ac:dyDescent="0.2">
      <c r="A10" s="2454">
        <f>COVER!A38</f>
        <v>0</v>
      </c>
      <c r="B10" s="2455"/>
      <c r="C10" s="2455"/>
      <c r="D10" s="2455"/>
      <c r="E10" s="2455"/>
      <c r="F10" s="2456"/>
      <c r="G10" s="2470" t="str">
        <f>COVER!T17</f>
        <v>5400 WEST ELM STREET, SUITE 203</v>
      </c>
      <c r="H10" s="2483"/>
      <c r="I10" s="2483"/>
      <c r="J10" s="2483"/>
      <c r="K10" s="2483"/>
      <c r="L10" s="2484"/>
    </row>
    <row r="11" spans="1:29" ht="13.5" customHeight="1" x14ac:dyDescent="0.2">
      <c r="A11" s="1157" t="s">
        <v>1519</v>
      </c>
      <c r="B11" s="1158"/>
      <c r="C11" s="1159"/>
      <c r="D11" s="1164"/>
      <c r="E11" s="1159"/>
      <c r="F11" s="1163"/>
      <c r="G11" s="2470" t="str">
        <f>COVER!T19</f>
        <v>MCHENRY</v>
      </c>
      <c r="H11" s="2483"/>
      <c r="I11" s="2483"/>
      <c r="J11" s="2483"/>
      <c r="K11" s="2483"/>
      <c r="L11" s="2484"/>
    </row>
    <row r="12" spans="1:29" ht="13.5" customHeight="1" x14ac:dyDescent="0.2">
      <c r="A12" s="2488" t="s">
        <v>1518</v>
      </c>
      <c r="B12" s="2489"/>
      <c r="C12" s="2489"/>
      <c r="D12" s="2489"/>
      <c r="E12" s="2489"/>
      <c r="F12" s="2490"/>
      <c r="G12" s="2485"/>
      <c r="H12" s="2486"/>
      <c r="I12" s="2486"/>
      <c r="J12" s="2486"/>
      <c r="K12" s="2486"/>
      <c r="L12" s="2487"/>
    </row>
    <row r="13" spans="1:29" ht="13.5" customHeight="1" x14ac:dyDescent="0.2">
      <c r="A13" s="2470"/>
      <c r="B13" s="2483"/>
      <c r="C13" s="2483"/>
      <c r="D13" s="2483"/>
      <c r="E13" s="2483"/>
      <c r="F13" s="2484"/>
      <c r="G13" s="2478" t="s">
        <v>1520</v>
      </c>
      <c r="H13" s="2479"/>
      <c r="I13" s="2491" t="str">
        <f>COVER!T25</f>
        <v>CPAS@EDERCASELLA.COM</v>
      </c>
      <c r="J13" s="2492"/>
      <c r="K13" s="2492"/>
      <c r="L13" s="2493"/>
    </row>
    <row r="14" spans="1:29" ht="13.5" customHeight="1" x14ac:dyDescent="0.2">
      <c r="A14" s="2470" t="str">
        <f>COVER!A19</f>
        <v>3223 IL ROUTE 76</v>
      </c>
      <c r="B14" s="2483"/>
      <c r="C14" s="2483"/>
      <c r="D14" s="2483"/>
      <c r="E14" s="2483"/>
      <c r="F14" s="2484"/>
      <c r="G14" s="1168" t="s">
        <v>1185</v>
      </c>
      <c r="H14" s="1166"/>
      <c r="I14" s="1166"/>
      <c r="J14" s="1166"/>
      <c r="K14" s="1166"/>
      <c r="L14" s="1167"/>
    </row>
    <row r="15" spans="1:29" ht="13.5" customHeight="1" x14ac:dyDescent="0.2">
      <c r="A15" s="2470" t="str">
        <f>COVER!A21</f>
        <v>CRYSTAL LAKE</v>
      </c>
      <c r="B15" s="2483"/>
      <c r="C15" s="2483"/>
      <c r="D15" s="2483"/>
      <c r="E15" s="2483"/>
      <c r="F15" s="2484"/>
      <c r="G15" s="2480" t="str">
        <f>COVER!T15</f>
        <v>CHERYDEN JUERGENSEN</v>
      </c>
      <c r="H15" s="2481"/>
      <c r="I15" s="2481"/>
      <c r="J15" s="2481"/>
      <c r="K15" s="2481"/>
      <c r="L15" s="2482"/>
    </row>
    <row r="16" spans="1:29" ht="12.2" customHeight="1" x14ac:dyDescent="0.2">
      <c r="A16" s="2460">
        <f>COVER!A25</f>
        <v>60014</v>
      </c>
      <c r="B16" s="2461"/>
      <c r="C16" s="2461"/>
      <c r="D16" s="2461"/>
      <c r="E16" s="2461"/>
      <c r="F16" s="2462"/>
      <c r="G16" s="2473"/>
      <c r="H16" s="2474"/>
      <c r="I16" s="2474"/>
      <c r="J16" s="2474"/>
      <c r="K16" s="2474"/>
      <c r="L16" s="2475"/>
    </row>
    <row r="17" spans="1:13" ht="12.2" customHeight="1" x14ac:dyDescent="0.2">
      <c r="A17" s="2476"/>
      <c r="B17" s="2461"/>
      <c r="C17" s="2461"/>
      <c r="D17" s="2461"/>
      <c r="E17" s="2461"/>
      <c r="F17" s="2462"/>
      <c r="G17" s="1168" t="s">
        <v>1184</v>
      </c>
      <c r="H17" s="1166"/>
      <c r="I17" s="1166"/>
      <c r="J17" s="1166"/>
      <c r="K17" s="1170" t="s">
        <v>1183</v>
      </c>
      <c r="L17" s="1163"/>
      <c r="M17" s="1156"/>
    </row>
    <row r="18" spans="1:13" ht="12.2" customHeight="1" x14ac:dyDescent="0.2">
      <c r="A18" s="2454"/>
      <c r="B18" s="2455"/>
      <c r="C18" s="2455"/>
      <c r="D18" s="2455"/>
      <c r="E18" s="2455"/>
      <c r="F18" s="2456"/>
      <c r="G18" s="2457" t="str">
        <f>COVER!T21</f>
        <v>815-344-1300</v>
      </c>
      <c r="H18" s="2458"/>
      <c r="I18" s="2458"/>
      <c r="J18" s="2458"/>
      <c r="K18" s="2457" t="str">
        <f>COVER!X21</f>
        <v>815-344-1320</v>
      </c>
      <c r="L18" s="2459"/>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4"/>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498" t="str">
        <f>'Single Audit Cover'!A7</f>
        <v>Prairie Grove CSD 46</v>
      </c>
      <c r="B1" s="2494"/>
      <c r="C1" s="2494"/>
      <c r="D1" s="2494"/>
    </row>
    <row r="2" spans="1:11" s="1185" customFormat="1" ht="12.75" x14ac:dyDescent="0.2">
      <c r="A2" s="2499">
        <f>'Single Audit Cover'!E7</f>
        <v>44063046003</v>
      </c>
      <c r="B2" s="2500"/>
      <c r="C2" s="2500"/>
      <c r="D2" s="2500"/>
    </row>
    <row r="3" spans="1:11" s="1185" customFormat="1" ht="12.75" x14ac:dyDescent="0.2">
      <c r="A3" s="2498" t="s">
        <v>1513</v>
      </c>
      <c r="B3" s="2494"/>
      <c r="C3" s="2494"/>
      <c r="D3" s="2494"/>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2" t="str">
        <f>'Single Audit Cover'!A7</f>
        <v>Prairie Grove CSD 46</v>
      </c>
      <c r="B1" s="2502"/>
      <c r="C1" s="2502"/>
      <c r="D1" s="2502"/>
      <c r="E1" s="2502"/>
    </row>
    <row r="2" spans="1:5" x14ac:dyDescent="0.2">
      <c r="A2" s="2503">
        <f>'Single Audit Cover'!E7</f>
        <v>44063046003</v>
      </c>
      <c r="B2" s="2503"/>
      <c r="C2" s="2503"/>
      <c r="D2" s="2503"/>
      <c r="E2" s="2503"/>
    </row>
    <row r="3" spans="1:5" ht="4.5" customHeight="1" x14ac:dyDescent="0.2"/>
    <row r="4" spans="1:5" x14ac:dyDescent="0.2">
      <c r="A4" s="2502" t="s">
        <v>1245</v>
      </c>
      <c r="B4" s="2502"/>
      <c r="C4" s="2502"/>
      <c r="D4" s="2502"/>
      <c r="E4" s="2502"/>
    </row>
    <row r="5" spans="1:5" x14ac:dyDescent="0.2">
      <c r="A5" s="2505" t="str">
        <f>'Single Audit Cover'!A4</f>
        <v>Year Ending June 30, 2019</v>
      </c>
      <c r="B5" s="2505"/>
      <c r="C5" s="2505"/>
      <c r="D5" s="2505"/>
      <c r="E5" s="2505"/>
    </row>
    <row r="6" spans="1:5" x14ac:dyDescent="0.2">
      <c r="A6" s="2502" t="s">
        <v>1244</v>
      </c>
      <c r="B6" s="2502"/>
      <c r="C6" s="2502"/>
      <c r="D6" s="2502"/>
      <c r="E6" s="2502"/>
    </row>
    <row r="8" spans="1:5" x14ac:dyDescent="0.2">
      <c r="A8" s="1230" t="s">
        <v>1243</v>
      </c>
    </row>
    <row r="10" spans="1:5" x14ac:dyDescent="0.2">
      <c r="A10" s="1231" t="s">
        <v>1242</v>
      </c>
      <c r="B10" s="1232" t="s">
        <v>1241</v>
      </c>
      <c r="C10" s="1232"/>
      <c r="D10" s="1233">
        <f>SUM('Acct Summary 7-8'!C7:K7)</f>
        <v>314818</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17759</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-19309</v>
      </c>
    </row>
    <row r="19" spans="1:4" ht="13.5" thickBot="1" x14ac:dyDescent="0.25">
      <c r="A19" s="1235" t="s">
        <v>1235</v>
      </c>
      <c r="D19" s="1236">
        <f>SUM(D10:D17)</f>
        <v>313268</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4"/>
      <c r="B24" s="2504"/>
      <c r="D24" s="1238"/>
    </row>
    <row r="25" spans="1:4" x14ac:dyDescent="0.2">
      <c r="A25" s="2501"/>
      <c r="B25" s="2501"/>
      <c r="D25" s="1238"/>
    </row>
    <row r="26" spans="1:4" x14ac:dyDescent="0.2">
      <c r="A26" s="2501"/>
      <c r="B26" s="2501"/>
      <c r="D26" s="1238"/>
    </row>
    <row r="27" spans="1:4" x14ac:dyDescent="0.2">
      <c r="A27" s="2501"/>
      <c r="B27" s="2501"/>
      <c r="D27" s="1238"/>
    </row>
    <row r="28" spans="1:4" x14ac:dyDescent="0.2">
      <c r="A28" s="2501"/>
      <c r="B28" s="2501"/>
      <c r="D28" s="1238"/>
    </row>
    <row r="29" spans="1:4" x14ac:dyDescent="0.2">
      <c r="A29" s="2501"/>
      <c r="B29" s="2501"/>
      <c r="D29" s="1238"/>
    </row>
    <row r="30" spans="1:4" x14ac:dyDescent="0.2">
      <c r="A30" s="2501"/>
      <c r="B30" s="2501"/>
      <c r="D30" s="1238"/>
    </row>
    <row r="32" spans="1:4" x14ac:dyDescent="0.2">
      <c r="A32" s="1230" t="s">
        <v>1233</v>
      </c>
      <c r="D32" s="1233">
        <f>SUM(D19:D30)</f>
        <v>313268</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501"/>
      <c r="B40" s="2501"/>
      <c r="D40" s="1238"/>
    </row>
    <row r="41" spans="1:4" x14ac:dyDescent="0.2">
      <c r="A41" s="2501"/>
      <c r="B41" s="2501"/>
      <c r="D41" s="1241"/>
    </row>
    <row r="42" spans="1:4" x14ac:dyDescent="0.2">
      <c r="A42" s="2501"/>
      <c r="B42" s="2501"/>
      <c r="D42" s="1241"/>
    </row>
    <row r="43" spans="1:4" x14ac:dyDescent="0.2">
      <c r="A43" s="2501"/>
      <c r="B43" s="2501"/>
      <c r="D43" s="1241"/>
    </row>
    <row r="44" spans="1:4" x14ac:dyDescent="0.2">
      <c r="A44" s="2501"/>
      <c r="B44" s="2501"/>
      <c r="D44" s="1241"/>
    </row>
    <row r="45" spans="1:4" x14ac:dyDescent="0.2">
      <c r="A45" s="2501"/>
      <c r="B45" s="2501"/>
      <c r="D45" s="1241"/>
    </row>
    <row r="47" spans="1:4" x14ac:dyDescent="0.2">
      <c r="B47" s="1242" t="s">
        <v>1227</v>
      </c>
      <c r="C47" s="1242"/>
      <c r="D47" s="1243">
        <f>SUM(D35:D45)</f>
        <v>0</v>
      </c>
    </row>
    <row r="49" spans="2:4" x14ac:dyDescent="0.2">
      <c r="B49" s="1242" t="s">
        <v>1226</v>
      </c>
      <c r="C49" s="1242"/>
      <c r="D49" s="1243">
        <f>D32-D47</f>
        <v>313268</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22" sqref="O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3" t="str">
        <f>'Single Audit Cover'!A7</f>
        <v>Prairie Grove CSD 46</v>
      </c>
      <c r="C1" s="2506"/>
      <c r="D1" s="2506"/>
      <c r="E1" s="2506"/>
      <c r="F1" s="2506"/>
      <c r="G1" s="2506"/>
      <c r="H1" s="2506"/>
      <c r="I1" s="2506"/>
      <c r="J1" s="2506"/>
      <c r="K1" s="2506"/>
      <c r="L1" s="2506"/>
      <c r="M1" s="2506"/>
    </row>
    <row r="2" spans="2:14" ht="15" x14ac:dyDescent="0.2">
      <c r="B2" s="2507">
        <f>'Single Audit Cover'!E7</f>
        <v>44063046003</v>
      </c>
      <c r="C2" s="2507"/>
      <c r="D2" s="2507"/>
      <c r="E2" s="2507"/>
      <c r="F2" s="2507"/>
      <c r="G2" s="2507"/>
      <c r="H2" s="2507"/>
      <c r="I2" s="2507"/>
      <c r="J2" s="2507"/>
      <c r="K2" s="2507"/>
      <c r="L2" s="2507"/>
      <c r="M2" s="2507"/>
      <c r="N2" s="1272"/>
    </row>
    <row r="3" spans="2:14" ht="15" x14ac:dyDescent="0.2">
      <c r="B3" s="2508" t="s">
        <v>1219</v>
      </c>
      <c r="C3" s="2508"/>
      <c r="D3" s="2508"/>
      <c r="E3" s="2508"/>
      <c r="F3" s="2508"/>
      <c r="G3" s="2508"/>
      <c r="H3" s="2508"/>
      <c r="I3" s="2508"/>
      <c r="J3" s="2508"/>
      <c r="K3" s="2508"/>
      <c r="L3" s="2508"/>
      <c r="M3" s="2508"/>
      <c r="N3" s="1272"/>
    </row>
    <row r="4" spans="2:14" ht="15" x14ac:dyDescent="0.2">
      <c r="B4" s="2509" t="str">
        <f>'Single Audit Cover'!A4</f>
        <v>Year Ending June 30, 2019</v>
      </c>
      <c r="C4" s="2509"/>
      <c r="D4" s="2509"/>
      <c r="E4" s="2509"/>
      <c r="F4" s="2509"/>
      <c r="G4" s="2509"/>
      <c r="H4" s="2509"/>
      <c r="I4" s="2509"/>
      <c r="J4" s="2509"/>
      <c r="K4" s="2509"/>
      <c r="L4" s="2509"/>
      <c r="M4" s="2509"/>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7"/>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1" t="str">
        <f>'Single Audit Cover'!A7</f>
        <v>Prairie Grove CSD 46</v>
      </c>
      <c r="B1" s="2511"/>
      <c r="C1" s="2511"/>
      <c r="D1" s="2511"/>
      <c r="E1" s="2511"/>
      <c r="F1" s="2511"/>
    </row>
    <row r="2" spans="1:7" ht="13.5" customHeight="1" x14ac:dyDescent="0.2">
      <c r="A2" s="2507">
        <f>'Single Audit Cover'!E7</f>
        <v>44063046003</v>
      </c>
      <c r="B2" s="2507"/>
      <c r="C2" s="2507"/>
      <c r="D2" s="2507"/>
      <c r="E2" s="2507"/>
      <c r="F2" s="2507"/>
      <c r="G2" s="1245"/>
    </row>
    <row r="3" spans="1:7" ht="15.75" customHeight="1" x14ac:dyDescent="0.2">
      <c r="A3" s="2512" t="s">
        <v>1271</v>
      </c>
      <c r="B3" s="2512"/>
      <c r="C3" s="2512"/>
      <c r="D3" s="2512"/>
      <c r="E3" s="2512"/>
      <c r="F3" s="2512"/>
    </row>
    <row r="4" spans="1:7" ht="13.5" customHeight="1" x14ac:dyDescent="0.2">
      <c r="A4" s="2513" t="str">
        <f>'Single Audit Cover'!A4</f>
        <v>Year Ending June 30, 2019</v>
      </c>
      <c r="B4" s="2513"/>
      <c r="C4" s="2513"/>
      <c r="D4" s="2513"/>
      <c r="E4" s="2513"/>
      <c r="F4" s="2513"/>
    </row>
    <row r="5" spans="1:7" ht="8.25" customHeight="1" x14ac:dyDescent="0.2">
      <c r="C5" s="317"/>
      <c r="D5" s="317"/>
    </row>
    <row r="6" spans="1:7" ht="13.5" customHeight="1" x14ac:dyDescent="0.2">
      <c r="A6" s="1246" t="s">
        <v>1728</v>
      </c>
      <c r="C6" s="317"/>
      <c r="D6" s="317"/>
    </row>
    <row r="7" spans="1:7" ht="60.95" customHeight="1" x14ac:dyDescent="0.2">
      <c r="A7" s="2510" t="s">
        <v>1729</v>
      </c>
      <c r="B7" s="2510"/>
      <c r="C7" s="2510"/>
      <c r="D7" s="2510"/>
      <c r="E7" s="2510"/>
      <c r="F7" s="2510"/>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0"/>
      <c r="D11" s="1250"/>
      <c r="E11" s="1870"/>
      <c r="F11" s="1250"/>
      <c r="G11" s="1248"/>
    </row>
    <row r="12" spans="1:7" x14ac:dyDescent="0.2">
      <c r="A12" s="1246" t="s">
        <v>1587</v>
      </c>
      <c r="C12" s="1230"/>
      <c r="D12" s="1230"/>
    </row>
    <row r="13" spans="1:7" ht="15" customHeight="1" x14ac:dyDescent="0.2">
      <c r="A13" s="2510" t="s">
        <v>1731</v>
      </c>
      <c r="B13" s="2510"/>
      <c r="C13" s="2510"/>
      <c r="D13" s="2510"/>
      <c r="E13" s="2510"/>
      <c r="F13" s="2510"/>
    </row>
    <row r="14" spans="1:7" ht="9.75" customHeight="1" x14ac:dyDescent="0.2">
      <c r="C14" s="1230"/>
      <c r="D14" s="1230"/>
    </row>
    <row r="15" spans="1:7" ht="13.5" customHeight="1" x14ac:dyDescent="0.2">
      <c r="C15" s="1818" t="s">
        <v>1270</v>
      </c>
      <c r="D15" s="2515" t="s">
        <v>1269</v>
      </c>
      <c r="E15" s="2515"/>
      <c r="F15" s="2515"/>
    </row>
    <row r="16" spans="1:7" ht="13.5" customHeight="1" x14ac:dyDescent="0.2">
      <c r="A16" s="1252"/>
      <c r="B16" s="1246" t="s">
        <v>1268</v>
      </c>
      <c r="C16" s="1818" t="s">
        <v>1267</v>
      </c>
      <c r="D16" s="2516" t="s">
        <v>1588</v>
      </c>
      <c r="E16" s="2516"/>
      <c r="F16" s="2516"/>
    </row>
    <row r="17" spans="1:6" ht="20.45" customHeight="1" x14ac:dyDescent="0.2">
      <c r="A17" s="1253"/>
      <c r="B17" s="1254"/>
      <c r="C17" s="1255"/>
      <c r="D17" s="2514"/>
      <c r="E17" s="2514"/>
      <c r="F17" s="2514"/>
    </row>
    <row r="18" spans="1:6" ht="20.65" customHeight="1" x14ac:dyDescent="0.2">
      <c r="A18" s="1253"/>
      <c r="B18" s="1254"/>
      <c r="C18" s="1255"/>
      <c r="D18" s="2514"/>
      <c r="E18" s="2514"/>
      <c r="F18" s="2514"/>
    </row>
    <row r="19" spans="1:6" ht="20.65" customHeight="1" x14ac:dyDescent="0.2">
      <c r="A19" s="1253"/>
      <c r="B19" s="1254"/>
      <c r="C19" s="1255"/>
      <c r="D19" s="2514"/>
      <c r="E19" s="2514"/>
      <c r="F19" s="2514"/>
    </row>
    <row r="20" spans="1:6" ht="20.65" customHeight="1" x14ac:dyDescent="0.2">
      <c r="A20" s="1253"/>
      <c r="B20" s="1254"/>
      <c r="C20" s="1255"/>
      <c r="D20" s="2514"/>
      <c r="E20" s="2514"/>
      <c r="F20" s="2514"/>
    </row>
    <row r="21" spans="1:6" ht="20.65" customHeight="1" x14ac:dyDescent="0.2">
      <c r="A21" s="1253"/>
      <c r="B21" s="1254"/>
      <c r="C21" s="1255"/>
      <c r="D21" s="2514"/>
      <c r="E21" s="2514"/>
      <c r="F21" s="2514"/>
    </row>
    <row r="22" spans="1:6" ht="20.65" customHeight="1" x14ac:dyDescent="0.2">
      <c r="A22" s="1253"/>
      <c r="B22" s="1254"/>
      <c r="C22" s="1255"/>
      <c r="D22" s="2514"/>
      <c r="E22" s="2514"/>
      <c r="F22" s="2514"/>
    </row>
    <row r="23" spans="1:6" ht="20.65" customHeight="1" x14ac:dyDescent="0.2">
      <c r="A23" s="1253"/>
      <c r="B23" s="1254"/>
      <c r="C23" s="1255"/>
      <c r="D23" s="2514"/>
      <c r="E23" s="2514"/>
      <c r="F23" s="2514"/>
    </row>
    <row r="24" spans="1:6" ht="20.65" customHeight="1" x14ac:dyDescent="0.2">
      <c r="A24" s="1253"/>
      <c r="B24" s="1254"/>
      <c r="C24" s="1255"/>
      <c r="D24" s="2514"/>
      <c r="E24" s="2514"/>
      <c r="F24" s="2514"/>
    </row>
    <row r="25" spans="1:6" ht="20.65" customHeight="1" x14ac:dyDescent="0.2">
      <c r="A25" s="1253"/>
      <c r="B25" s="1254"/>
      <c r="C25" s="1255"/>
      <c r="D25" s="2514"/>
      <c r="E25" s="2514"/>
      <c r="F25" s="2514"/>
    </row>
    <row r="26" spans="1:6" ht="20.65" customHeight="1" x14ac:dyDescent="0.2">
      <c r="A26" s="1253"/>
      <c r="B26" s="1254"/>
      <c r="C26" s="1255"/>
      <c r="D26" s="2514"/>
      <c r="E26" s="2514"/>
      <c r="F26" s="2514"/>
    </row>
    <row r="27" spans="1:6" ht="20.65" customHeight="1" x14ac:dyDescent="0.2">
      <c r="A27" s="1253"/>
      <c r="B27" s="1254"/>
      <c r="C27" s="1255"/>
      <c r="D27" s="2514"/>
      <c r="E27" s="2514"/>
      <c r="F27" s="2514"/>
    </row>
    <row r="28" spans="1:6" ht="20.65" customHeight="1" x14ac:dyDescent="0.2">
      <c r="A28" s="1253"/>
      <c r="B28" s="1254"/>
      <c r="C28" s="1255"/>
      <c r="D28" s="2514"/>
      <c r="E28" s="2514"/>
      <c r="F28" s="2514"/>
    </row>
    <row r="29" spans="1:6" ht="20.65" customHeight="1" x14ac:dyDescent="0.2">
      <c r="A29" s="1253"/>
      <c r="B29" s="1254"/>
      <c r="C29" s="1255"/>
      <c r="D29" s="2514"/>
      <c r="E29" s="2514"/>
      <c r="F29" s="2514"/>
    </row>
    <row r="30" spans="1:6" ht="12" customHeight="1" x14ac:dyDescent="0.2">
      <c r="A30" s="328"/>
      <c r="B30" s="328"/>
      <c r="C30" s="1435"/>
      <c r="D30" s="1871"/>
      <c r="E30" s="1256"/>
    </row>
    <row r="31" spans="1:6" ht="12" customHeight="1" x14ac:dyDescent="0.2">
      <c r="A31" s="1257" t="s">
        <v>1549</v>
      </c>
      <c r="B31" s="328"/>
      <c r="C31" s="1435"/>
      <c r="D31" s="1871"/>
      <c r="E31" s="1256"/>
    </row>
    <row r="32" spans="1:6" ht="30" customHeight="1" x14ac:dyDescent="0.2">
      <c r="A32" s="2518" t="s">
        <v>1732</v>
      </c>
      <c r="B32" s="2518"/>
      <c r="C32" s="2518"/>
      <c r="D32" s="2518"/>
      <c r="E32" s="2518"/>
      <c r="F32" s="2518"/>
    </row>
    <row r="33" spans="1:6" ht="13.5" customHeight="1" x14ac:dyDescent="0.2">
      <c r="A33" s="328" t="s">
        <v>1434</v>
      </c>
      <c r="B33" s="328"/>
      <c r="C33" s="1258">
        <v>0</v>
      </c>
      <c r="D33" s="1871"/>
      <c r="E33" s="1256"/>
    </row>
    <row r="34" spans="1:6" ht="13.5" customHeight="1" x14ac:dyDescent="0.2">
      <c r="A34" s="328" t="s">
        <v>1838</v>
      </c>
      <c r="B34" s="328"/>
      <c r="C34" s="1259">
        <v>0</v>
      </c>
      <c r="D34" s="1871" t="s">
        <v>1589</v>
      </c>
      <c r="E34" s="2519">
        <f>+C33+C34</f>
        <v>0</v>
      </c>
      <c r="F34" s="2520"/>
    </row>
    <row r="35" spans="1:6" ht="12" customHeight="1" x14ac:dyDescent="0.2">
      <c r="A35" s="328"/>
      <c r="B35" s="328"/>
      <c r="C35" s="1872"/>
      <c r="D35" s="1871"/>
      <c r="E35" s="1260"/>
      <c r="F35" s="1261"/>
    </row>
    <row r="36" spans="1:6" ht="13.5" customHeight="1" x14ac:dyDescent="0.2">
      <c r="A36" s="1257" t="s">
        <v>1550</v>
      </c>
      <c r="B36" s="328"/>
      <c r="C36" s="1435"/>
      <c r="D36" s="1871"/>
      <c r="E36" s="1256"/>
    </row>
    <row r="37" spans="1:6" ht="14.25" customHeight="1" x14ac:dyDescent="0.2">
      <c r="A37" s="328" t="s">
        <v>1484</v>
      </c>
      <c r="B37" s="328"/>
      <c r="C37" s="1873"/>
      <c r="D37" s="1871"/>
      <c r="E37" s="1256"/>
    </row>
    <row r="38" spans="1:6" ht="14.25" customHeight="1" x14ac:dyDescent="0.2">
      <c r="A38" s="328"/>
      <c r="B38" s="328" t="s">
        <v>1435</v>
      </c>
      <c r="C38" s="1262"/>
      <c r="D38" s="1871"/>
      <c r="E38" s="1256"/>
    </row>
    <row r="39" spans="1:6" ht="14.25" customHeight="1" x14ac:dyDescent="0.2">
      <c r="A39" s="328"/>
      <c r="B39" s="328" t="s">
        <v>1436</v>
      </c>
      <c r="C39" s="1262"/>
      <c r="D39" s="1871"/>
      <c r="E39" s="1256"/>
    </row>
    <row r="40" spans="1:6" ht="14.25" customHeight="1" x14ac:dyDescent="0.2">
      <c r="A40" s="328"/>
      <c r="B40" s="328" t="s">
        <v>1437</v>
      </c>
      <c r="C40" s="1262"/>
      <c r="D40" s="1871"/>
      <c r="E40" s="1256"/>
    </row>
    <row r="41" spans="1:6" ht="14.25" customHeight="1" x14ac:dyDescent="0.2">
      <c r="A41" s="328"/>
      <c r="B41" s="328" t="s">
        <v>1438</v>
      </c>
      <c r="C41" s="1262"/>
      <c r="D41" s="1871"/>
      <c r="E41" s="1256"/>
    </row>
    <row r="42" spans="1:6" ht="14.25" customHeight="1" x14ac:dyDescent="0.2">
      <c r="A42" s="328" t="s">
        <v>1439</v>
      </c>
      <c r="B42" s="328"/>
      <c r="C42" s="1869"/>
      <c r="D42" s="1871"/>
      <c r="E42" s="1256"/>
    </row>
    <row r="43" spans="1:6" ht="14.25" customHeight="1" x14ac:dyDescent="0.2">
      <c r="A43" s="328" t="s">
        <v>1440</v>
      </c>
      <c r="B43" s="328"/>
      <c r="C43" s="1263"/>
      <c r="D43" s="1871"/>
      <c r="E43" s="1256"/>
    </row>
    <row r="44" spans="1:6" ht="14.25" customHeight="1" x14ac:dyDescent="0.2">
      <c r="A44" s="328"/>
      <c r="B44" s="328"/>
      <c r="C44" s="1873" t="s">
        <v>1441</v>
      </c>
      <c r="D44" s="1871"/>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1" t="s">
        <v>1590</v>
      </c>
      <c r="C49" s="2521"/>
      <c r="D49" s="2521"/>
      <c r="E49" s="1369"/>
    </row>
    <row r="50" spans="1:5" s="1270" customFormat="1" ht="3.75" customHeight="1" x14ac:dyDescent="0.2">
      <c r="A50" s="1269"/>
      <c r="B50" s="1817"/>
      <c r="C50" s="1817"/>
      <c r="D50" s="1817"/>
      <c r="E50" s="1369"/>
    </row>
    <row r="51" spans="1:5" s="1270" customFormat="1" ht="20.25" customHeight="1" x14ac:dyDescent="0.2">
      <c r="A51" s="1271">
        <v>6</v>
      </c>
      <c r="B51" s="2517" t="s">
        <v>1551</v>
      </c>
      <c r="C51" s="2517"/>
      <c r="D51" s="2517"/>
    </row>
    <row r="52" spans="1:5" ht="14.25" customHeight="1" x14ac:dyDescent="0.2">
      <c r="A52" s="1271"/>
      <c r="B52" s="2517"/>
      <c r="C52" s="2517"/>
      <c r="D52" s="2517"/>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G18" sqref="G18"/>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6" t="str">
        <f>'Single Audit Cover'!A7</f>
        <v>Prairie Grove CSD 46</v>
      </c>
      <c r="C1" s="2527"/>
      <c r="D1" s="2527"/>
      <c r="E1" s="2527"/>
      <c r="F1" s="2527"/>
      <c r="G1" s="2527"/>
      <c r="H1" s="2527"/>
      <c r="I1" s="2527"/>
      <c r="J1" s="1379"/>
    </row>
    <row r="2" spans="2:10" s="317" customFormat="1" ht="12.75" customHeight="1" x14ac:dyDescent="0.2">
      <c r="B2" s="2528">
        <f>'Single Audit Cover'!E7</f>
        <v>44063046003</v>
      </c>
      <c r="C2" s="2529"/>
      <c r="D2" s="2529"/>
      <c r="E2" s="2529"/>
      <c r="F2" s="2529"/>
      <c r="G2" s="2529"/>
      <c r="H2" s="2529"/>
      <c r="I2" s="2529"/>
      <c r="J2" s="1379"/>
    </row>
    <row r="3" spans="2:10" s="317" customFormat="1" ht="12.75" customHeight="1" x14ac:dyDescent="0.2">
      <c r="B3" s="2530" t="s">
        <v>1285</v>
      </c>
      <c r="C3" s="2531"/>
      <c r="D3" s="2531"/>
      <c r="E3" s="2531"/>
      <c r="F3" s="2531"/>
      <c r="G3" s="2531"/>
      <c r="H3" s="2531"/>
      <c r="I3" s="2531"/>
      <c r="J3" s="1380"/>
    </row>
    <row r="4" spans="2:10" s="317" customFormat="1" ht="12.75" customHeight="1" x14ac:dyDescent="0.2">
      <c r="B4" s="2530" t="str">
        <f>'Single Audit Cover'!A4</f>
        <v>Year Ending June 30, 2019</v>
      </c>
      <c r="C4" s="2531"/>
      <c r="D4" s="2531"/>
      <c r="E4" s="2531"/>
      <c r="F4" s="2531"/>
      <c r="G4" s="2531"/>
      <c r="H4" s="2531"/>
      <c r="I4" s="2531"/>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0" t="s">
        <v>1284</v>
      </c>
      <c r="C7" s="2531"/>
      <c r="D7" s="2531"/>
      <c r="E7" s="2531"/>
      <c r="F7" s="2531"/>
      <c r="G7" s="2531"/>
      <c r="H7" s="2531"/>
      <c r="I7" s="2531"/>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2"/>
      <c r="D11" s="2532"/>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3"/>
      <c r="E29" s="2533"/>
      <c r="F29" s="2533"/>
      <c r="G29" s="2533"/>
      <c r="H29" s="2533"/>
      <c r="I29" s="2533"/>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4" t="s">
        <v>1751</v>
      </c>
      <c r="D37" s="2535"/>
      <c r="E37" s="2535"/>
      <c r="F37" s="2536"/>
      <c r="G37" s="2534" t="s">
        <v>1592</v>
      </c>
      <c r="H37" s="2535"/>
      <c r="I37" s="2536"/>
    </row>
    <row r="38" spans="2:9" ht="16.5" customHeight="1" x14ac:dyDescent="0.2">
      <c r="B38" s="1401"/>
      <c r="C38" s="2522"/>
      <c r="D38" s="2523"/>
      <c r="E38" s="2523"/>
      <c r="F38" s="2524"/>
      <c r="G38" s="2537"/>
      <c r="H38" s="2538"/>
      <c r="I38" s="2539"/>
    </row>
    <row r="39" spans="2:9" ht="16.5" customHeight="1" x14ac:dyDescent="0.2">
      <c r="B39" s="1401"/>
      <c r="C39" s="2522"/>
      <c r="D39" s="2523"/>
      <c r="E39" s="2523"/>
      <c r="F39" s="2524"/>
      <c r="G39" s="2525"/>
      <c r="H39" s="2525"/>
      <c r="I39" s="2525"/>
    </row>
    <row r="40" spans="2:9" ht="16.5" customHeight="1" x14ac:dyDescent="0.2">
      <c r="B40" s="1401"/>
      <c r="C40" s="2522"/>
      <c r="D40" s="2523"/>
      <c r="E40" s="2523"/>
      <c r="F40" s="2524"/>
      <c r="G40" s="2525"/>
      <c r="H40" s="2525"/>
      <c r="I40" s="2525"/>
    </row>
    <row r="41" spans="2:9" ht="16.5" customHeight="1" x14ac:dyDescent="0.2">
      <c r="B41" s="1401"/>
      <c r="C41" s="2522"/>
      <c r="D41" s="2523"/>
      <c r="E41" s="2523"/>
      <c r="F41" s="2524"/>
      <c r="G41" s="2525"/>
      <c r="H41" s="2525"/>
      <c r="I41" s="2525"/>
    </row>
    <row r="42" spans="2:9" ht="16.5" customHeight="1" x14ac:dyDescent="0.2">
      <c r="B42" s="1401"/>
      <c r="C42" s="2522"/>
      <c r="D42" s="2523"/>
      <c r="E42" s="2523"/>
      <c r="F42" s="2524"/>
      <c r="G42" s="2525"/>
      <c r="H42" s="2525"/>
      <c r="I42" s="2525"/>
    </row>
    <row r="43" spans="2:9" ht="16.5" customHeight="1" x14ac:dyDescent="0.2">
      <c r="B43" s="1401"/>
      <c r="C43" s="2540" t="s">
        <v>1593</v>
      </c>
      <c r="D43" s="2541"/>
      <c r="E43" s="2541"/>
      <c r="F43" s="2542"/>
      <c r="G43" s="2543">
        <f>SUM(G38:I42)</f>
        <v>0</v>
      </c>
      <c r="H43" s="2543"/>
      <c r="I43" s="2543"/>
    </row>
    <row r="44" spans="2:9" ht="12.75" customHeight="1" x14ac:dyDescent="0.2"/>
    <row r="45" spans="2:9" ht="12.75" customHeight="1" x14ac:dyDescent="0.2">
      <c r="B45" s="1392" t="s">
        <v>1841</v>
      </c>
      <c r="D45" s="2544">
        <v>0</v>
      </c>
      <c r="E45" s="2545"/>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6"/>
      <c r="F49" s="2546"/>
      <c r="G49" s="2546"/>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6" t="str">
        <f>'Single Audit Cover'!A7</f>
        <v>Prairie Grove CSD 46</v>
      </c>
      <c r="C1" s="2526"/>
      <c r="D1" s="2526"/>
      <c r="E1" s="2526"/>
      <c r="F1" s="2526"/>
      <c r="G1" s="2526"/>
      <c r="H1" s="2526"/>
      <c r="I1" s="2526"/>
      <c r="J1" s="2526"/>
      <c r="K1" s="2526"/>
      <c r="L1" s="1344"/>
      <c r="M1" s="1344"/>
    </row>
    <row r="2" spans="1:13" ht="12" customHeight="1" x14ac:dyDescent="0.2">
      <c r="B2" s="2528">
        <f>'Single Audit Cover'!E7</f>
        <v>44063046003</v>
      </c>
      <c r="C2" s="2528"/>
      <c r="D2" s="2528"/>
      <c r="E2" s="2528"/>
      <c r="F2" s="2528"/>
      <c r="G2" s="2528"/>
      <c r="H2" s="2528"/>
      <c r="I2" s="2528"/>
      <c r="J2" s="2528"/>
      <c r="K2" s="2528"/>
      <c r="L2" s="1345"/>
      <c r="M2" s="1346"/>
    </row>
    <row r="3" spans="1:13" ht="10.35" customHeight="1" x14ac:dyDescent="0.2">
      <c r="B3" s="2549" t="s">
        <v>1285</v>
      </c>
      <c r="C3" s="2549"/>
      <c r="D3" s="2549"/>
      <c r="E3" s="2549"/>
      <c r="F3" s="2549"/>
      <c r="G3" s="2549"/>
      <c r="H3" s="2549"/>
      <c r="I3" s="2549"/>
      <c r="J3" s="2549"/>
      <c r="K3" s="2549"/>
      <c r="L3" s="1347"/>
      <c r="M3" s="1347"/>
    </row>
    <row r="4" spans="1:13" ht="14.25" customHeight="1" x14ac:dyDescent="0.2">
      <c r="B4" s="2550" t="str">
        <f>'Single Audit Cover'!A4</f>
        <v>Year Ending June 30, 2019</v>
      </c>
      <c r="C4" s="2550"/>
      <c r="D4" s="2550"/>
      <c r="E4" s="2550"/>
      <c r="F4" s="2550"/>
      <c r="G4" s="2550"/>
      <c r="H4" s="2550"/>
      <c r="I4" s="2550"/>
      <c r="J4" s="2550"/>
      <c r="K4" s="2550"/>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0" t="s">
        <v>1296</v>
      </c>
      <c r="C7" s="2550"/>
      <c r="D7" s="2551"/>
      <c r="E7" s="2551"/>
      <c r="F7" s="2551"/>
      <c r="G7" s="2551"/>
      <c r="H7" s="2551"/>
      <c r="I7" s="2551"/>
      <c r="J7" s="2551"/>
      <c r="K7" s="2551"/>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48"/>
      <c r="C14" s="2548"/>
      <c r="D14" s="2548"/>
      <c r="E14" s="2548"/>
      <c r="F14" s="2548"/>
      <c r="G14" s="2548"/>
      <c r="H14" s="2548"/>
      <c r="I14" s="2548"/>
      <c r="J14" s="2548"/>
      <c r="K14" s="2548"/>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48"/>
      <c r="C17" s="2548"/>
      <c r="D17" s="2548"/>
      <c r="E17" s="2548"/>
      <c r="F17" s="2548"/>
      <c r="G17" s="2548"/>
      <c r="H17" s="2548"/>
      <c r="I17" s="2548"/>
      <c r="J17" s="2548"/>
      <c r="K17" s="2548"/>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2"/>
      <c r="C20" s="2552"/>
      <c r="D20" s="2548"/>
      <c r="E20" s="2548"/>
      <c r="F20" s="2548"/>
      <c r="G20" s="2548"/>
      <c r="H20" s="2548"/>
      <c r="I20" s="2548"/>
      <c r="J20" s="2548"/>
      <c r="K20" s="2548"/>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48"/>
      <c r="C23" s="2548"/>
      <c r="D23" s="2548"/>
      <c r="E23" s="2548"/>
      <c r="F23" s="2548"/>
      <c r="G23" s="2548"/>
      <c r="H23" s="2548"/>
      <c r="I23" s="2548"/>
      <c r="J23" s="2548"/>
      <c r="K23" s="2548"/>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48"/>
      <c r="C26" s="2548"/>
      <c r="D26" s="2548"/>
      <c r="E26" s="2548"/>
      <c r="F26" s="2548"/>
      <c r="G26" s="2548"/>
      <c r="H26" s="2548"/>
      <c r="I26" s="2548"/>
      <c r="J26" s="2548"/>
      <c r="K26" s="2548"/>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47"/>
      <c r="C29" s="2547"/>
      <c r="D29" s="2548"/>
      <c r="E29" s="2548"/>
      <c r="F29" s="2548"/>
      <c r="G29" s="2548"/>
      <c r="H29" s="2548"/>
      <c r="I29" s="2548"/>
      <c r="J29" s="2548"/>
      <c r="K29" s="2548"/>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47"/>
      <c r="C32" s="2547"/>
      <c r="D32" s="2548"/>
      <c r="E32" s="2548"/>
      <c r="F32" s="2548"/>
      <c r="G32" s="2548"/>
      <c r="H32" s="2548"/>
      <c r="I32" s="2548"/>
      <c r="J32" s="2548"/>
      <c r="K32" s="2548"/>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3" t="str">
        <f>'Single Audit Cover'!A7</f>
        <v>Prairie Grove CSD 46</v>
      </c>
      <c r="C1" s="2553"/>
      <c r="D1" s="2553"/>
      <c r="E1" s="2553"/>
      <c r="F1" s="2553"/>
      <c r="G1" s="2553"/>
      <c r="H1" s="2553"/>
      <c r="I1" s="2553"/>
      <c r="J1" s="2553"/>
      <c r="K1" s="2553"/>
      <c r="L1" s="1422"/>
    </row>
    <row r="2" spans="1:12" ht="12.75" customHeight="1" x14ac:dyDescent="0.2">
      <c r="B2" s="2554">
        <f>'Single Audit Cover'!E7</f>
        <v>44063046003</v>
      </c>
      <c r="C2" s="2554"/>
      <c r="D2" s="2554"/>
      <c r="E2" s="2554"/>
      <c r="F2" s="2554"/>
      <c r="G2" s="2554"/>
      <c r="H2" s="2554"/>
      <c r="I2" s="2554"/>
      <c r="J2" s="2554"/>
      <c r="K2" s="2554"/>
      <c r="L2" s="1423"/>
    </row>
    <row r="3" spans="1:12" ht="12.75" customHeight="1" x14ac:dyDescent="0.2">
      <c r="B3" s="2549" t="s">
        <v>1285</v>
      </c>
      <c r="C3" s="2549"/>
      <c r="D3" s="2549"/>
      <c r="E3" s="2549"/>
      <c r="F3" s="2549"/>
      <c r="G3" s="2549"/>
      <c r="H3" s="2549"/>
      <c r="I3" s="2549"/>
      <c r="J3" s="2549"/>
      <c r="K3" s="2549"/>
      <c r="L3" s="1347"/>
    </row>
    <row r="4" spans="1:12" ht="12.75" customHeight="1" x14ac:dyDescent="0.2">
      <c r="B4" s="2549" t="str">
        <f>'Single Audit Cover'!A4</f>
        <v>Year Ending June 30, 2019</v>
      </c>
      <c r="C4" s="2549"/>
      <c r="D4" s="2549"/>
      <c r="E4" s="2549"/>
      <c r="F4" s="2549"/>
      <c r="G4" s="2549"/>
      <c r="H4" s="2549"/>
      <c r="I4" s="2549"/>
      <c r="J4" s="2549"/>
      <c r="K4" s="2549"/>
      <c r="L4" s="1347"/>
    </row>
    <row r="5" spans="1:12" ht="5.25" customHeight="1" x14ac:dyDescent="0.2">
      <c r="B5" s="1230" t="s">
        <v>1169</v>
      </c>
      <c r="C5" s="1230"/>
      <c r="L5" s="322"/>
    </row>
    <row r="6" spans="1:12" ht="30.75" customHeight="1" x14ac:dyDescent="0.2">
      <c r="A6" s="322"/>
      <c r="B6" s="2555" t="s">
        <v>1308</v>
      </c>
      <c r="C6" s="2555"/>
      <c r="D6" s="2555"/>
      <c r="E6" s="2555"/>
      <c r="F6" s="2555"/>
      <c r="G6" s="2555"/>
      <c r="H6" s="2555"/>
      <c r="I6" s="2555"/>
      <c r="J6" s="2555"/>
      <c r="K6" s="2555"/>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3"/>
      <c r="G12" s="2533"/>
      <c r="H12" s="2533"/>
      <c r="I12" s="2533"/>
      <c r="J12" s="2533"/>
      <c r="K12" s="2533"/>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6"/>
      <c r="E14" s="2556"/>
      <c r="F14" s="2556"/>
      <c r="H14" s="1432" t="s">
        <v>1303</v>
      </c>
      <c r="I14" s="2557"/>
      <c r="J14" s="2557"/>
      <c r="K14" s="2557"/>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57"/>
      <c r="E16" s="2557"/>
      <c r="F16" s="2557"/>
      <c r="G16" s="2557"/>
      <c r="H16" s="2557"/>
      <c r="I16" s="2557"/>
      <c r="J16" s="2557"/>
      <c r="K16" s="2557"/>
      <c r="L16" s="322"/>
    </row>
    <row r="17" spans="2:12" ht="13.5" customHeight="1" x14ac:dyDescent="0.2">
      <c r="B17" s="1357" t="s">
        <v>1301</v>
      </c>
      <c r="C17" s="1357"/>
      <c r="D17" s="2558"/>
      <c r="E17" s="2558"/>
      <c r="F17" s="2558"/>
      <c r="G17" s="2558"/>
      <c r="H17" s="2558"/>
      <c r="I17" s="2558"/>
      <c r="J17" s="2558"/>
      <c r="K17" s="2558"/>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48"/>
      <c r="C20" s="2548"/>
      <c r="D20" s="2548"/>
      <c r="E20" s="2548"/>
      <c r="F20" s="2548"/>
      <c r="G20" s="2548"/>
      <c r="H20" s="2548"/>
      <c r="I20" s="2548"/>
      <c r="J20" s="2548"/>
      <c r="K20" s="2548"/>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48"/>
      <c r="C23" s="2548"/>
      <c r="D23" s="2548"/>
      <c r="E23" s="2548"/>
      <c r="F23" s="2548"/>
      <c r="G23" s="2548"/>
      <c r="H23" s="2548"/>
      <c r="I23" s="2548"/>
      <c r="J23" s="2548"/>
      <c r="K23" s="2548"/>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48"/>
      <c r="C26" s="2548"/>
      <c r="D26" s="2548"/>
      <c r="E26" s="2548"/>
      <c r="F26" s="2548"/>
      <c r="G26" s="2548"/>
      <c r="H26" s="2548"/>
      <c r="I26" s="2548"/>
      <c r="J26" s="2548"/>
      <c r="K26" s="2548"/>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48"/>
      <c r="C29" s="2548"/>
      <c r="D29" s="2548"/>
      <c r="E29" s="2548"/>
      <c r="F29" s="2548"/>
      <c r="G29" s="2548"/>
      <c r="H29" s="2548"/>
      <c r="I29" s="2548"/>
      <c r="J29" s="2548"/>
      <c r="K29" s="2548"/>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48"/>
      <c r="C32" s="2548"/>
      <c r="D32" s="2548"/>
      <c r="E32" s="2548"/>
      <c r="F32" s="2548"/>
      <c r="G32" s="2548"/>
      <c r="H32" s="2548"/>
      <c r="I32" s="2548"/>
      <c r="J32" s="2548"/>
      <c r="K32" s="2548"/>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48"/>
      <c r="C35" s="2548"/>
      <c r="D35" s="2548"/>
      <c r="E35" s="2548"/>
      <c r="F35" s="2548"/>
      <c r="G35" s="2548"/>
      <c r="H35" s="2548"/>
      <c r="I35" s="2548"/>
      <c r="J35" s="2548"/>
      <c r="K35" s="2548"/>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48"/>
      <c r="C38" s="2548"/>
      <c r="D38" s="2548"/>
      <c r="E38" s="2548"/>
      <c r="F38" s="2548"/>
      <c r="G38" s="2548"/>
      <c r="H38" s="2548"/>
      <c r="I38" s="2548"/>
      <c r="J38" s="2548"/>
      <c r="K38" s="2548"/>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48"/>
      <c r="C41" s="2548"/>
      <c r="D41" s="2548"/>
      <c r="E41" s="2548"/>
      <c r="F41" s="2548"/>
      <c r="G41" s="2548"/>
      <c r="H41" s="2548"/>
      <c r="I41" s="2548"/>
      <c r="J41" s="2548"/>
      <c r="K41" s="2548"/>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6" t="str">
        <f>'Single Audit Cover'!A7</f>
        <v>Prairie Grove CSD 46</v>
      </c>
      <c r="C1" s="2526"/>
      <c r="D1" s="2526"/>
      <c r="E1" s="1442"/>
    </row>
    <row r="2" spans="2:5" s="1252" customFormat="1" ht="12.75" customHeight="1" x14ac:dyDescent="0.2">
      <c r="B2" s="2528">
        <f>'Single Audit Cover'!E7</f>
        <v>44063046003</v>
      </c>
      <c r="C2" s="2528"/>
      <c r="D2" s="2528"/>
      <c r="E2" s="1443"/>
    </row>
    <row r="3" spans="2:5" ht="12.75" customHeight="1" x14ac:dyDescent="0.2">
      <c r="B3" s="2549" t="s">
        <v>1766</v>
      </c>
      <c r="C3" s="2549"/>
      <c r="D3" s="2549"/>
      <c r="E3" s="1244"/>
    </row>
    <row r="4" spans="2:5" s="1252" customFormat="1" ht="12.75" customHeight="1" x14ac:dyDescent="0.2">
      <c r="B4" s="2559" t="str">
        <f>'Single Audit Cover'!A4</f>
        <v>Year Ending June 30, 2019</v>
      </c>
      <c r="C4" s="2559"/>
      <c r="D4" s="2559"/>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microsoft.com/sharepoint/v3"/>
    <ds:schemaRef ds:uri="4d435f69-8686-490b-bd6d-b153bf22ab50"/>
    <ds:schemaRef ds:uri="d21dc803-237d-4c68-8692-8d731fd29118"/>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2019-07-16T13:19:28Z</cp:lastPrinted>
  <dcterms:created xsi:type="dcterms:W3CDTF">2003-10-29T19:06:34Z</dcterms:created>
  <dcterms:modified xsi:type="dcterms:W3CDTF">2019-11-06T20:28:51Z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vt:lpwstr>
  </property>
</Properties>
</file>