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7CCC6BB-1648-4BC9-B95F-B9646DFA755E}"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2" i="11" l="1"/>
  <c r="J10" i="1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K355" i="29" l="1"/>
  <c r="B7794" i="106" s="1"/>
  <c r="B7793" i="106"/>
  <c r="B7814" i="106"/>
  <c r="D7814" i="106" s="1"/>
  <c r="F29" i="34"/>
  <c r="B7811" i="106"/>
  <c r="D7811" i="106" s="1"/>
  <c r="H357" i="29"/>
  <c r="K354" i="29"/>
  <c r="B7791" i="106"/>
  <c r="D12" i="171"/>
  <c r="B7809" i="106"/>
  <c r="D7809" i="106" s="1"/>
  <c r="F166" i="34"/>
  <c r="K356" i="29"/>
  <c r="K282" i="29"/>
  <c r="B7784" i="106" s="1"/>
  <c r="B7783" i="106"/>
  <c r="D285" i="29"/>
  <c r="B7810" i="106"/>
  <c r="D7810" i="106" s="1"/>
  <c r="B5196" i="106"/>
  <c r="H334" i="29"/>
  <c r="B7789" i="106" s="1"/>
  <c r="B7785" i="106"/>
  <c r="K332" i="29"/>
  <c r="D17" i="171"/>
  <c r="B7779" i="106"/>
  <c r="K158" i="29"/>
  <c r="B7780" i="106" s="1"/>
  <c r="B7774" i="106"/>
  <c r="K133" i="29"/>
  <c r="B7776" i="106" s="1"/>
  <c r="E137" i="29"/>
  <c r="E139" i="29" s="1"/>
  <c r="B7775" i="106"/>
  <c r="H137" i="29"/>
  <c r="B7816" i="106"/>
  <c r="D7816" i="106" s="1"/>
  <c r="B7812" i="106"/>
  <c r="D7812" i="106" s="1"/>
  <c r="F167" i="34"/>
  <c r="B7813" i="106"/>
  <c r="D7813" i="106" s="1"/>
  <c r="K333" i="29"/>
  <c r="B7788" i="106" s="1"/>
  <c r="B7787" i="106"/>
  <c r="K159" i="29"/>
  <c r="B7782" i="106" s="1"/>
  <c r="B7781" i="106"/>
  <c r="B7815" i="106"/>
  <c r="D7815" i="106" s="1"/>
  <c r="B15" i="7"/>
  <c r="H5" i="12"/>
  <c r="H14" i="12"/>
  <c r="K157" i="29"/>
  <c r="B7778" i="106" s="1"/>
  <c r="B7777" i="106"/>
  <c r="H160" i="29"/>
  <c r="B7786" i="106"/>
  <c r="B51" i="106"/>
  <c r="B49" i="106"/>
  <c r="B48" i="106"/>
  <c r="B47" i="106"/>
  <c r="B46" i="106"/>
  <c r="B45" i="106"/>
  <c r="B44" i="106"/>
  <c r="B43" i="106"/>
  <c r="B42" i="106"/>
  <c r="B41" i="106"/>
  <c r="B50" i="106"/>
  <c r="K160" i="29" l="1"/>
  <c r="F60" i="34" s="1"/>
  <c r="E15" i="4"/>
  <c r="K334" i="29"/>
  <c r="K357" i="29"/>
  <c r="K15" i="4" s="1"/>
  <c r="B7792" i="106"/>
  <c r="F159" i="34"/>
  <c r="B7769" i="106"/>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1" i="106"/>
  <c r="D7792" i="106"/>
  <c r="D7793" i="106"/>
  <c r="D7794" i="106"/>
  <c r="D7795"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F26" i="108"/>
  <c r="E27" i="108"/>
  <c r="G27" i="108"/>
  <c r="F36" i="108"/>
  <c r="G28" i="108"/>
  <c r="D36" i="108"/>
  <c r="E31" i="108"/>
  <c r="G31" i="108"/>
  <c r="G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F14" i="4"/>
  <c r="B2597" i="106" s="1"/>
  <c r="D2597" i="106" s="1"/>
  <c r="B2633" i="106"/>
  <c r="D2633" i="106" s="1"/>
  <c r="N22" i="3"/>
  <c r="B283" i="106" s="1"/>
  <c r="D283" i="106" s="1"/>
  <c r="D7" i="118"/>
  <c r="D8" i="118"/>
  <c r="D9" i="118"/>
  <c r="H14" i="118"/>
  <c r="H19" i="118"/>
  <c r="H24" i="118"/>
  <c r="D22" i="37"/>
  <c r="J22" i="37"/>
  <c r="G14" i="4" l="1"/>
  <c r="B2609" i="106" s="1"/>
  <c r="D2609" i="106" s="1"/>
  <c r="F71" i="34"/>
  <c r="F37" i="108"/>
  <c r="G33" i="108"/>
  <c r="D37" i="108"/>
  <c r="F27" i="108"/>
  <c r="B2724" i="106"/>
  <c r="D2724" i="106" s="1"/>
  <c r="F36" i="34"/>
  <c r="B7790" i="106"/>
  <c r="D7790" i="106" s="1"/>
  <c r="F74" i="34"/>
  <c r="J15" i="4"/>
  <c r="B7796" i="106" s="1"/>
  <c r="D7796" i="106" s="1"/>
  <c r="D69" i="36"/>
  <c r="D24" i="37"/>
  <c r="B4270" i="106" s="1"/>
  <c r="D4270" i="106" s="1"/>
  <c r="B6289" i="106"/>
  <c r="D6289" i="106" s="1"/>
  <c r="F31" i="108"/>
  <c r="F38" i="34"/>
  <c r="G35" i="108"/>
  <c r="E35" i="108"/>
  <c r="H28" i="118"/>
  <c r="F44" i="34"/>
  <c r="L22" i="37"/>
  <c r="D11" i="37"/>
  <c r="H29" i="118"/>
  <c r="D31" i="36"/>
  <c r="B7047" i="106"/>
  <c r="D7047" i="106" s="1"/>
  <c r="F37" i="34"/>
  <c r="G29" i="108"/>
  <c r="E29" i="108"/>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K28" i="118" l="1"/>
  <c r="O27" i="118" s="1"/>
  <c r="O29" i="118" s="1"/>
  <c r="F41" i="108"/>
  <c r="G43" i="108" s="1"/>
  <c r="B4435" i="106"/>
  <c r="D4435" i="106" s="1"/>
  <c r="I151" i="29"/>
  <c r="F59" i="34"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F24" i="37"/>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10" i="146" l="1"/>
  <c r="F8" i="146"/>
  <c r="F175" i="34"/>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D81" i="4"/>
  <c r="D58" i="36" s="1"/>
  <c r="B212" i="106"/>
  <c r="D212" i="106" s="1"/>
  <c r="H41" i="3"/>
  <c r="B6216" i="106"/>
  <c r="D6216" i="106" s="1"/>
  <c r="D51" i="36"/>
  <c r="B2912" i="106"/>
  <c r="D2912" i="106" s="1"/>
  <c r="I41" i="3"/>
  <c r="B3567" i="106"/>
  <c r="D3567" i="106" s="1"/>
  <c r="K41" i="3"/>
  <c r="B3278" i="106"/>
  <c r="D3278" i="106" s="1"/>
  <c r="E81" i="4"/>
  <c r="N21" i="3" s="1"/>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D83" i="4" s="1"/>
  <c r="B6277" i="106" s="1"/>
  <c r="D6277" i="106" s="1"/>
  <c r="C11" i="146"/>
  <c r="B1644" i="106"/>
  <c r="D1644" i="106" s="1"/>
  <c r="D41" i="3"/>
  <c r="D45" i="36" s="1"/>
  <c r="B123" i="106"/>
  <c r="D123" i="106" s="1"/>
  <c r="B140" i="106"/>
  <c r="D140" i="106" s="1"/>
  <c r="E41" i="3"/>
  <c r="J16" i="37"/>
  <c r="B4269" i="106" s="1"/>
  <c r="D4269" i="106" s="1"/>
  <c r="D76" i="36"/>
  <c r="B2913" i="106"/>
  <c r="D2913" i="106" s="1"/>
  <c r="D50" i="36"/>
  <c r="B92" i="106"/>
  <c r="D92" i="106" s="1"/>
  <c r="C41" i="3"/>
  <c r="B3568" i="106"/>
  <c r="D3568" i="106" s="1"/>
  <c r="D52"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l="1"/>
  <c r="D6268" i="106" s="1"/>
  <c r="B124" i="106"/>
  <c r="D124" i="106" s="1"/>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<sst xmlns="http://schemas.openxmlformats.org/spreadsheetml/2006/main" count="5132" uniqueCount="2135">
  <si>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</si>
  <si>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</si>
  <si>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</si>
  <si>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</si>
  <si>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</si>
  <si>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</si>
  <si>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</si>
  <si>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</si>
  <si>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</si>
  <si>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</si>
  <si>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</si>
  <si>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</si>
  <si>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</si>
  <si>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</si>
  <si>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</si>
  <si>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</si>
  <si>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</si>
  <si>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</si>
  <si>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</si>
  <si>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</si>
  <si>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</si>
  <si>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</si>
  <si>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</si>
  <si>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</si>
  <si>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</si>
  <si>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</si>
  <si>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</si>
  <si>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</si>
  <si>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</si>
  <si>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</si>
  <si>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</si>
  <si>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</si>
  <si>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</si>
  <si>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</si>
  <si>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</si>
  <si>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</si>
  <si>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</si>
  <si>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</si>
  <si>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</si>
  <si>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</si>
  <si>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</si>
  <si>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</si>
  <si>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</si>
  <si>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</si>
  <si>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</si>
  <si>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</si>
  <si>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</si>
  <si>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</si>
  <si>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</si>
  <si>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</si>
  <si>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</si>
  <si>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</si>
  <si>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</si>
  <si>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</si>
  <si>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</si>
  <si>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</si>
  <si>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</si>
  <si>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</si>
  <si>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</si>
  <si>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</si>
  <si>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</si>
  <si>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</si>
  <si>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</si>
  <si>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</si>
  <si>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</si>
  <si>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</si>
  <si>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</si>
  <si>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</si>
  <si>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</si>
  <si>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</si>
  <si>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</si>
  <si>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</si>
  <si>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</si>
  <si>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</si>
  <si>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</si>
  <si>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</si>
  <si>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</si>
  <si>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</si>
  <si>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</si>
  <si>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</si>
  <si>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</si>
  <si>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</si>
  <si>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</si>
  <si>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</si>
  <si>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</si>
  <si>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</si>
  <si>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</si>
  <si>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</si>
  <si>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</si>
  <si>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</si>
  <si>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</si>
  <si>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</si>
  <si>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</si>
  <si>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</si>
  <si>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</si>
  <si>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</si>
  <si>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</si>
  <si>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</si>
  <si>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</si>
  <si>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</si>
  <si>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</si>
  <si>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</si>
  <si>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</si>
  <si>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</si>
  <si>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</si>
  <si>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</si>
  <si>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</si>
  <si>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</si>
  <si>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</si>
  <si>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</si>
  <si>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</si>
  <si>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</si>
  <si>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</si>
  <si>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</si>
  <si>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</si>
  <si>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</si>
  <si>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</si>
  <si>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</si>
  <si>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</si>
  <si>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</si>
  <si>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</si>
  <si>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</si>
  <si>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</si>
  <si>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</si>
  <si>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</si>
  <si>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</si>
  <si>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</si>
  <si>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</si>
  <si>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</si>
  <si>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</si>
  <si>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</si>
  <si>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</si>
  <si>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</si>
  <si>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</si>
  <si>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</si>
  <si>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</si>
  <si>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</si>
  <si>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</si>
  <si>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</si>
  <si>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</si>
  <si>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</si>
  <si>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</si>
  <si>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</si>
  <si>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</si>
  <si>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</si>
  <si>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</si>
  <si>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</si>
  <si>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</si>
  <si>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</si>
  <si>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</si>
  <si>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</si>
  <si>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</si>
  <si>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</si>
  <si>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</si>
  <si>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</si>
  <si>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</si>
  <si>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</si>
  <si>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</si>
  <si>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</si>
  <si>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</si>
  <si>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</si>
  <si>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</si>
  <si>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</si>
  <si>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</si>
  <si>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</si>
  <si>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</si>
  <si>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</si>
  <si>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</si>
  <si>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</si>
  <si>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</si>
  <si>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</si>
  <si>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</si>
  <si>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</si>
  <si>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</si>
  <si>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</si>
  <si>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</si>
  <si>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</si>
  <si>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</si>
  <si>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</si>
  <si>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</si>
  <si>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</si>
  <si>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</si>
  <si>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</si>
  <si>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</si>
  <si>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</si>
  <si>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</si>
  <si>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</si>
  <si>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</si>
  <si>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</si>
  <si>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</si>
  <si>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</si>
  <si>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</si>
  <si>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</si>
  <si>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</si>
  <si>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</si>
  <si>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</si>
  <si>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</si>
  <si>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</si>
  <si>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</si>
  <si>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</si>
  <si>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</si>
  <si>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</si>
  <si>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</si>
  <si>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</si>
  <si>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</si>
  <si>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</si>
  <si>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</si>
  <si>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</si>
  <si>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</si>
  <si>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</si>
  <si>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</si>
  <si>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</si>
  <si>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</si>
  <si>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</si>
  <si>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</si>
  <si>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</si>
  <si>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</si>
  <si>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</si>
  <si>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</si>
  <si>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</si>
  <si>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</si>
  <si>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</si>
  <si>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</si>
  <si>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</si>
  <si>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</si>
  <si>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</si>
  <si>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</si>
  <si>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</si>
  <si>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</si>
  <si>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</si>
  <si>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</si>
  <si>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</si>
  <si>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</si>
  <si>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</si>
  <si>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</si>
  <si>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</si>
  <si>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</si>
  <si>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</si>
  <si>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</si>
  <si>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</si>
  <si>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</si>
  <si>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</si>
  <si>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</si>
  <si>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</si>
  <si>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</si>
  <si>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</si>
  <si>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</si>
  <si>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</si>
  <si>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</si>
  <si>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</si>
  <si>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</si>
  <si>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</si>
  <si>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</si>
  <si>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</si>
  <si>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</si>
  <si>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</si>
  <si>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</si>
  <si>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</si>
  <si>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</si>
  <si>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</si>
  <si>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</si>
  <si>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</si>
  <si>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</si>
  <si>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</si>
  <si>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</si>
  <si>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</si>
  <si>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</si>
  <si>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</si>
  <si>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</si>
  <si>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</si>
  <si>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</si>
  <si>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</si>
  <si>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</si>
  <si>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</si>
  <si>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</si>
  <si>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</si>
  <si>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</si>
  <si>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</si>
  <si>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</si>
  <si>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</si>
  <si>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</si>
  <si>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</si>
  <si>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</si>
  <si>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</si>
  <si>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</si>
  <si>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</si>
  <si>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</si>
  <si>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</si>
  <si>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</si>
  <si>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</si>
  <si>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</si>
  <si>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</si>
  <si>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</si>
  <si>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</si>
  <si>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</si>
  <si>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</si>
  <si>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</si>
  <si>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</si>
  <si>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</si>
  <si>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</si>
  <si>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</si>
  <si>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</si>
  <si>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</si>
  <si>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</si>
  <si>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</si>
  <si>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</si>
  <si>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</si>
  <si>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</si>
  <si>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</si>
  <si>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</si>
  <si>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</si>
  <si>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</si>
  <si>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</si>
  <si>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</si>
  <si>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</si>
  <si>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</si>
  <si>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</si>
  <si>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</si>
  <si>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</si>
  <si>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</si>
  <si>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</si>
  <si>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</si>
  <si>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</si>
  <si>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</si>
  <si>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</si>
  <si>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</si>
  <si>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</si>
  <si>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</si>
  <si>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</si>
  <si>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</si>
  <si>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</si>
  <si>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</si>
  <si>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</si>
  <si>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</si>
  <si>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</si>
  <si>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</si>
  <si>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</si>
  <si>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</si>
  <si>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</si>
  <si>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</si>
  <si>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</si>
  <si>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</si>
  <si>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</si>
  <si>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</si>
  <si>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</si>
  <si>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</si>
  <si>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</si>
  <si>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</si>
  <si>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</si>
  <si>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</si>
  <si>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</si>
  <si>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</si>
  <si>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</si>
  <si>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</si>
  <si>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</si>
  <si>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</si>
  <si>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</si>
  <si>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</si>
  <si>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</si>
  <si>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</si>
  <si>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</si>
  <si>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</si>
  <si>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</si>
  <si>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</si>
  <si>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</si>
  <si>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</si>
  <si>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</si>
  <si>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</si>
  <si>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</si>
  <si>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</si>
  <si>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</si>
  <si>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</si>
  <si>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</si>
  <si>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</si>
  <si>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</si>
  <si>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</si>
  <si>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</si>
  <si>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</si>
  <si>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</si>
  <si>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</si>
  <si>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</si>
  <si>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</si>
  <si>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</si>
  <si>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</si>
  <si>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</si>
  <si>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</si>
  <si>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</si>
  <si>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</si>
  <si>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</si>
  <si>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</si>
  <si>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</si>
  <si>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</si>
  <si>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</si>
  <si>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</si>
  <si>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</si>
  <si>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</si>
  <si>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</si>
  <si>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</si>
  <si>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</si>
  <si>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</si>
  <si>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</si>
  <si>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</si>
  <si>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</si>
  <si>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</si>
  <si>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</si>
  <si>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</si>
  <si>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</si>
  <si>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</si>
  <si>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</si>
  <si>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</si>
  <si>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</si>
  <si>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</si>
  <si>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</si>
  <si>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</si>
  <si>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</si>
  <si>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</si>
  <si>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</si>
  <si>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</si>
  <si>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</si>
  <si>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</si>
  <si>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</si>
  <si>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</si>
  <si>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</si>
  <si>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</si>
  <si>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</si>
  <si>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</si>
  <si>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</si>
  <si>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</si>
  <si>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</si>
  <si>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</si>
  <si>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</si>
  <si>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</si>
  <si>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</si>
  <si>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</si>
  <si>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</si>
  <si>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</si>
  <si>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</si>
  <si>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</si>
  <si>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</si>
  <si>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</si>
  <si>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</si>
  <si>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</si>
  <si>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</si>
  <si>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</si>
  <si>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</si>
  <si>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</si>
  <si>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</si>
  <si>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</si>
  <si>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</si>
  <si>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</si>
  <si>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</si>
  <si>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</si>
  <si>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</si>
  <si>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</si>
  <si>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</si>
  <si>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</si>
  <si>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</si>
  <si>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</si>
  <si>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</si>
  <si>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</si>
  <si>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</si>
  <si>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</si>
  <si>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</si>
  <si>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</si>
  <si>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</si>
  <si>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</si>
  <si>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</si>
  <si>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</si>
  <si>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</si>
  <si>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</si>
  <si>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</si>
  <si>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</si>
  <si>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</si>
  <si>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</si>
  <si>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</si>
  <si>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</si>
  <si>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</si>
  <si>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</si>
  <si>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</si>
  <si>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</si>
  <si>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</si>
  <si>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</si>
  <si>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</si>
  <si>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</si>
  <si>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</si>
  <si>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</si>
  <si>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</si>
  <si>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</si>
  <si>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</si>
  <si>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</si>
  <si>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</si>
  <si>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</si>
  <si>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</si>
  <si>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</si>
  <si>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</si>
  <si>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</si>
  <si>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</si>
  <si>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</si>
  <si>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</si>
  <si>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</si>
  <si>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</si>
  <si>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</si>
  <si>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</si>
  <si>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</si>
  <si>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</si>
  <si>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</si>
  <si>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</si>
  <si>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</si>
  <si>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</si>
  <si>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</si>
  <si>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</si>
  <si>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</si>
  <si>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</si>
  <si>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</si>
  <si>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</si>
  <si>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</si>
  <si>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</si>
  <si>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</si>
  <si>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</si>
  <si>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</si>
  <si>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</si>
  <si>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</si>
  <si>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</si>
  <si>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</si>
  <si>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</si>
  <si>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</si>
  <si>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</si>
  <si>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</si>
  <si>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</si>
  <si>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</si>
  <si>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</si>
  <si>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</si>
  <si>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</si>
  <si>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</si>
  <si>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</si>
  <si>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</si>
  <si>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</si>
  <si>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</si>
  <si>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</si>
  <si>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</si>
  <si>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</si>
  <si>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</si>
  <si>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</si>
  <si>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</si>
  <si>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</si>
  <si>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</si>
  <si>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</si>
  <si>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</si>
  <si>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</si>
  <si>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</si>
  <si>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</si>
  <si>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</si>
  <si>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</si>
  <si>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</si>
  <si>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</si>
  <si>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</si>
  <si>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</si>
  <si>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</si>
  <si>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</si>
  <si>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</si>
  <si>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</si>
  <si>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</si>
  <si>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</si>
  <si>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</si>
  <si>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</si>
  <si>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</si>
  <si>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</si>
  <si>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</si>
  <si>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</si>
  <si>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</si>
  <si>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</si>
  <si>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</si>
  <si>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</si>
  <si>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</si>
  <si>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</si>
  <si>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</si>
  <si>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</si>
  <si>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</si>
  <si>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</si>
  <si>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</si>
  <si>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</si>
  <si>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</si>
  <si>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</si>
  <si>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</si>
  <si>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</si>
  <si>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</si>
  <si>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</si>
  <si>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</si>
  <si>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</si>
  <si>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</si>
  <si>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</si>
  <si>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</si>
  <si>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</si>
  <si>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</si>
  <si>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</si>
  <si>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</si>
  <si>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</si>
  <si>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</si>
  <si>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</si>
  <si>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</si>
  <si>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</si>
  <si>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</si>
  <si>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</si>
  <si>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</si>
  <si>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</si>
  <si>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</si>
  <si>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</si>
  <si>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</si>
  <si>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</si>
  <si>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</si>
  <si>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</si>
  <si>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</si>
  <si>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</si>
  <si>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</si>
  <si>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</si>
  <si>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</si>
  <si>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</si>
  <si>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</si>
  <si>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</si>
  <si>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</si>
  <si>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</si>
  <si>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</si>
  <si>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</si>
  <si>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</si>
  <si>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</si>
  <si>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</si>
  <si>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</si>
  <si>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</si>
  <si>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</si>
  <si>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</si>
  <si>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</si>
  <si>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</si>
  <si>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</si>
  <si>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</si>
  <si>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</si>
  <si>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</si>
  <si>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</si>
  <si>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</si>
  <si>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</si>
  <si>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</si>
  <si>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</si>
  <si>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</si>
  <si>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</si>
  <si>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</si>
  <si>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</si>
  <si>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</si>
  <si>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</si>
  <si>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</si>
  <si>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</si>
  <si>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</si>
  <si>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</si>
  <si>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</si>
  <si>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</si>
  <si>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</si>
  <si>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</si>
  <si>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</si>
  <si>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</si>
  <si>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</si>
  <si>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</si>
  <si>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</si>
  <si>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</si>
  <si>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</si>
  <si>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</si>
  <si>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</si>
  <si>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</si>
  <si>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</si>
  <si>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</si>
  <si>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</si>
  <si>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</si>
  <si>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</si>
  <si>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</si>
  <si>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</si>
  <si>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</si>
  <si>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</si>
  <si>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</si>
  <si>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</si>
  <si>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</si>
  <si>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</si>
  <si>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</si>
  <si>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</si>
  <si>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</si>
  <si>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</si>
  <si>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</si>
  <si>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</si>
  <si>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</si>
  <si>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</si>
  <si>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</si>
  <si>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</si>
  <si>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</si>
  <si>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</si>
  <si>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</si>
  <si>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</si>
  <si>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</si>
  <si>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</si>
  <si>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</si>
  <si>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</si>
  <si>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</si>
  <si>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</si>
  <si>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</si>
  <si>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</si>
  <si>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</si>
  <si>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</si>
  <si>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</si>
  <si>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</si>
  <si>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</si>
  <si>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</si>
  <si>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</si>
  <si>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</si>
  <si>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</si>
  <si>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</si>
  <si>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</si>
  <si>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</si>
  <si>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</si>
  <si>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</si>
  <si>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</si>
  <si>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</si>
  <si>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</si>
  <si>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</si>
  <si>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</si>
  <si>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</si>
  <si>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</si>
  <si>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</si>
  <si>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</si>
  <si>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</si>
  <si>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</si>
  <si>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</si>
  <si>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</si>
  <si>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</si>
  <si>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</si>
  <si>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</si>
  <si>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</si>
  <si>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</si>
  <si>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</si>
  <si>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</si>
  <si>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</si>
  <si>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</si>
  <si>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</si>
  <si>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</si>
  <si>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</si>
  <si>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</si>
  <si>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</si>
  <si>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</si>
  <si>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</si>
  <si>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</si>
  <si>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</si>
  <si>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</si>
  <si>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</si>
  <si>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</si>
  <si>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</si>
  <si>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</si>
  <si>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</si>
  <si>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</si>
  <si>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</si>
  <si>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</si>
  <si>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</si>
  <si>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</si>
  <si>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</si>
  <si>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</si>
  <si>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</si>
  <si>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</si>
  <si>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</si>
  <si>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</si>
  <si>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</si>
  <si>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</si>
  <si>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</si>
  <si>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</si>
  <si>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</si>
  <si>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</si>
  <si>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</si>
  <si>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</si>
  <si>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</si>
  <si>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</si>
  <si>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</si>
  <si>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</si>
  <si>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</si>
  <si>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</si>
  <si>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</si>
  <si>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</si>
  <si>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</si>
  <si>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</si>
  <si>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</si>
  <si>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</si>
  <si>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</si>
  <si>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</si>
  <si>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</si>
  <si>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</si>
  <si>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</si>
  <si>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</si>
  <si>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</si>
  <si>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</si>
  <si>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</si>
  <si>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</si>
  <si>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</si>
  <si>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</si>
  <si>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</si>
  <si>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</si>
  <si>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</si>
  <si>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</si>
  <si>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</si>
  <si>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</si>
  <si>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</si>
  <si>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</si>
  <si>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</si>
  <si>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</si>
  <si>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</si>
  <si>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</si>
  <si>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</si>
  <si>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</si>
  <si>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</si>
  <si>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</si>
  <si>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</si>
  <si>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</si>
  <si>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</si>
  <si>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</si>
  <si>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</si>
  <si>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</si>
  <si>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</si>
  <si>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</si>
  <si>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</si>
  <si>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</si>
  <si>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</si>
  <si>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</si>
  <si>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</si>
  <si>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</si>
  <si>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</si>
  <si>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</si>
  <si>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</si>
  <si>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</si>
  <si>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</si>
  <si>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</si>
  <si>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</si>
  <si>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</si>
  <si>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</si>
  <si>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</si>
  <si>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</si>
  <si>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</si>
  <si>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</si>
  <si>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</si>
  <si>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</si>
  <si>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</si>
  <si>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</si>
  <si>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</si>
  <si>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</si>
  <si>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</si>
  <si>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</si>
  <si>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</si>
  <si>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</si>
  <si>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</si>
  <si>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</si>
  <si>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</si>
  <si>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</si>
  <si>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</si>
  <si>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</si>
  <si>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</si>
  <si>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</si>
  <si>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</si>
  <si>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</si>
  <si>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</si>
  <si>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</si>
  <si>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</si>
  <si>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</si>
  <si>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</si>
  <si>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</si>
  <si>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</si>
  <si>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</si>
  <si>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</si>
  <si>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</si>
  <si>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</si>
  <si>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</si>
  <si>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</si>
  <si>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</si>
  <si>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</si>
  <si>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</si>
  <si>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</si>
  <si>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</si>
  <si>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</si>
  <si>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</si>
  <si>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</si>
  <si>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</si>
  <si>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</si>
  <si>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</si>
  <si>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</si>
  <si>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</si>
  <si>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</si>
  <si>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</si>
  <si>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</si>
  <si>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</si>
  <si>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</si>
  <si>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</si>
  <si>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</si>
  <si>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</si>
  <si>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</si>
  <si>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</si>
  <si>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</si>
  <si>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</si>
  <si>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</si>
  <si>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</si>
  <si>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</si>
  <si>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</si>
  <si>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</si>
  <si>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</si>
  <si>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</si>
  <si>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</si>
  <si>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</si>
  <si>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</si>
  <si>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</si>
  <si>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</si>
  <si>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</si>
  <si>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</si>
  <si>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</si>
  <si>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</si>
  <si>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</si>
  <si>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</si>
  <si>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</si>
  <si>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</si>
  <si>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</si>
  <si>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</si>
  <si>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</si>
  <si>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</si>
  <si>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</si>
  <si>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</si>
  <si>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</si>
  <si>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</si>
  <si>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</si>
  <si>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</si>
  <si>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</si>
  <si>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</si>
  <si>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</si>
  <si>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</si>
  <si>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</si>
  <si>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</si>
  <si>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</si>
  <si>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</si>
  <si>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</si>
  <si>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</si>
  <si>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</si>
  <si>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</si>
  <si>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</si>
  <si>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</si>
  <si>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</si>
  <si>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</si>
  <si>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</si>
  <si>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</si>
  <si>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</si>
  <si>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</si>
  <si>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</si>
  <si>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</si>
  <si>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</si>
  <si>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</si>
  <si>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</si>
  <si>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</si>
  <si>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</si>
  <si>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</si>
  <si>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</si>
  <si>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</si>
  <si>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</si>
  <si>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</si>
  <si>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</si>
  <si>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</si>
  <si>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</si>
  <si>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</si>
  <si>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</si>
  <si>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</si>
  <si>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</si>
  <si>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</si>
  <si>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</si>
  <si>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</si>
  <si>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</si>
  <si>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</si>
  <si>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</si>
  <si>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</si>
  <si>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</si>
  <si>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</si>
  <si>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</si>
  <si>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</si>
  <si>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</si>
  <si>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</si>
  <si>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</si>
  <si>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</si>
  <si>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</si>
  <si>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</si>
  <si>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</si>
  <si>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</si>
  <si>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</si>
  <si>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</si>
  <si>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</si>
  <si>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</si>
  <si>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</si>
  <si>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</si>
  <si>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</si>
  <si>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</si>
  <si>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</si>
  <si>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</si>
  <si>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</si>
  <si>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</si>
  <si>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</si>
  <si>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</si>
  <si>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</si>
  <si>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</si>
  <si>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</si>
  <si>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</si>
  <si>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</si>
  <si>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</si>
  <si>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</si>
  <si>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</si>
  <si>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</si>
  <si>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</si>
  <si>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</si>
  <si>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</si>
  <si>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</si>
  <si>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</si>
  <si>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</si>
  <si>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</si>
  <si>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</si>
  <si>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</si>
  <si>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</si>
  <si>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</si>
  <si>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</si>
  <si>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</si>
  <si>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</si>
  <si>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</si>
  <si>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</si>
  <si>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</si>
  <si>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</si>
  <si>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</si>
  <si>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</si>
  <si>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</si>
  <si>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</si>
  <si>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</si>
  <si>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</si>
  <si>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</si>
  <si>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</si>
  <si>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</si>
  <si>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</si>
  <si>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</si>
  <si>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</si>
  <si>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</si>
  <si>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</si>
  <si>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</si>
  <si>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</si>
  <si>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</si>
  <si>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</si>
  <si>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</si>
  <si>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</si>
  <si>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</si>
  <si>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</si>
  <si>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</si>
  <si>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</si>
  <si>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</si>
  <si>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</si>
  <si>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</si>
  <si>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</si>
  <si>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</si>
  <si>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</si>
  <si>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</si>
  <si>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</si>
  <si>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</si>
  <si>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</si>
  <si>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</si>
  <si>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</si>
  <si>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</si>
  <si>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</si>
  <si>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</si>
  <si>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</si>
  <si>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</si>
  <si>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</si>
  <si>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</si>
  <si>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</si>
  <si>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</si>
  <si>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</si>
  <si>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</si>
  <si>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</si>
  <si>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</si>
  <si>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</si>
  <si>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</si>
  <si>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</si>
  <si>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</si>
  <si>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</si>
  <si>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</si>
  <si>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</si>
  <si>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</si>
  <si>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</si>
  <si>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</si>
  <si>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</si>
  <si>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</si>
  <si>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</si>
  <si>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</si>
  <si>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</si>
  <si>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</si>
  <si>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</si>
  <si>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</si>
  <si>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</si>
  <si>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</si>
  <si>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</si>
  <si>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</si>
  <si>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</si>
  <si>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</si>
  <si>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</si>
  <si>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</si>
  <si>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</si>
  <si>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</si>
  <si>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</si>
  <si>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</si>
  <si>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</si>
  <si>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</si>
  <si>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</si>
  <si>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</si>
  <si>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</si>
  <si>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</si>
  <si>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</si>
  <si>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</si>
  <si>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</si>
  <si>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</si>
  <si>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</si>
  <si>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</si>
  <si>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</si>
  <si>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</si>
  <si>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</si>
  <si>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</si>
  <si>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</si>
  <si>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</si>
  <si>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</si>
  <si>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</si>
  <si>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</si>
  <si>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</si>
  <si>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</si>
  <si>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</si>
  <si>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</si>
  <si>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</si>
  <si>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</si>
  <si>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</si>
  <si>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</si>
  <si>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</si>
  <si>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</si>
  <si>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</si>
  <si>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</si>
  <si>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</si>
  <si>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</si>
  <si>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</si>
  <si>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</si>
  <si>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</si>
  <si>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</si>
  <si>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</si>
  <si>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</si>
  <si>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</si>
  <si>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</si>
  <si>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</si>
  <si>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</si>
  <si>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</si>
  <si>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</si>
  <si>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</si>
  <si>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</si>
  <si>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</si>
  <si>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</si>
  <si>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</si>
  <si>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</si>
  <si>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</si>
  <si>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</si>
  <si>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</si>
  <si>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</si>
  <si>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</si>
  <si>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</si>
  <si>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</si>
  <si>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</si>
  <si>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</si>
  <si>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</si>
  <si>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</si>
  <si>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</si>
  <si>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</si>
  <si>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</si>
  <si>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</si>
  <si>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</si>
  <si>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</si>
  <si>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</si>
  <si>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</si>
  <si>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</si>
  <si>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</si>
  <si>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</si>
  <si>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</si>
  <si>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</si>
  <si>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</si>
  <si>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</si>
  <si>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</si>
  <si>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</si>
  <si>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</si>
  <si>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</si>
  <si>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</si>
  <si>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</si>
  <si>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</si>
  <si>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</si>
  <si>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</si>
  <si>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</si>
  <si>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</si>
  <si>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</si>
  <si>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</si>
  <si>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</si>
  <si>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</si>
  <si>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</si>
  <si>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</si>
  <si>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</si>
  <si>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</si>
  <si>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</si>
  <si>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</si>
  <si>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</si>
  <si>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</si>
  <si>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</si>
  <si>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</si>
  <si>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</si>
  <si>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</si>
  <si>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</si>
  <si>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</si>
  <si>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</si>
  <si>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</si>
  <si>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</si>
  <si>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</si>
  <si>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</si>
  <si>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</si>
  <si>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</si>
  <si>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</si>
  <si>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</si>
  <si>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</si>
  <si>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</si>
  <si>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</si>
  <si>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</si>
  <si>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</si>
  <si>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</si>
  <si>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</si>
  <si>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</si>
  <si>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</si>
  <si>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</si>
  <si>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</si>
  <si>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</si>
  <si>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</si>
  <si>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</si>
  <si>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</si>
  <si>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</si>
  <si>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</si>
  <si>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</si>
  <si>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</si>
  <si>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</si>
  <si>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</si>
  <si>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</si>
  <si>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</si>
  <si>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</si>
  <si>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</si>
  <si>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</si>
  <si>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</si>
  <si>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</si>
  <si>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</si>
  <si>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</si>
  <si>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</si>
  <si>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</si>
  <si>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</si>
  <si>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</si>
  <si>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</si>
  <si>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</si>
  <si>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</si>
  <si>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</si>
  <si>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</si>
  <si>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</si>
  <si>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</si>
  <si>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</si>
  <si>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</si>
  <si>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</si>
  <si>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</si>
  <si>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</si>
  <si>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</si>
  <si>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</si>
  <si>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</si>
  <si>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</si>
  <si>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</si>
  <si>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</si>
  <si>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</si>
  <si>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</si>
  <si>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</si>
  <si>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</si>
  <si>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</si>
  <si>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</si>
  <si>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</si>
  <si>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</si>
  <si>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</si>
  <si>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</si>
  <si>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</si>
  <si>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</si>
  <si>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</si>
  <si>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</si>
  <si>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</si>
  <si>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</si>
  <si>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</si>
  <si>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</si>
  <si>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</si>
  <si>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</si>
  <si>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</si>
  <si>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</si>
  <si>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</si>
  <si>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</si>
  <si>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</si>
  <si>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</si>
  <si>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</si>
  <si>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</si>
  <si>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</si>
  <si>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</si>
  <si>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</si>
  <si>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</si>
  <si>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</si>
  <si>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</si>
  <si>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</si>
  <si>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</si>
  <si>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</si>
  <si>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</si>
  <si>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</si>
  <si>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</si>
  <si>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</si>
  <si>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</si>
  <si>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</si>
  <si>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</si>
  <si>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</si>
  <si>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</si>
  <si>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</si>
  <si>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</si>
  <si>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</si>
  <si>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</si>
  <si>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</si>
  <si>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</si>
  <si>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</si>
  <si>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</si>
  <si>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</si>
  <si>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</si>
  <si>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</si>
  <si>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</si>
  <si>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</si>
  <si>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</si>
  <si>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</si>
  <si>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</si>
  <si>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</si>
  <si>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</si>
  <si>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</si>
  <si>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</si>
  <si>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</si>
  <si>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</si>
  <si>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</si>
  <si>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</si>
  <si>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</si>
  <si>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</si>
  <si>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</si>
  <si>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</si>
  <si>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</si>
  <si>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</si>
  <si>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</si>
  <si>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</si>
  <si>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</si>
  <si>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</si>
  <si>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</si>
  <si>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</si>
  <si>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</si>
  <si>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</si>
  <si>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</si>
  <si>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</si>
  <si>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</si>
  <si>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</si>
  <si>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</si>
  <si>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</si>
  <si>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</si>
  <si>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</si>
  <si>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</si>
  <si>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</si>
  <si>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</si>
  <si>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</si>
  <si>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</si>
  <si>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</si>
  <si>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</si>
  <si>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</si>
  <si>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</si>
  <si>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</si>
  <si>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</si>
  <si>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</si>
  <si>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</si>
  <si>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</si>
  <si>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</si>
  <si>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</si>
  <si>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</si>
  <si>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</si>
  <si>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</si>
  <si>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</si>
  <si>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</si>
  <si>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</si>
  <si>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</si>
  <si>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</si>
  <si>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</si>
  <si>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</si>
  <si>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</si>
  <si>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</si>
  <si>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</si>
  <si>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</si>
  <si>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</si>
  <si>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</si>
  <si>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</si>
  <si>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</si>
  <si>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</si>
  <si>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</si>
  <si>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</si>
  <si>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</si>
  <si>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</si>
  <si>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</si>
  <si>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</si>
  <si>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</si>
  <si>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</si>
  <si>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</si>
  <si>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</si>
  <si>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</si>
  <si>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</si>
  <si>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</si>
  <si>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</si>
  <si>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</si>
  <si>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</si>
  <si>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</si>
  <si>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</si>
  <si>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</si>
  <si>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</si>
  <si>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</si>
  <si>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</si>
  <si>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</si>
  <si>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</si>
  <si>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</si>
  <si>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</si>
  <si>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</si>
  <si>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</si>
  <si>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</si>
  <si>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</si>
  <si>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</si>
  <si>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</si>
  <si>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</si>
  <si>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</si>
  <si>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</si>
  <si>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</si>
  <si>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</si>
  <si>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</si>
  <si>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</si>
  <si>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</si>
  <si>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</si>
  <si>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</si>
  <si>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</si>
  <si>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</si>
  <si>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</si>
  <si>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</si>
  <si>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</si>
  <si>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</si>
  <si>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</si>
  <si>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</si>
  <si>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</si>
  <si>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</si>
  <si>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</si>
  <si>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</si>
  <si>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</si>
  <si>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</si>
  <si>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</si>
  <si>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</si>
  <si>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</si>
  <si>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</si>
  <si>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</si>
  <si>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</si>
  <si>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</si>
  <si>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</si>
  <si>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</si>
  <si>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</si>
  <si>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</si>
  <si>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</si>
  <si>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</si>
  <si>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</si>
  <si>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</si>
  <si>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</si>
  <si>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</si>
  <si>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</si>
  <si>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</si>
  <si>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</si>
  <si>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</si>
  <si>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</si>
  <si>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</si>
  <si>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</si>
  <si>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</si>
  <si>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</si>
  <si>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</si>
  <si>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</si>
  <si>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</si>
  <si>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</si>
  <si>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</si>
  <si>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</si>
  <si>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</si>
  <si>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</si>
  <si>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</si>
  <si>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</si>
  <si>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</si>
  <si>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</si>
  <si>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</si>
  <si>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</si>
  <si>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</si>
  <si>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</si>
  <si>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</si>
  <si>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</si>
  <si>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</si>
  <si>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</si>
  <si>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</si>
  <si>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</si>
  <si>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</si>
  <si>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</si>
  <si>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</si>
  <si>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</si>
  <si>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</si>
  <si>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</si>
  <si>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</si>
  <si>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</si>
  <si>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</si>
  <si>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</si>
  <si>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</si>
  <si>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</si>
  <si>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</si>
  <si>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</si>
  <si>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</si>
  <si>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</si>
  <si>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</si>
  <si>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</si>
  <si>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</si>
  <si>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</si>
  <si>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</si>
  <si>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</si>
  <si>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</si>
  <si>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</si>
  <si>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</si>
  <si>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</si>
  <si>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</si>
  <si>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</si>
  <si>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</si>
  <si>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</si>
  <si>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</si>
  <si>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</si>
  <si>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</si>
  <si>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</si>
  <si>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</si>
  <si>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</si>
  <si>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</si>
  <si>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</si>
  <si>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</si>
  <si>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</si>
  <si>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</si>
  <si>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</si>
  <si>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</si>
  <si>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</si>
  <si>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</si>
  <si>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</si>
  <si>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</si>
  <si>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</si>
  <si>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</si>
  <si>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</si>
  <si>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</si>
  <si>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</si>
  <si>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</si>
  <si>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</si>
  <si>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</si>
  <si>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</si>
  <si>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</si>
  <si>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</si>
  <si>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</si>
  <si>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</si>
  <si>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</si>
  <si>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</si>
  <si>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</si>
  <si>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</si>
  <si>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</si>
  <si>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</si>
  <si>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</si>
  <si>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</si>
  <si>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</si>
  <si>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</si>
  <si>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</si>
  <si>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</si>
  <si>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</si>
  <si>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</si>
  <si>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</si>
  <si>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</si>
  <si>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</si>
  <si>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</si>
  <si>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</si>
  <si>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</si>
  <si>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</si>
  <si>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</si>
  <si>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</si>
  <si>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</si>
  <si>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</si>
  <si>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</si>
  <si>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</si>
  <si>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</si>
  <si>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</si>
  <si>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</si>
  <si>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</si>
  <si>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</si>
  <si>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</si>
  <si>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</si>
  <si>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</si>
  <si>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</si>
  <si>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</si>
  <si>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</si>
  <si>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</si>
  <si>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</si>
  <si>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</si>
  <si>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</si>
  <si>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</si>
  <si>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</si>
  <si>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</si>
  <si>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</si>
  <si>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</si>
  <si>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</si>
  <si>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</si>
  <si>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</si>
  <si>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</si>
  <si>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</si>
  <si>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</si>
  <si>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</si>
  <si>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</si>
  <si>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</si>
  <si>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</si>
  <si>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</si>
  <si>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</si>
  <si>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</si>
  <si>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</si>
  <si>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</si>
  <si>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</si>
  <si>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</si>
  <si>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</si>
  <si>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</si>
  <si>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</si>
  <si>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</si>
  <si>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</si>
  <si>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</si>
  <si>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</si>
  <si>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</si>
  <si>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</si>
  <si>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</si>
  <si>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</si>
  <si>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</si>
  <si>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</si>
  <si>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</si>
  <si>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</si>
  <si>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</si>
  <si>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</si>
  <si>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</si>
  <si>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</si>
  <si>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</si>
  <si>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</si>
  <si>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</si>
  <si>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</si>
  <si>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</si>
  <si>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</si>
  <si>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</si>
  <si>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</si>
  <si>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</si>
  <si>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</si>
  <si>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</si>
  <si>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</si>
  <si>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</si>
  <si>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</si>
  <si>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</si>
  <si>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</si>
  <si>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</si>
  <si>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</si>
  <si>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</si>
  <si>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</si>
  <si>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</si>
  <si>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</si>
  <si>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</si>
  <si>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</si>
  <si>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</si>
  <si>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</si>
  <si>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</si>
  <si>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</si>
  <si>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</si>
  <si>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</si>
  <si>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</si>
  <si>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</si>
  <si>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</si>
  <si>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</si>
  <si>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</si>
  <si>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</si>
  <si>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</si>
  <si>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</si>
  <si>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</si>
  <si>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</si>
  <si>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</si>
  <si>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</si>
  <si>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</si>
  <si>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</si>
  <si>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</si>
  <si>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</si>
  <si>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</si>
  <si>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</si>
  <si>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</si>
  <si>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</si>
  <si>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</si>
  <si>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</si>
  <si>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</si>
  <si>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</si>
  <si>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</si>
  <si>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</si>
  <si>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</si>
  <si>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</si>
  <si>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</si>
  <si>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</si>
  <si>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</si>
  <si>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</si>
  <si>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</si>
  <si>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</si>
  <si>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</si>
  <si>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</si>
  <si>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</si>
  <si>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</si>
  <si>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</si>
  <si>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</si>
  <si>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</si>
  <si>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</si>
  <si>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</si>
  <si>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</si>
  <si>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</si>
  <si>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</si>
  <si>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</si>
  <si>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</si>
  <si>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</si>
  <si>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</si>
  <si>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</si>
  <si>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</si>
  <si>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</si>
  <si>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</si>
  <si>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</si>
  <si>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</si>
  <si>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</si>
  <si>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</si>
  <si>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</si>
  <si>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</si>
  <si>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</si>
  <si>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</si>
  <si>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</si>
  <si>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</si>
  <si>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</si>
  <si>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</si>
  <si>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</si>
  <si>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</si>
  <si>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</si>
  <si>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</si>
  <si>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</si>
  <si>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</si>
  <si>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</si>
  <si>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</si>
  <si>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</si>
  <si>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</si>
  <si>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</si>
  <si>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</si>
  <si>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</si>
  <si>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</si>
  <si>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</si>
  <si>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</si>
  <si>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</si>
  <si>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</si>
  <si>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</si>
  <si>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</si>
  <si>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</si>
  <si>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</si>
  <si>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</si>
  <si>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</si>
  <si>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</si>
  <si>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</si>
  <si>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</si>
  <si>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</si>
  <si>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</si>
  <si>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</si>
  <si>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</si>
  <si>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</si>
  <si>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</si>
  <si>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</si>
  <si>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</si>
  <si>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</si>
  <si>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</si>
  <si>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</si>
  <si>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</si>
  <si>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</si>
  <si>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</si>
  <si>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</si>
  <si>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</si>
  <si>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</si>
  <si>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</si>
  <si>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</si>
  <si>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</si>
  <si>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</si>
  <si>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</si>
  <si>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</si>
  <si>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</si>
  <si>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</si>
  <si>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</si>
  <si>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</si>
  <si>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</si>
  <si>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</si>
  <si>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</si>
  <si>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</si>
  <si>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</si>
  <si>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</si>
  <si>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</si>
  <si>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</si>
  <si>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</si>
  <si>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</si>
  <si>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</si>
  <si>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</si>
  <si>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</si>
  <si>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</si>
  <si>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</si>
  <si>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</si>
  <si>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</si>
  <si>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</si>
  <si>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</si>
  <si>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</si>
  <si>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</si>
  <si>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</si>
  <si>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</si>
  <si>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</si>
  <si>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</si>
  <si>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</si>
  <si>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</si>
  <si>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</si>
  <si>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</si>
  <si>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</si>
  <si>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</si>
  <si>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</si>
  <si>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</si>
  <si>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</si>
  <si>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</si>
  <si>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</si>
  <si>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</si>
  <si>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</si>
  <si>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</si>
  <si>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</si>
  <si>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</si>
  <si>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</si>
  <si>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</si>
  <si>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</si>
  <si>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</si>
  <si>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</si>
  <si>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</si>
  <si>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</si>
  <si>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</si>
  <si>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</si>
  <si>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</si>
  <si>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</si>
  <si>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</si>
  <si>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</si>
  <si>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</si>
  <si>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</si>
  <si>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</si>
  <si>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</si>
  <si>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</si>
  <si>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</si>
  <si>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</si>
  <si>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</si>
  <si>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</si>
  <si>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</si>
  <si>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</si>
  <si>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</si>
  <si>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</si>
  <si>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</si>
  <si>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</si>
  <si>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</si>
  <si>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</si>
  <si>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</si>
  <si>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</si>
  <si>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</si>
  <si>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</si>
  <si>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</si>
  <si>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</si>
  <si>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</si>
  <si>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</si>
  <si>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</si>
  <si>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</si>
  <si>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</si>
  <si>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</si>
  <si>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</si>
  <si>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</si>
  <si>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</si>
  <si>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</si>
  <si>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</si>
  <si>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</si>
  <si>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</si>
  <si>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</si>
  <si>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</si>
  <si>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</si>
  <si>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</si>
  <si>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</si>
  <si>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</si>
  <si>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</si>
  <si>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</si>
  <si>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</si>
  <si>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</si>
  <si>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</si>
  <si>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</si>
  <si>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</si>
  <si>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</si>
  <si>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</si>
  <si>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</si>
  <si>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</si>
  <si>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</si>
  <si>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</si>
  <si>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</si>
  <si>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</si>
  <si>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</si>
  <si>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</si>
  <si>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</si>
  <si>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</si>
  <si>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</si>
  <si>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</si>
  <si>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</si>
  <si>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</si>
  <si>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</si>
  <si>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</si>
  <si>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</si>
  <si>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</si>
  <si>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</si>
  <si>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</si>
  <si>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</si>
  <si>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</si>
  <si>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</si>
  <si>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</si>
  <si>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</si>
  <si>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</si>
  <si>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</si>
  <si>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</si>
  <si>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</si>
  <si>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</si>
  <si>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</si>
  <si>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</si>
  <si>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</si>
  <si>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</si>
  <si>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</si>
  <si>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</si>
  <si>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</si>
  <si>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</si>
  <si>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</si>
  <si>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</si>
  <si>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</si>
  <si>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</si>
  <si>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</si>
  <si>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</si>
  <si>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</si>
  <si>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</si>
  <si>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</si>
  <si>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</si>
  <si>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</si>
  <si>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</si>
  <si>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</si>
  <si>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</si>
  <si>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</si>
  <si>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</si>
  <si>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</si>
  <si>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</si>
  <si>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</si>
  <si>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</si>
  <si>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</si>
  <si>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</si>
  <si>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</si>
  <si>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</si>
  <si>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</si>
  <si>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</si>
  <si>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</si>
  <si>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</si>
  <si>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</si>
  <si>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</si>
  <si>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</si>
  <si>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</si>
  <si>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</si>
  <si>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</si>
  <si>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</si>
  <si>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</si>
  <si>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</si>
  <si>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</si>
  <si>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</si>
  <si>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</si>
  <si>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</si>
  <si>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</si>
  <si>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</si>
  <si>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</si>
  <si>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</si>
  <si>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</si>
  <si>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</si>
  <si>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</si>
  <si>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</si>
  <si>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</si>
  <si>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</si>
  <si>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</si>
  <si>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</si>
  <si>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</si>
  <si>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</si>
  <si>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</si>
  <si>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</si>
  <si>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</si>
  <si>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</si>
  <si>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</si>
  <si>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</si>
  <si>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</si>
  <si>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</si>
  <si>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</si>
  <si>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</si>
  <si>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</si>
  <si>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</si>
  <si>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</si>
  <si>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</si>
  <si>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</si>
  <si>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</si>
  <si>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</si>
  <si>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</si>
  <si>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</si>
  <si>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</si>
  <si>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</si>
  <si>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</si>
  <si>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</si>
  <si>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</si>
  <si>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</si>
  <si>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</si>
  <si>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</si>
  <si>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</si>
  <si>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</si>
  <si>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</si>
  <si>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</si>
  <si>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</si>
  <si>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</si>
  <si>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</si>
  <si>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</si>
  <si>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</si>
  <si>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</si>
  <si>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</si>
  <si>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</si>
  <si>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</si>
  <si>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</si>
  <si>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</si>
  <si>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</si>
  <si>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</si>
  <si>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</si>
  <si>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</si>
  <si>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</si>
  <si>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</si>
  <si>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</si>
  <si>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</si>
  <si>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</si>
  <si>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</si>
  <si>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</si>
  <si>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</si>
  <si>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</si>
  <si>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</si>
  <si>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</si>
  <si>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</si>
  <si>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</si>
  <si>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</si>
  <si>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</si>
  <si>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</si>
  <si>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</si>
  <si>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</si>
  <si>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</si>
  <si>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</si>
  <si>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</si>
  <si>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</si>
  <si>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</si>
  <si>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</si>
  <si>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</si>
  <si>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</si>
  <si>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</si>
  <si>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</si>
  <si>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</si>
  <si>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</si>
  <si>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</si>
  <si>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</si>
  <si>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X</t>
  </si>
  <si>
    <t>6809 MCCULLOM LAKE ROAD</t>
  </si>
  <si>
    <t xml:space="preserve">WONDER LAKE </t>
  </si>
  <si>
    <t>SWINGS@HSD36.ORG</t>
  </si>
  <si>
    <t>SUSAN WINGS</t>
  </si>
  <si>
    <t>815-653-2311</t>
  </si>
  <si>
    <t>815-653-1712</t>
  </si>
  <si>
    <t xml:space="preserve">Eder, Casella &amp; Co. </t>
  </si>
  <si>
    <t>x</t>
  </si>
  <si>
    <t>GCA Services Group, Inc.</t>
  </si>
  <si>
    <t>Illinois Energy Consortium</t>
  </si>
  <si>
    <t>ASPMG Inc.</t>
  </si>
  <si>
    <t>CLIC Cooperative</t>
  </si>
  <si>
    <t>PMA</t>
  </si>
  <si>
    <t>Hodges, Loizzi, Eisenhammer, Rodick &amp; Kohn</t>
  </si>
  <si>
    <t>Altholff Industries, HoH Water Technology, Therm Flo Inc., Jensen's</t>
  </si>
  <si>
    <t>SEDOM</t>
  </si>
  <si>
    <t>PLTW, Code to the Future</t>
  </si>
  <si>
    <t>Get Funded, Unified Concepts</t>
  </si>
  <si>
    <t>Tort - General Admin - Insurance</t>
  </si>
  <si>
    <t>Ed- Instruction - Purchased Services</t>
  </si>
  <si>
    <t>O&amp;M - Oper &amp; Maint - Purchased Services</t>
  </si>
  <si>
    <t xml:space="preserve">Trans - Pupil Transportation - Purchased Services </t>
  </si>
  <si>
    <t>Ed - Instructional Staff- Purchased Services</t>
  </si>
  <si>
    <t>Ed- Food Services - Purchased Services</t>
  </si>
  <si>
    <t>10-2220-300</t>
  </si>
  <si>
    <t>20-2540-300</t>
  </si>
  <si>
    <t>40-2550-300</t>
  </si>
  <si>
    <t>10-2560-300</t>
  </si>
  <si>
    <t>CLIC</t>
  </si>
  <si>
    <t xml:space="preserve">Code to the Future </t>
  </si>
  <si>
    <t xml:space="preserve">GCA Services Group </t>
  </si>
  <si>
    <t xml:space="preserve">Ride-On Transportation </t>
  </si>
  <si>
    <t xml:space="preserve">Lakeside Transportation </t>
  </si>
  <si>
    <t xml:space="preserve">Unified Concepts </t>
  </si>
  <si>
    <t xml:space="preserve">ASPMG </t>
  </si>
  <si>
    <t xml:space="preserve">Performace Food Service </t>
  </si>
  <si>
    <t xml:space="preserve">O&amp;M - Snow Removal - Purchased Services </t>
  </si>
  <si>
    <t>Page 10, Line 78 - Admissions - Other</t>
  </si>
  <si>
    <t>Page 10, Line 81 - Other District/School Activity Revenue</t>
  </si>
  <si>
    <t>Page 10, Line 92 - Other Textbook Income</t>
  </si>
  <si>
    <t>Page 12, Line 168 - Other Restricted Revenue from State Sources</t>
  </si>
  <si>
    <t>Page 14, Line 265 - Other Restricted Revenue from Federal Sources</t>
  </si>
  <si>
    <t>Ed Fund - Page 16, Line 73 - Other Support Services</t>
  </si>
  <si>
    <t>Page 10, Line 107 - Other Local Revenues</t>
  </si>
  <si>
    <t>Health &amp; Dental Broker - Gallagher Insurance, TSA Consulting</t>
  </si>
  <si>
    <t>Lakeside Transportation, Ride-On Transit</t>
  </si>
  <si>
    <t xml:space="preserve">PE Uniforms </t>
  </si>
  <si>
    <t xml:space="preserve">Field Trips </t>
  </si>
  <si>
    <t xml:space="preserve">Technology Purchases </t>
  </si>
  <si>
    <t xml:space="preserve">E-Rate Payments, and Miscellaneous Local Revenues </t>
  </si>
  <si>
    <t xml:space="preserve">Medicaid Outreach </t>
  </si>
  <si>
    <t xml:space="preserve">Library Grant </t>
  </si>
  <si>
    <t xml:space="preserve">Reap Grant </t>
  </si>
  <si>
    <t>KEVIN SMITH</t>
  </si>
  <si>
    <t xml:space="preserve">Performance Food Service </t>
  </si>
  <si>
    <t>Explanation for Errors on Audit Check Tab</t>
  </si>
  <si>
    <t>General Long-Term Debt, Cell N23 = Cell N41</t>
  </si>
  <si>
    <t>District has funds in Debt Service fund but retired all of its Long-Term Debt</t>
  </si>
  <si>
    <t>80-2300-300</t>
  </si>
  <si>
    <t>10-2200-300</t>
  </si>
  <si>
    <t>10-1000-300</t>
  </si>
  <si>
    <t>Harrison SD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</si>
</sst>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3" fillId="0" borderId="0" applyAlignment="0"/>
    <xf numFmtId="181" fontId="162" fillId="0" borderId="0" applyFont="0" applyFill="0" applyBorder="0" applyAlignment="0" applyProtection="0"/>
    <xf numFmtId="182" fontId="162" fillId="0" borderId="0" applyFont="0" applyFill="0" applyBorder="0" applyAlignment="0" applyProtection="0"/>
    <xf numFmtId="43" fontId="13" fillId="0" borderId="0" applyAlignment="0"/>
    <xf numFmtId="0" fontId="5" fillId="0" borderId="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183" fontId="162" fillId="0" borderId="0" applyFont="0" applyFill="0" applyBorder="0" applyAlignment="0" applyProtection="0"/>
    <xf numFmtId="184" fontId="162" fillId="0" borderId="0" applyFont="0" applyFill="0" applyBorder="0" applyAlignment="0" applyProtection="0"/>
    <xf numFmtId="43" fontId="13"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0" borderId="0" applyNumberFormat="0" applyBorder="0" applyAlignment="0" applyProtection="0"/>
    <xf numFmtId="0" fontId="144" fillId="31" borderId="0" applyNumberFormat="0" applyBorder="0" applyAlignment="0" applyProtection="0"/>
    <xf numFmtId="0" fontId="156" fillId="32"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44" fillId="30" borderId="0" applyNumberFormat="0" applyBorder="0" applyAlignment="0" applyProtection="0"/>
    <xf numFmtId="0" fontId="144" fillId="34"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7" borderId="0" applyNumberFormat="0" applyBorder="0" applyAlignment="0" applyProtection="0"/>
    <xf numFmtId="0" fontId="144" fillId="31" borderId="0" applyNumberFormat="0" applyBorder="0" applyAlignment="0" applyProtection="0"/>
    <xf numFmtId="0" fontId="156" fillId="31"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5"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44" fillId="30" borderId="0" applyNumberFormat="0" applyBorder="0" applyAlignment="0" applyProtection="0"/>
    <xf numFmtId="0" fontId="144" fillId="37" borderId="0" applyNumberFormat="0" applyBorder="0" applyAlignment="0" applyProtection="0"/>
    <xf numFmtId="0" fontId="156" fillId="37"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62" fillId="0" borderId="165" applyNumberFormat="0" applyFill="0" applyAlignment="0" applyProtection="0"/>
    <xf numFmtId="191" fontId="163" fillId="0" borderId="165" applyNumberFormat="0" applyFill="0" applyAlignment="0" applyProtection="0">
      <alignment horizontal="center"/>
    </xf>
    <xf numFmtId="191" fontId="163" fillId="0" borderId="78" applyFill="0" applyAlignment="0" applyProtection="0">
      <alignment horizontal="center"/>
    </xf>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64" fillId="0" borderId="0" applyProtection="0"/>
    <xf numFmtId="191" fontId="163" fillId="0" borderId="0" applyFill="0" applyBorder="0" applyProtection="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4"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142" fillId="0" borderId="0" applyProtection="0"/>
    <xf numFmtId="192" fontId="162" fillId="0" borderId="0" applyFont="0" applyFill="0" applyBorder="0" applyAlignment="0" applyProtection="0"/>
    <xf numFmtId="191" fontId="163" fillId="0" borderId="167" applyNumberFormat="0" applyFill="0" applyAlignment="0" applyProtection="0"/>
    <xf numFmtId="0" fontId="162" fillId="0" borderId="167" applyNumberFormat="0" applyFill="0" applyAlignment="0" applyProtection="0"/>
    <xf numFmtId="0" fontId="155" fillId="41" borderId="0" applyNumberFormat="0" applyBorder="0" applyAlignment="0" applyProtection="0"/>
    <xf numFmtId="0" fontId="155" fillId="42" borderId="0" applyNumberFormat="0" applyBorder="0" applyAlignment="0" applyProtection="0"/>
    <xf numFmtId="0" fontId="155" fillId="43" borderId="0" applyNumberFormat="0" applyBorder="0" applyAlignment="0" applyProtection="0"/>
    <xf numFmtId="0" fontId="165" fillId="0" borderId="0" applyProtection="0"/>
    <xf numFmtId="0" fontId="14"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2" fillId="0" borderId="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43" fillId="0" borderId="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93" fontId="162" fillId="0" borderId="0" applyFont="0" applyFill="0" applyBorder="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63" fillId="0" borderId="0" applyNumberFormat="0" applyFill="0" applyAlignment="0" applyProtection="0"/>
    <xf numFmtId="0" fontId="13" fillId="0" borderId="0"/>
    <xf numFmtId="0" fontId="13" fillId="0" borderId="0"/>
    <xf numFmtId="0" fontId="13" fillId="0" borderId="0"/>
    <xf numFmtId="0" fontId="13" fillId="0" borderId="0"/>
    <xf numFmtId="0" fontId="5" fillId="0" borderId="0"/>
    <xf numFmtId="0" fontId="141" fillId="0" borderId="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194" fontId="163" fillId="0" borderId="0" applyFill="0" applyBorder="0" applyProtection="0">
      <alignment horizontal="right"/>
    </xf>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195"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3" applyNumberFormat="0" applyFont="0" applyFill="0" applyAlignment="0" applyProtection="0"/>
    <xf numFmtId="0" fontId="162" fillId="0" borderId="174" applyNumberFormat="0" applyFont="0" applyFill="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41" fillId="0" borderId="0"/>
    <xf numFmtId="0" fontId="13" fillId="0" borderId="0"/>
    <xf numFmtId="0" fontId="13" fillId="0" borderId="0"/>
    <xf numFmtId="0" fontId="13" fillId="0" borderId="0"/>
    <xf numFmtId="0" fontId="13" fillId="0" borderId="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5" fillId="0" borderId="0"/>
    <xf numFmtId="0" fontId="13" fillId="0" borderId="0"/>
    <xf numFmtId="43" fontId="5" fillId="0" borderId="0" applyFont="0" applyFill="0" applyBorder="0" applyAlignment="0" applyProtection="0"/>
    <xf numFmtId="5"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 fillId="0" borderId="0"/>
    <xf numFmtId="0" fontId="5" fillId="0" borderId="0"/>
    <xf numFmtId="0" fontId="54" fillId="0" borderId="0"/>
    <xf numFmtId="0" fontId="5" fillId="0" borderId="0"/>
    <xf numFmtId="43" fontId="5" fillId="0" borderId="0" applyFont="0" applyFill="0" applyBorder="0" applyAlignment="0" applyProtection="0"/>
    <xf numFmtId="0" fontId="5" fillId="0" borderId="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57" fillId="0" borderId="0" applyNumberFormat="0" applyFill="0" applyBorder="0" applyAlignment="0" applyProtection="0">
      <alignment vertical="top"/>
      <protection locked="0"/>
    </xf>
    <xf numFmtId="0" fontId="5"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82" fillId="0" borderId="0" applyAlignment="0"/>
    <xf numFmtId="43" fontId="182" fillId="0" borderId="0" applyFont="0" applyFill="0" applyBorder="0" applyAlignment="0" applyProtection="0"/>
    <xf numFmtId="43" fontId="3" fillId="0" borderId="0" applyFont="0" applyFill="0" applyBorder="0" applyAlignment="0" applyProtection="0"/>
    <xf numFmtId="43" fontId="182" fillId="0" borderId="0" applyFont="0" applyFill="0" applyBorder="0" applyAlignment="0" applyProtection="0"/>
    <xf numFmtId="3" fontId="182" fillId="0" borderId="0" applyFont="0" applyFill="0" applyBorder="0" applyAlignment="0" applyProtection="0"/>
    <xf numFmtId="44" fontId="182" fillId="0" borderId="0" applyFont="0" applyFill="0" applyBorder="0" applyAlignment="0" applyProtection="0"/>
    <xf numFmtId="5" fontId="182" fillId="0" borderId="0" applyFont="0" applyFill="0" applyBorder="0" applyAlignment="0" applyProtection="0"/>
    <xf numFmtId="0" fontId="183" fillId="0" borderId="0" applyNumberFormat="0" applyFill="0" applyBorder="0" applyAlignment="0" applyProtection="0">
      <alignment vertical="top"/>
      <protection locked="0"/>
    </xf>
    <xf numFmtId="0" fontId="182" fillId="0" borderId="0"/>
    <xf numFmtId="0" fontId="182" fillId="0" borderId="0"/>
    <xf numFmtId="0" fontId="3" fillId="0" borderId="0"/>
    <xf numFmtId="43" fontId="182" fillId="0" borderId="0" applyAlignment="0"/>
    <xf numFmtId="43" fontId="182" fillId="0" borderId="0" applyAlignment="0"/>
    <xf numFmtId="43" fontId="3" fillId="0" borderId="0" applyFont="0" applyFill="0" applyBorder="0" applyAlignment="0" applyProtection="0"/>
    <xf numFmtId="44" fontId="182" fillId="0" borderId="0" applyFont="0" applyFill="0" applyBorder="0" applyAlignment="0" applyProtection="0"/>
    <xf numFmtId="44" fontId="182" fillId="0" borderId="0" applyFont="0" applyFill="0" applyBorder="0" applyAlignment="0" applyProtection="0"/>
    <xf numFmtId="0"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2"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2" fillId="63" borderId="172" applyNumberFormat="0" applyAlignment="0" applyProtection="0"/>
    <xf numFmtId="0" fontId="155" fillId="0" borderId="178" applyNumberFormat="0" applyFill="0" applyAlignment="0" applyProtection="0"/>
    <xf numFmtId="43" fontId="3" fillId="0" borderId="0" applyFont="0" applyFill="0" applyBorder="0" applyAlignment="0" applyProtection="0"/>
    <xf numFmtId="0" fontId="3" fillId="0" borderId="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43" fontId="3" fillId="0" borderId="0" applyFont="0" applyFill="0" applyBorder="0" applyAlignment="0" applyProtection="0"/>
    <xf numFmtId="0" fontId="3" fillId="0" borderId="0"/>
    <xf numFmtId="0" fontId="3" fillId="0" borderId="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155" fillId="0" borderId="175"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cellStyleXfs>
  <cellXfs count="2557">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5" xfId="12" applyNumberFormat="1" applyFont="1" applyBorder="1" applyAlignment="1" applyProtection="1">
      <alignment horizontal="right" vertical="center"/>
    </xf>
    <xf numFmtId="0" fontId="14" fillId="0" borderId="125" xfId="12" applyFont="1" applyBorder="1" applyAlignment="1" applyProtection="1">
      <alignment vertical="center"/>
    </xf>
    <xf numFmtId="0" fontId="17" fillId="0" borderId="128" xfId="12" applyFont="1" applyBorder="1" applyAlignment="1" applyProtection="1">
      <alignment vertical="center"/>
    </xf>
    <xf numFmtId="0" fontId="17" fillId="0" borderId="126" xfId="12" applyFont="1" applyBorder="1" applyAlignment="1" applyProtection="1">
      <alignment vertical="center"/>
    </xf>
    <xf numFmtId="1" fontId="13" fillId="0" borderId="0" xfId="0" applyNumberFormat="1" applyFont="1" applyAlignment="1">
      <alignment horizontal="center" vertical="center"/>
    </xf>
    <xf numFmtId="0" fontId="14" fillId="0" borderId="135"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21" xfId="0" applyFont="1" applyFill="1" applyBorder="1" applyAlignment="1" applyProtection="1">
      <alignment horizontal="left" vertical="center"/>
    </xf>
    <xf numFmtId="164" fontId="57" fillId="17" borderId="121" xfId="0" applyNumberFormat="1" applyFont="1" applyFill="1" applyBorder="1" applyAlignment="1" applyProtection="1">
      <alignment horizontal="center" vertical="center"/>
    </xf>
    <xf numFmtId="164" fontId="67" fillId="17" borderId="121" xfId="0" applyNumberFormat="1" applyFont="1" applyFill="1" applyBorder="1" applyAlignment="1" applyProtection="1">
      <alignment vertical="center"/>
    </xf>
    <xf numFmtId="0" fontId="80" fillId="10" borderId="122"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81" fillId="11" borderId="103" xfId="0" applyFont="1" applyFill="1" applyBorder="1" applyAlignment="1">
      <alignment vertical="center"/>
    </xf>
    <xf numFmtId="164" fontId="57" fillId="13" borderId="117"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60" fillId="13" borderId="103" xfId="0" applyFont="1" applyFill="1" applyBorder="1" applyAlignment="1" applyProtection="1">
      <alignment vertical="center"/>
    </xf>
    <xf numFmtId="38" fontId="52" fillId="11" borderId="120" xfId="0" applyNumberFormat="1" applyFont="1" applyFill="1" applyBorder="1" applyAlignment="1" applyProtection="1">
      <alignment horizontal="right"/>
      <protection locked="0"/>
    </xf>
    <xf numFmtId="38" fontId="52" fillId="11" borderId="103" xfId="0" applyNumberFormat="1" applyFont="1" applyFill="1" applyBorder="1" applyAlignment="1" applyProtection="1">
      <alignment horizontal="right"/>
      <protection locked="0"/>
    </xf>
    <xf numFmtId="38" fontId="52" fillId="11" borderId="110" xfId="0" applyNumberFormat="1" applyFont="1" applyFill="1" applyBorder="1" applyAlignment="1" applyProtection="1">
      <alignment horizontal="right"/>
      <protection locked="0"/>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65" fillId="13" borderId="117" xfId="0" applyFont="1" applyFill="1" applyBorder="1" applyAlignment="1" applyProtection="1">
      <alignment horizontal="left" vertical="center"/>
    </xf>
    <xf numFmtId="164" fontId="57" fillId="13" borderId="110"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81" fillId="11" borderId="103" xfId="0" applyFont="1" applyFill="1" applyBorder="1" applyAlignment="1">
      <alignment horizontal="left" vertical="center"/>
    </xf>
    <xf numFmtId="0" fontId="57" fillId="13" borderId="118" xfId="0" applyFont="1" applyFill="1" applyBorder="1" applyAlignment="1" applyProtection="1">
      <alignment horizontal="center" vertical="center"/>
    </xf>
    <xf numFmtId="164" fontId="57" fillId="13" borderId="119" xfId="0" applyNumberFormat="1" applyFont="1" applyFill="1" applyBorder="1" applyAlignment="1" applyProtection="1">
      <alignment horizontal="center" vertical="center"/>
    </xf>
    <xf numFmtId="164" fontId="67" fillId="13" borderId="119" xfId="0" applyNumberFormat="1" applyFont="1" applyFill="1" applyBorder="1" applyAlignment="1" applyProtection="1">
      <alignment vertical="center"/>
    </xf>
    <xf numFmtId="38" fontId="52" fillId="11" borderId="110" xfId="0" applyNumberFormat="1" applyFont="1" applyFill="1" applyBorder="1" applyAlignment="1">
      <alignment horizontal="right"/>
    </xf>
    <xf numFmtId="0" fontId="80" fillId="10" borderId="104" xfId="0" applyFont="1" applyFill="1" applyBorder="1" applyAlignment="1">
      <alignment horizontal="left" vertical="center"/>
    </xf>
    <xf numFmtId="38" fontId="52" fillId="10" borderId="104" xfId="0" applyNumberFormat="1" applyFont="1" applyFill="1" applyBorder="1" applyAlignment="1">
      <alignment horizontal="right"/>
    </xf>
    <xf numFmtId="38" fontId="52" fillId="10" borderId="0" xfId="0" applyNumberFormat="1" applyFont="1" applyFill="1" applyBorder="1" applyAlignment="1" applyProtection="1">
      <alignment horizontal="right"/>
      <protection locked="0"/>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38" fontId="60" fillId="0" borderId="2" xfId="0" applyNumberFormat="1" applyFont="1" applyBorder="1" applyAlignment="1" applyProtection="1">
      <alignment vertical="center"/>
      <protection locked="0"/>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0" fontId="60" fillId="0" borderId="0" xfId="5" applyNumberFormat="1"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5" fontId="65" fillId="0" borderId="0" xfId="0" applyNumberFormat="1" applyFont="1" applyFill="1" applyBorder="1" applyAlignment="1" applyProtection="1">
      <alignment horizontal="right"/>
    </xf>
    <xf numFmtId="173" fontId="65" fillId="0" borderId="0" xfId="0" applyNumberFormat="1" applyFont="1" applyBorder="1" applyProtection="1"/>
    <xf numFmtId="0" fontId="65" fillId="0" borderId="0" xfId="5" applyNumberFormat="1" applyFont="1" applyBorder="1" applyAlignment="1" applyProtection="1">
      <alignment horizontal="right"/>
    </xf>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2" fontId="65" fillId="0" borderId="0" xfId="0" applyNumberFormat="1"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5" quotePrefix="1" applyNumberFormat="1" applyFont="1" applyBorder="1" applyAlignment="1" applyProtection="1">
      <alignment horizontal="right"/>
    </xf>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40" fontId="65" fillId="0" borderId="0" xfId="0" applyNumberFormat="1" applyFont="1" applyFill="1" applyBorder="1" applyAlignment="1" applyProtection="1">
      <alignment horizontal="right"/>
    </xf>
    <xf numFmtId="1" fontId="65" fillId="0" borderId="0" xfId="0" applyNumberFormat="1" applyFont="1" applyBorder="1" applyProtection="1"/>
    <xf numFmtId="39" fontId="65" fillId="0" borderId="0" xfId="0" applyNumberFormat="1" applyFont="1" applyBorder="1" applyProtection="1"/>
    <xf numFmtId="1" fontId="60" fillId="0" borderId="0" xfId="5" applyNumberFormat="1" applyFont="1" applyBorder="1" applyAlignment="1" applyProtection="1">
      <alignment horizontal="right"/>
    </xf>
    <xf numFmtId="40" fontId="65" fillId="0" borderId="0" xfId="0" applyNumberFormat="1" applyFont="1" applyBorder="1" applyAlignment="1" applyProtection="1">
      <alignment horizontal="right" vertical="center"/>
    </xf>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2" fontId="65" fillId="0" borderId="0" xfId="0" applyNumberFormat="1" applyFont="1" applyBorder="1" applyAlignment="1" applyProtection="1">
      <alignment horizontal="right" vertical="center"/>
    </xf>
    <xf numFmtId="40" fontId="65" fillId="0" borderId="0" xfId="0" applyNumberFormat="1" applyFont="1" applyFill="1" applyBorder="1" applyAlignment="1" applyProtection="1">
      <alignment horizontal="right" vertical="center"/>
    </xf>
    <xf numFmtId="49" fontId="65" fillId="0" borderId="0" xfId="0" applyNumberFormat="1" applyFont="1" applyBorder="1" applyProtection="1"/>
    <xf numFmtId="0" fontId="65" fillId="0" borderId="0" xfId="0" applyFont="1" applyBorder="1" applyAlignment="1" applyProtection="1">
      <alignment horizontal="center"/>
    </xf>
    <xf numFmtId="172" fontId="65" fillId="0" borderId="0" xfId="0" applyNumberFormat="1" applyFont="1" applyBorder="1" applyAlignment="1" applyProtection="1">
      <alignment horizontal="right"/>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2" fontId="68" fillId="0" borderId="0" xfId="0" applyNumberFormat="1"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0" fontId="69" fillId="0" borderId="0" xfId="5" applyNumberFormat="1" applyFont="1" applyFill="1" applyBorder="1" applyAlignment="1" applyProtection="1">
      <alignment horizontal="right"/>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3" borderId="26" xfId="0" applyNumberFormat="1" applyFont="1" applyFill="1" applyBorder="1" applyAlignment="1" applyProtection="1">
      <alignment horizontal="right"/>
    </xf>
    <xf numFmtId="38" fontId="58" fillId="3" borderId="18" xfId="0" applyNumberFormat="1" applyFont="1" applyFill="1" applyBorder="1" applyAlignment="1" applyProtection="1">
      <alignment horizontal="right"/>
    </xf>
    <xf numFmtId="0" fontId="65" fillId="0" borderId="2" xfId="0" applyFont="1" applyBorder="1" applyAlignment="1" applyProtection="1">
      <alignment horizontal="center" vertical="center"/>
    </xf>
    <xf numFmtId="38" fontId="58" fillId="0" borderId="0" xfId="0" applyNumberFormat="1" applyFont="1" applyBorder="1" applyAlignment="1" applyProtection="1">
      <alignment horizontal="right"/>
      <protection locked="0"/>
    </xf>
    <xf numFmtId="0" fontId="65" fillId="0" borderId="14" xfId="0" applyFont="1" applyBorder="1" applyAlignment="1" applyProtection="1">
      <alignment horizontal="left" vertical="center" indent="1"/>
    </xf>
    <xf numFmtId="38" fontId="58" fillId="6" borderId="3" xfId="0" applyNumberFormat="1" applyFont="1" applyFill="1" applyBorder="1" applyAlignment="1" applyProtection="1">
      <alignment horizontal="right"/>
    </xf>
    <xf numFmtId="38" fontId="58" fillId="6" borderId="26" xfId="0" applyNumberFormat="1" applyFont="1" applyFill="1" applyBorder="1" applyAlignment="1" applyProtection="1">
      <alignment horizontal="right"/>
    </xf>
    <xf numFmtId="38" fontId="58" fillId="0" borderId="4"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6" borderId="4" xfId="0" applyNumberFormat="1" applyFont="1" applyFill="1" applyBorder="1" applyAlignment="1" applyProtection="1">
      <alignment horizontal="right"/>
    </xf>
    <xf numFmtId="38" fontId="58" fillId="0" borderId="4" xfId="0" applyNumberFormat="1" applyFont="1" applyBorder="1" applyAlignment="1" applyProtection="1">
      <alignment horizontal="right"/>
      <protection locked="0"/>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38" fontId="58" fillId="6" borderId="18" xfId="0" applyNumberFormat="1" applyFont="1" applyFill="1" applyBorder="1" applyAlignment="1" applyProtection="1">
      <alignment horizontal="right"/>
    </xf>
    <xf numFmtId="0" fontId="60" fillId="0" borderId="0" xfId="0" applyFont="1" applyFill="1" applyAlignment="1" applyProtection="1">
      <alignment vertical="center"/>
    </xf>
    <xf numFmtId="38" fontId="58" fillId="6" borderId="0"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38" fontId="58" fillId="0" borderId="4" xfId="0" applyNumberFormat="1" applyFont="1" applyBorder="1" applyAlignment="1" applyProtection="1">
      <alignment horizontal="right"/>
    </xf>
    <xf numFmtId="0" fontId="65" fillId="0" borderId="2" xfId="0" applyFont="1" applyFill="1" applyBorder="1" applyAlignment="1" applyProtection="1">
      <alignment horizontal="left" vertical="center" indent="1"/>
    </xf>
    <xf numFmtId="38" fontId="60" fillId="6" borderId="26" xfId="0" applyNumberFormat="1" applyFont="1" applyFill="1" applyBorder="1" applyAlignment="1">
      <alignment horizontal="right"/>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38" fontId="58" fillId="6" borderId="3" xfId="0" applyNumberFormat="1" applyFont="1" applyFill="1" applyBorder="1" applyAlignment="1">
      <alignment horizontal="right"/>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8" fontId="58" fillId="3" borderId="21" xfId="0" applyNumberFormat="1" applyFont="1" applyFill="1" applyBorder="1" applyAlignment="1" applyProtection="1">
      <alignment horizontal="right"/>
    </xf>
    <xf numFmtId="38" fontId="58" fillId="3" borderId="0" xfId="0" applyNumberFormat="1" applyFont="1" applyFill="1" applyBorder="1" applyAlignment="1" applyProtection="1">
      <alignment horizontal="right"/>
    </xf>
    <xf numFmtId="38" fontId="58" fillId="3" borderId="3" xfId="0" applyNumberFormat="1" applyFont="1" applyFill="1" applyBorder="1" applyAlignment="1" applyProtection="1">
      <alignment horizontal="right"/>
    </xf>
    <xf numFmtId="38" fontId="58" fillId="3" borderId="13" xfId="0" applyNumberFormat="1" applyFont="1" applyFill="1" applyBorder="1" applyAlignment="1" applyProtection="1">
      <alignment horizontal="right"/>
    </xf>
    <xf numFmtId="38" fontId="58" fillId="3" borderId="2" xfId="0" applyNumberFormat="1" applyFont="1" applyFill="1" applyBorder="1" applyAlignment="1" applyProtection="1">
      <alignment horizontal="right"/>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38" fontId="58" fillId="0" borderId="19" xfId="0" applyNumberFormat="1" applyFont="1" applyBorder="1" applyAlignment="1" applyProtection="1">
      <alignment horizontal="right"/>
      <protection locked="0"/>
    </xf>
    <xf numFmtId="38" fontId="58" fillId="0" borderId="11" xfId="0" applyNumberFormat="1" applyFont="1" applyBorder="1" applyAlignment="1" applyProtection="1">
      <alignment horizontal="right"/>
      <protection locked="0"/>
    </xf>
    <xf numFmtId="0" fontId="57" fillId="0" borderId="0" xfId="0" applyFont="1" applyAlignment="1" applyProtection="1">
      <alignment vertical="center"/>
    </xf>
    <xf numFmtId="0" fontId="68" fillId="0" borderId="0" xfId="0" applyFont="1" applyAlignment="1" applyProtection="1">
      <alignment vertical="center"/>
    </xf>
    <xf numFmtId="38" fontId="58" fillId="3" borderId="11" xfId="0" applyNumberFormat="1" applyFont="1" applyFill="1" applyBorder="1" applyAlignment="1" applyProtection="1">
      <alignment horizontal="right"/>
    </xf>
    <xf numFmtId="38" fontId="58" fillId="3" borderId="4" xfId="0" applyNumberFormat="1" applyFont="1" applyFill="1" applyBorder="1" applyAlignment="1" applyProtection="1">
      <alignment horizontal="right"/>
    </xf>
    <xf numFmtId="38" fontId="58" fillId="3" borderId="19" xfId="0" applyNumberFormat="1" applyFont="1" applyFill="1" applyBorder="1" applyAlignment="1" applyProtection="1">
      <alignment horizontal="right"/>
    </xf>
    <xf numFmtId="38" fontId="58" fillId="3" borderId="14" xfId="0" applyNumberFormat="1" applyFont="1" applyFill="1" applyBorder="1" applyAlignment="1" applyProtection="1">
      <alignment horizontal="right"/>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38" fontId="58" fillId="6" borderId="2" xfId="0" applyNumberFormat="1" applyFont="1" applyFill="1" applyBorder="1" applyAlignment="1" applyProtection="1">
      <alignment horizontal="right"/>
    </xf>
    <xf numFmtId="0" fontId="65" fillId="0" borderId="2" xfId="0" applyFont="1" applyFill="1" applyBorder="1" applyAlignment="1" applyProtection="1">
      <alignment horizontal="center" vertical="top"/>
    </xf>
    <xf numFmtId="38" fontId="58" fillId="6" borderId="28" xfId="0" applyNumberFormat="1" applyFont="1" applyFill="1" applyBorder="1" applyAlignment="1" applyProtection="1">
      <alignment horizontal="right"/>
    </xf>
    <xf numFmtId="0" fontId="58" fillId="0" borderId="0" xfId="0" applyFont="1" applyFill="1" applyBorder="1" applyAlignment="1" applyProtection="1">
      <alignment vertical="center"/>
    </xf>
    <xf numFmtId="38" fontId="58" fillId="0" borderId="33" xfId="0" applyNumberFormat="1" applyFont="1" applyFill="1" applyBorder="1" applyAlignment="1" applyProtection="1">
      <alignment horizontal="right"/>
      <protection locked="0"/>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38" fontId="58" fillId="3" borderId="17" xfId="0" applyNumberFormat="1" applyFont="1" applyFill="1" applyBorder="1" applyAlignment="1" applyProtection="1">
      <alignment horizontal="right"/>
    </xf>
    <xf numFmtId="37" fontId="58" fillId="3" borderId="17" xfId="0" applyNumberFormat="1" applyFont="1" applyFill="1" applyBorder="1" applyAlignment="1" applyProtection="1">
      <alignment horizontal="right"/>
    </xf>
    <xf numFmtId="37" fontId="58" fillId="3" borderId="26" xfId="0" applyNumberFormat="1" applyFont="1" applyFill="1" applyBorder="1" applyAlignment="1" applyProtection="1">
      <alignment horizontal="right"/>
    </xf>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38" fontId="58" fillId="0" borderId="19" xfId="0" applyNumberFormat="1" applyFont="1" applyFill="1" applyBorder="1" applyAlignment="1" applyProtection="1">
      <alignment horizontal="right"/>
      <protection locked="0"/>
    </xf>
    <xf numFmtId="38" fontId="58" fillId="3" borderId="0" xfId="0" applyNumberFormat="1" applyFont="1" applyFill="1" applyAlignment="1" applyProtection="1">
      <alignment horizontal="right"/>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38" fontId="58" fillId="3" borderId="38" xfId="0" applyNumberFormat="1" applyFont="1" applyFill="1" applyBorder="1" applyAlignment="1" applyProtection="1">
      <alignment horizontal="right"/>
    </xf>
    <xf numFmtId="38" fontId="58" fillId="3" borderId="28" xfId="0" applyNumberFormat="1" applyFont="1" applyFill="1" applyBorder="1" applyAlignment="1" applyProtection="1">
      <alignment horizontal="right"/>
    </xf>
    <xf numFmtId="1" fontId="65" fillId="0" borderId="4" xfId="0" applyNumberFormat="1" applyFont="1" applyBorder="1" applyAlignment="1" applyProtection="1">
      <alignment horizontal="center" vertical="center"/>
    </xf>
    <xf numFmtId="1" fontId="65" fillId="0" borderId="127" xfId="0" applyNumberFormat="1" applyFont="1" applyBorder="1" applyAlignment="1" applyProtection="1">
      <alignment horizontal="center" vertical="center"/>
    </xf>
    <xf numFmtId="38" fontId="58" fillId="3" borderId="127" xfId="0" applyNumberFormat="1" applyFont="1" applyFill="1" applyBorder="1" applyAlignment="1" applyProtection="1">
      <alignment horizontal="right"/>
    </xf>
    <xf numFmtId="38" fontId="58" fillId="3" borderId="29" xfId="0" applyNumberFormat="1" applyFont="1" applyFill="1" applyBorder="1" applyAlignment="1" applyProtection="1">
      <alignment horizontal="right"/>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38" fontId="58" fillId="0" borderId="3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0" fontId="65" fillId="0" borderId="2" xfId="0" applyFont="1" applyBorder="1" applyAlignment="1" applyProtection="1">
      <alignment horizontal="center" vertical="top" wrapText="1"/>
    </xf>
    <xf numFmtId="38" fontId="58" fillId="3" borderId="39"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vertical="center"/>
      <protection locked="0"/>
    </xf>
    <xf numFmtId="38" fontId="58" fillId="6" borderId="2" xfId="0" applyNumberFormat="1" applyFont="1" applyFill="1" applyBorder="1" applyAlignment="1" applyProtection="1">
      <alignment horizontal="right" vertical="center"/>
    </xf>
    <xf numFmtId="0" fontId="65" fillId="0" borderId="26" xfId="0" applyFont="1" applyBorder="1" applyAlignment="1" applyProtection="1">
      <alignment horizontal="center" vertical="center"/>
    </xf>
    <xf numFmtId="0" fontId="65" fillId="0" borderId="130"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38" fontId="58" fillId="3" borderId="31" xfId="0" applyNumberFormat="1" applyFont="1" applyFill="1" applyBorder="1" applyAlignment="1" applyProtection="1">
      <alignment horizontal="right" vertical="center"/>
    </xf>
    <xf numFmtId="38" fontId="58" fillId="3" borderId="28" xfId="0" applyNumberFormat="1" applyFont="1" applyFill="1" applyBorder="1" applyAlignment="1" applyProtection="1">
      <alignment horizontal="right" vertical="center"/>
    </xf>
    <xf numFmtId="38" fontId="58" fillId="3" borderId="0" xfId="0" applyNumberFormat="1" applyFont="1" applyFill="1" applyAlignment="1" applyProtection="1">
      <alignment horizontal="right" vertical="center"/>
    </xf>
    <xf numFmtId="38" fontId="58" fillId="3" borderId="26" xfId="0" applyNumberFormat="1" applyFont="1" applyFill="1" applyBorder="1" applyAlignment="1" applyProtection="1">
      <alignment horizontal="right" vertical="center"/>
    </xf>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3" fontId="58" fillId="3" borderId="127" xfId="0" applyNumberFormat="1" applyFont="1" applyFill="1" applyBorder="1" applyAlignment="1">
      <alignment horizontal="center"/>
    </xf>
    <xf numFmtId="3" fontId="58" fillId="3" borderId="26" xfId="0" applyNumberFormat="1" applyFont="1" applyFill="1" applyBorder="1" applyAlignment="1">
      <alignment horizontal="center"/>
    </xf>
    <xf numFmtId="3" fontId="58" fillId="3" borderId="127" xfId="0" applyNumberFormat="1" applyFont="1" applyFill="1" applyBorder="1" applyAlignment="1">
      <alignment horizontal="right"/>
    </xf>
    <xf numFmtId="0" fontId="65" fillId="0" borderId="0" xfId="0" applyFont="1" applyBorder="1" applyAlignment="1"/>
    <xf numFmtId="49" fontId="65" fillId="0" borderId="2" xfId="0" applyNumberFormat="1" applyFont="1" applyBorder="1" applyAlignment="1">
      <alignment horizontal="center" vertical="center"/>
    </xf>
    <xf numFmtId="38" fontId="58" fillId="2" borderId="2" xfId="0" applyNumberFormat="1" applyFont="1" applyFill="1" applyBorder="1" applyAlignment="1">
      <alignment horizontal="right"/>
    </xf>
    <xf numFmtId="38" fontId="58" fillId="3" borderId="26" xfId="0" applyNumberFormat="1" applyFont="1" applyFill="1" applyBorder="1" applyAlignment="1">
      <alignment horizontal="right"/>
    </xf>
    <xf numFmtId="49" fontId="67" fillId="2" borderId="27" xfId="0" applyNumberFormat="1" applyFont="1" applyFill="1" applyBorder="1" applyAlignment="1">
      <alignment horizontal="center" vertical="center"/>
    </xf>
    <xf numFmtId="38" fontId="58" fillId="3" borderId="28" xfId="0" applyNumberFormat="1" applyFont="1" applyFill="1" applyBorder="1" applyAlignment="1">
      <alignment horizontal="right"/>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38" fontId="58" fillId="3" borderId="4" xfId="0" applyNumberFormat="1" applyFont="1" applyFill="1" applyBorder="1" applyAlignment="1">
      <alignment horizontal="right"/>
    </xf>
    <xf numFmtId="164" fontId="67" fillId="3" borderId="125"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38" fontId="58" fillId="3" borderId="29" xfId="0" applyNumberFormat="1" applyFont="1" applyFill="1" applyBorder="1" applyAlignment="1">
      <alignment horizontal="right"/>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38" fontId="58" fillId="3" borderId="31" xfId="0" applyNumberFormat="1" applyFont="1" applyFill="1" applyBorder="1" applyAlignment="1">
      <alignment horizontal="right"/>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38" fontId="58" fillId="5" borderId="4" xfId="0" applyNumberFormat="1" applyFont="1" applyFill="1" applyBorder="1" applyAlignment="1" applyProtection="1">
      <alignment horizontal="right"/>
      <protection locked="0"/>
    </xf>
    <xf numFmtId="0" fontId="65" fillId="0" borderId="29" xfId="0" applyFont="1" applyFill="1" applyBorder="1" applyAlignment="1">
      <alignment horizontal="center" vertical="center"/>
    </xf>
    <xf numFmtId="38" fontId="58" fillId="6" borderId="28" xfId="0" applyNumberFormat="1" applyFont="1" applyFill="1" applyBorder="1" applyAlignment="1">
      <alignment horizontal="right"/>
    </xf>
    <xf numFmtId="0" fontId="65" fillId="0" borderId="4" xfId="0" applyFont="1" applyFill="1" applyBorder="1" applyAlignment="1">
      <alignment horizontal="center" vertical="center"/>
    </xf>
    <xf numFmtId="38" fontId="58" fillId="6" borderId="26" xfId="0" applyNumberFormat="1" applyFont="1" applyFill="1" applyBorder="1" applyAlignment="1">
      <alignment horizontal="right"/>
    </xf>
    <xf numFmtId="0" fontId="65" fillId="0" borderId="2" xfId="0" applyFont="1" applyFill="1" applyBorder="1" applyAlignment="1">
      <alignment horizontal="center" vertical="center"/>
    </xf>
    <xf numFmtId="0" fontId="65" fillId="0" borderId="127" xfId="0" applyFont="1" applyFill="1" applyBorder="1" applyAlignment="1">
      <alignment horizontal="center" vertical="center"/>
    </xf>
    <xf numFmtId="38" fontId="58" fillId="6" borderId="4" xfId="0" applyNumberFormat="1" applyFont="1" applyFill="1" applyBorder="1" applyAlignment="1">
      <alignment horizontal="right"/>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38" fontId="58" fillId="0" borderId="21" xfId="0" applyNumberFormat="1" applyFont="1" applyFill="1" applyBorder="1" applyAlignment="1">
      <alignment horizontal="right"/>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38" fontId="58" fillId="3" borderId="2" xfId="0" applyNumberFormat="1" applyFont="1" applyFill="1" applyBorder="1" applyAlignment="1">
      <alignment horizontal="right"/>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8" fontId="58" fillId="6" borderId="29" xfId="0" applyNumberFormat="1" applyFont="1" applyFill="1" applyBorder="1" applyAlignment="1">
      <alignment horizontal="right"/>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5"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6" xfId="0" applyNumberFormat="1" applyFont="1" applyFill="1" applyBorder="1" applyAlignment="1">
      <alignment horizontal="center" vertical="center"/>
    </xf>
    <xf numFmtId="49" fontId="65" fillId="0" borderId="127"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38" fontId="58" fillId="3" borderId="127" xfId="0" applyNumberFormat="1" applyFont="1" applyFill="1" applyBorder="1" applyAlignment="1">
      <alignment horizontal="right"/>
    </xf>
    <xf numFmtId="38" fontId="58" fillId="3" borderId="3" xfId="0" applyNumberFormat="1" applyFont="1" applyFill="1" applyBorder="1" applyAlignment="1">
      <alignment horizontal="right"/>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5"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38" fontId="58" fillId="0" borderId="20" xfId="0" applyNumberFormat="1" applyFont="1" applyFill="1" applyBorder="1" applyAlignment="1">
      <alignment horizontal="right"/>
    </xf>
    <xf numFmtId="38" fontId="58" fillId="0" borderId="0" xfId="0" applyNumberFormat="1" applyFont="1" applyFill="1" applyBorder="1" applyAlignment="1">
      <alignment horizontal="right"/>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0" fontId="60" fillId="6" borderId="0" xfId="0" applyFont="1" applyFill="1" applyAlignment="1">
      <alignment vertical="center"/>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38" fontId="58" fillId="6" borderId="0" xfId="8" applyNumberFormat="1" applyFont="1" applyFill="1" applyBorder="1" applyAlignment="1" applyProtection="1">
      <alignment horizontal="right"/>
    </xf>
    <xf numFmtId="38" fontId="58" fillId="6" borderId="26" xfId="8" applyNumberFormat="1" applyFont="1" applyFill="1" applyBorder="1" applyAlignment="1" applyProtection="1">
      <alignment horizontal="right"/>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38" fontId="67" fillId="6" borderId="3" xfId="0" applyNumberFormat="1" applyFont="1" applyFill="1" applyBorder="1" applyAlignment="1">
      <alignment horizontal="center" vertical="center" wrapText="1"/>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7" fillId="0" borderId="2" xfId="0" applyNumberFormat="1" applyFont="1" applyFill="1" applyBorder="1" applyAlignment="1" applyProtection="1">
      <alignment horizontal="center" vertical="center" wrapText="1"/>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0" borderId="2" xfId="0" applyNumberFormat="1" applyFont="1" applyBorder="1" applyAlignment="1" applyProtection="1">
      <alignment horizontal="right" vertical="center"/>
      <protection locked="0"/>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0" fontId="60" fillId="0" borderId="0" xfId="9" applyFont="1" applyFill="1" applyAlignment="1"/>
    <xf numFmtId="0" fontId="65" fillId="0" borderId="0" xfId="9" applyFont="1" applyFill="1" applyAlignment="1"/>
    <xf numFmtId="38" fontId="58" fillId="0" borderId="2" xfId="9" applyNumberFormat="1" applyFont="1" applyFill="1" applyBorder="1" applyAlignment="1" applyProtection="1">
      <alignment horizontal="right" vertical="center"/>
      <protection locked="0"/>
    </xf>
    <xf numFmtId="0" fontId="84" fillId="0" borderId="0" xfId="9" applyFont="1" applyFill="1" applyAlignment="1">
      <alignment vertical="top"/>
    </xf>
    <xf numFmtId="0" fontId="58" fillId="0" borderId="2" xfId="0" applyFont="1" applyFill="1" applyBorder="1" applyAlignment="1" applyProtection="1">
      <alignment horizontal="right"/>
      <protection locked="0"/>
    </xf>
    <xf numFmtId="0" fontId="58" fillId="0" borderId="2" xfId="9" applyFont="1" applyFill="1" applyBorder="1" applyAlignment="1" applyProtection="1">
      <alignment horizontal="right" vertical="top"/>
      <protection locked="0"/>
    </xf>
    <xf numFmtId="38" fontId="58" fillId="0" borderId="2" xfId="9" applyNumberFormat="1" applyFont="1" applyFill="1" applyBorder="1" applyAlignment="1" applyProtection="1">
      <alignment horizontal="right" vertical="top"/>
      <protection locked="0"/>
    </xf>
    <xf numFmtId="38" fontId="58" fillId="0" borderId="2" xfId="9" quotePrefix="1" applyNumberFormat="1" applyFont="1" applyFill="1" applyBorder="1" applyAlignment="1" applyProtection="1">
      <alignment horizontal="right"/>
      <protection locked="0"/>
    </xf>
    <xf numFmtId="0" fontId="65" fillId="0" borderId="0" xfId="9" applyFont="1" applyFill="1" applyBorder="1" applyAlignment="1"/>
    <xf numFmtId="38" fontId="58" fillId="6" borderId="2" xfId="9" applyNumberFormat="1" applyFont="1" applyFill="1" applyBorder="1" applyAlignment="1" applyProtection="1">
      <alignment horizontal="right"/>
    </xf>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vertical="center"/>
    </xf>
    <xf numFmtId="38" fontId="58" fillId="6" borderId="22" xfId="0" applyNumberFormat="1"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0" borderId="22" xfId="0" applyNumberFormat="1" applyFont="1" applyFill="1" applyBorder="1" applyAlignment="1" applyProtection="1">
      <alignment vertical="center"/>
      <protection locked="0"/>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vertical="center"/>
    </xf>
    <xf numFmtId="49" fontId="65" fillId="0" borderId="6" xfId="0" applyNumberFormat="1" applyFont="1" applyBorder="1" applyAlignment="1" applyProtection="1">
      <alignment horizontal="center" vertical="center"/>
    </xf>
    <xf numFmtId="38" fontId="58" fillId="0" borderId="7" xfId="0" applyNumberFormat="1" applyFont="1" applyBorder="1" applyAlignment="1" applyProtection="1">
      <alignment vertical="center"/>
      <protection locked="0"/>
    </xf>
    <xf numFmtId="49" fontId="65" fillId="6" borderId="59" xfId="0" applyNumberFormat="1" applyFont="1" applyFill="1" applyBorder="1" applyAlignment="1" applyProtection="1">
      <alignment horizontal="center" vertical="center"/>
    </xf>
    <xf numFmtId="0" fontId="58" fillId="6" borderId="42" xfId="0" applyFont="1" applyFill="1" applyBorder="1" applyAlignment="1" applyProtection="1">
      <alignment horizontal="right" vertical="center"/>
    </xf>
    <xf numFmtId="0" fontId="58" fillId="6" borderId="43" xfId="0" applyFont="1" applyFill="1" applyBorder="1" applyAlignment="1" applyProtection="1">
      <alignment horizontal="right" vertical="center"/>
    </xf>
    <xf numFmtId="0" fontId="58" fillId="6" borderId="40" xfId="0" applyFont="1" applyFill="1" applyBorder="1" applyAlignment="1" applyProtection="1">
      <alignment horizontal="right"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45" xfId="0" applyNumberFormat="1" applyFont="1" applyFill="1" applyBorder="1" applyAlignment="1" applyProtection="1">
      <alignment vertical="center"/>
    </xf>
    <xf numFmtId="38" fontId="58" fillId="3" borderId="44" xfId="0" applyNumberFormat="1" applyFont="1" applyFill="1" applyBorder="1" applyAlignment="1" applyProtection="1">
      <alignment vertical="center"/>
    </xf>
    <xf numFmtId="38" fontId="58" fillId="3" borderId="8" xfId="0" applyNumberFormat="1" applyFont="1" applyFill="1" applyBorder="1" applyAlignment="1" applyProtection="1">
      <alignment horizontal="right" vertical="center"/>
    </xf>
    <xf numFmtId="38" fontId="58" fillId="3" borderId="44"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38" fontId="58" fillId="3" borderId="8" xfId="0" applyNumberFormat="1" applyFont="1" applyFill="1" applyBorder="1" applyAlignment="1" applyProtection="1">
      <alignment vertical="center"/>
    </xf>
    <xf numFmtId="38" fontId="58" fillId="0" borderId="8" xfId="0" applyNumberFormat="1" applyFont="1" applyFill="1" applyBorder="1" applyAlignment="1" applyProtection="1">
      <alignment horizontal="right" vertical="center"/>
      <protection locked="0"/>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38" fontId="58" fillId="0" borderId="8" xfId="0" applyNumberFormat="1" applyFont="1" applyFill="1" applyBorder="1" applyAlignment="1" applyProtection="1">
      <alignment vertical="center"/>
      <protection locked="0"/>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5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38" fontId="58" fillId="0" borderId="8" xfId="0" applyNumberFormat="1" applyFont="1" applyBorder="1" applyAlignment="1" applyProtection="1">
      <alignment horizontal="right" vertical="center"/>
      <protection locked="0"/>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38" fontId="58" fillId="0" borderId="22" xfId="0" applyNumberFormat="1" applyFont="1" applyBorder="1" applyAlignment="1" applyProtection="1">
      <alignment horizontal="right" vertical="center"/>
      <protection locked="0"/>
    </xf>
    <xf numFmtId="0" fontId="65" fillId="0" borderId="46" xfId="0" applyFont="1" applyBorder="1" applyAlignment="1" applyProtection="1">
      <alignment horizontal="left" vertical="center" wrapText="1" indent="1"/>
    </xf>
    <xf numFmtId="38" fontId="58" fillId="0" borderId="22" xfId="0" applyNumberFormat="1" applyFont="1" applyBorder="1" applyAlignment="1" applyProtection="1">
      <alignment horizontal="right"/>
      <protection locked="0"/>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38" fontId="65" fillId="0" borderId="0" xfId="10" applyNumberFormat="1" applyFont="1" applyFill="1" applyAlignment="1">
      <alignment horizontal="right"/>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40" fontId="65" fillId="0" borderId="9" xfId="10" applyNumberFormat="1" applyFont="1" applyFill="1" applyBorder="1" applyAlignment="1" applyProtection="1">
      <alignment horizontal="right"/>
      <protection locked="0"/>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4" fontId="67" fillId="0" borderId="0" xfId="10" applyNumberFormat="1" applyFont="1" applyFill="1" applyBorder="1" applyAlignment="1" applyProtection="1">
      <alignmen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38" fontId="65" fillId="0" borderId="0" xfId="11" applyNumberFormat="1" applyFont="1" applyFill="1" applyAlignment="1">
      <alignment horizontal="right"/>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38" fontId="58" fillId="0" borderId="13" xfId="0" applyNumberFormat="1" applyFont="1" applyBorder="1" applyAlignment="1" applyProtection="1">
      <alignment vertical="center"/>
      <protection locked="0"/>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19" borderId="13" xfId="0" applyNumberFormat="1" applyFont="1" applyFill="1" applyBorder="1" applyAlignment="1" applyProtection="1">
      <protection locked="0"/>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5" fillId="0" borderId="0" xfId="3" applyNumberFormat="1" applyFont="1" applyBorder="1" applyAlignment="1">
      <alignment vertical="center"/>
    </xf>
    <xf numFmtId="0" fontId="60" fillId="0" borderId="0" xfId="3" applyNumberFormat="1" applyFont="1" applyBorder="1" applyAlignment="1">
      <alignment vertical="center"/>
    </xf>
    <xf numFmtId="0" fontId="60" fillId="0" borderId="0" xfId="3" applyNumberFormat="1" applyFont="1" applyAlignment="1">
      <alignment vertical="center"/>
    </xf>
    <xf numFmtId="0" fontId="65" fillId="0" borderId="0" xfId="3" applyNumberFormat="1" applyFont="1" applyAlignment="1">
      <alignment vertical="center"/>
    </xf>
    <xf numFmtId="0" fontId="67" fillId="0" borderId="0" xfId="3" applyNumberFormat="1" applyFont="1" applyAlignment="1">
      <alignment horizontal="center" vertical="center"/>
    </xf>
    <xf numFmtId="0" fontId="67" fillId="0" borderId="0" xfId="3" applyNumberFormat="1" applyFont="1" applyBorder="1" applyAlignment="1">
      <alignment horizontal="left" vertical="center"/>
    </xf>
    <xf numFmtId="0" fontId="65" fillId="0" borderId="0" xfId="3" applyNumberFormat="1" applyFont="1" applyAlignment="1">
      <alignment horizontal="center" vertical="center"/>
    </xf>
    <xf numFmtId="0" fontId="65" fillId="0" borderId="17" xfId="3" applyNumberFormat="1" applyFont="1" applyBorder="1" applyAlignment="1">
      <alignment horizontal="center" vertical="center"/>
    </xf>
    <xf numFmtId="0" fontId="65" fillId="0" borderId="0" xfId="3" applyNumberFormat="1" applyFont="1" applyBorder="1" applyAlignment="1">
      <alignment horizontal="right" vertical="center" indent="1"/>
    </xf>
    <xf numFmtId="0" fontId="60" fillId="0" borderId="17" xfId="3" applyNumberFormat="1" applyFont="1" applyBorder="1" applyAlignment="1">
      <alignment vertical="center"/>
    </xf>
    <xf numFmtId="0" fontId="60" fillId="0" borderId="19" xfId="3" applyNumberFormat="1" applyFont="1" applyBorder="1" applyAlignment="1">
      <alignment vertical="center"/>
    </xf>
    <xf numFmtId="0" fontId="60" fillId="0" borderId="20" xfId="3" applyNumberFormat="1" applyFont="1" applyBorder="1" applyAlignment="1">
      <alignment vertical="center"/>
    </xf>
    <xf numFmtId="0" fontId="60" fillId="0" borderId="12"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6" xfId="3" applyNumberFormat="1" applyFont="1" applyFill="1" applyBorder="1" applyAlignment="1">
      <alignment horizontal="centerContinuous" vertical="center"/>
    </xf>
    <xf numFmtId="0" fontId="60" fillId="0" borderId="10" xfId="3" applyNumberFormat="1" applyFont="1" applyFill="1" applyBorder="1" applyAlignment="1">
      <alignment horizontal="centerContinuous" vertical="center"/>
    </xf>
    <xf numFmtId="0" fontId="58" fillId="0" borderId="1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8" fillId="0" borderId="0" xfId="3" applyNumberFormat="1" applyFont="1" applyAlignment="1">
      <alignment vertical="center"/>
    </xf>
    <xf numFmtId="0" fontId="67" fillId="0" borderId="4" xfId="3" applyNumberFormat="1" applyFont="1" applyBorder="1" applyAlignment="1">
      <alignment horizontal="center" vertical="center" wrapText="1"/>
    </xf>
    <xf numFmtId="0" fontId="67" fillId="0" borderId="4" xfId="3" applyNumberFormat="1" applyFont="1" applyBorder="1" applyAlignment="1">
      <alignment horizontal="center" vertical="center"/>
    </xf>
    <xf numFmtId="164" fontId="67" fillId="0" borderId="13" xfId="3" applyNumberFormat="1" applyFont="1" applyBorder="1" applyAlignment="1">
      <alignment horizontal="right" vertical="center"/>
    </xf>
    <xf numFmtId="0" fontId="65" fillId="0" borderId="21" xfId="3" applyNumberFormat="1" applyFont="1" applyBorder="1" applyAlignment="1">
      <alignment horizontal="left" vertical="center"/>
    </xf>
    <xf numFmtId="0" fontId="60" fillId="0" borderId="14" xfId="3" applyNumberFormat="1" applyFont="1" applyBorder="1" applyAlignment="1">
      <alignment horizontal="left" vertical="center"/>
    </xf>
    <xf numFmtId="0" fontId="65" fillId="0" borderId="2" xfId="3" applyNumberFormat="1" applyFont="1" applyBorder="1" applyAlignment="1">
      <alignment horizontal="left" vertical="center" indent="1"/>
    </xf>
    <xf numFmtId="0" fontId="58" fillId="15" borderId="2" xfId="3" applyNumberFormat="1" applyFont="1" applyFill="1" applyBorder="1" applyAlignment="1">
      <alignment vertical="center"/>
    </xf>
    <xf numFmtId="38" fontId="58" fillId="0" borderId="2" xfId="3" applyNumberFormat="1" applyFont="1" applyBorder="1" applyAlignment="1" applyProtection="1">
      <alignment vertical="center"/>
      <protection locked="0"/>
    </xf>
    <xf numFmtId="0" fontId="65" fillId="0" borderId="2" xfId="3" applyNumberFormat="1" applyFont="1" applyBorder="1" applyAlignment="1">
      <alignment horizontal="left" vertical="top" indent="1"/>
    </xf>
    <xf numFmtId="164" fontId="67" fillId="0" borderId="13" xfId="3" applyNumberFormat="1" applyFont="1" applyBorder="1" applyAlignment="1">
      <alignment vertical="top"/>
    </xf>
    <xf numFmtId="38" fontId="58" fillId="0" borderId="2" xfId="3" applyNumberFormat="1" applyFont="1" applyFill="1" applyBorder="1" applyAlignment="1" applyProtection="1">
      <alignment vertical="center"/>
      <protection locked="0"/>
    </xf>
    <xf numFmtId="0" fontId="67" fillId="0" borderId="21" xfId="3" applyNumberFormat="1" applyFont="1" applyBorder="1" applyAlignment="1">
      <alignment horizontal="left" vertical="center"/>
    </xf>
    <xf numFmtId="0" fontId="65" fillId="0" borderId="14" xfId="3" applyNumberFormat="1" applyFont="1" applyBorder="1" applyAlignment="1">
      <alignment horizontal="center" vertical="center"/>
    </xf>
    <xf numFmtId="0" fontId="58" fillId="15" borderId="4" xfId="3" applyNumberFormat="1" applyFont="1" applyFill="1" applyBorder="1" applyAlignment="1">
      <alignment vertical="center"/>
    </xf>
    <xf numFmtId="0" fontId="60" fillId="0" borderId="0" xfId="3" applyNumberFormat="1" applyFont="1" applyAlignment="1">
      <alignment horizontal="right" vertical="center"/>
    </xf>
    <xf numFmtId="0" fontId="68" fillId="0" borderId="0" xfId="3" applyNumberFormat="1" applyFont="1" applyAlignment="1">
      <alignment vertical="center"/>
    </xf>
    <xf numFmtId="0" fontId="76" fillId="0" borderId="0" xfId="3" applyNumberFormat="1" applyFont="1" applyAlignment="1">
      <alignment vertical="center"/>
    </xf>
    <xf numFmtId="171" fontId="60" fillId="0" borderId="0" xfId="3" applyNumberFormat="1" applyFont="1" applyBorder="1" applyAlignment="1" applyProtection="1">
      <alignment horizontal="center"/>
    </xf>
    <xf numFmtId="0" fontId="76" fillId="0" borderId="133" xfId="3" applyNumberFormat="1" applyFont="1" applyBorder="1" applyAlignment="1">
      <alignment horizontal="center" vertical="center"/>
    </xf>
    <xf numFmtId="0" fontId="60" fillId="0" borderId="133" xfId="3" applyNumberFormat="1" applyFont="1" applyBorder="1" applyAlignment="1">
      <alignment vertical="center"/>
    </xf>
    <xf numFmtId="0" fontId="76" fillId="0" borderId="0" xfId="3" applyNumberFormat="1" applyFont="1" applyBorder="1" applyAlignment="1">
      <alignment vertical="center" wrapText="1"/>
    </xf>
    <xf numFmtId="0" fontId="60" fillId="0" borderId="0" xfId="3" applyNumberFormat="1" applyFont="1" applyBorder="1" applyAlignment="1">
      <alignment wrapText="1"/>
    </xf>
    <xf numFmtId="0" fontId="76" fillId="0" borderId="133" xfId="3" applyNumberFormat="1" applyFont="1" applyBorder="1" applyAlignment="1">
      <alignment horizontal="center"/>
    </xf>
    <xf numFmtId="0" fontId="76" fillId="0" borderId="0" xfId="3" applyNumberFormat="1" applyFont="1" applyBorder="1" applyAlignment="1"/>
    <xf numFmtId="0" fontId="67" fillId="0" borderId="0" xfId="3" applyNumberFormat="1" applyFont="1" applyAlignment="1">
      <alignment horizontal="right"/>
    </xf>
    <xf numFmtId="0" fontId="58" fillId="0" borderId="0" xfId="3" applyNumberFormat="1" applyFont="1" applyBorder="1" applyAlignment="1">
      <alignment horizontal="center" wrapText="1"/>
    </xf>
    <xf numFmtId="0" fontId="76" fillId="0" borderId="0" xfId="3" applyFont="1" applyBorder="1" applyAlignment="1">
      <alignment horizontal="center" vertical="center" wrapText="1"/>
    </xf>
    <xf numFmtId="0" fontId="82" fillId="0" borderId="0" xfId="3" applyNumberFormat="1" applyFont="1" applyAlignment="1">
      <alignment vertical="center"/>
    </xf>
    <xf numFmtId="0" fontId="68" fillId="0" borderId="22" xfId="3" applyNumberFormat="1" applyFont="1" applyBorder="1" applyAlignment="1" applyProtection="1">
      <alignment horizontal="center" vertical="center"/>
      <protection locked="0"/>
    </xf>
    <xf numFmtId="0" fontId="65" fillId="0" borderId="0" xfId="3" applyNumberFormat="1" applyFont="1" applyAlignment="1">
      <alignment horizontal="left" vertical="center" indent="2"/>
    </xf>
    <xf numFmtId="0" fontId="60" fillId="0" borderId="0" xfId="3" applyFont="1" applyAlignment="1">
      <alignment horizontal="left" wrapText="1" indent="2"/>
    </xf>
    <xf numFmtId="0" fontId="58" fillId="0" borderId="0" xfId="3" applyNumberFormat="1" applyFont="1" applyBorder="1" applyAlignment="1">
      <alignment vertical="center"/>
    </xf>
    <xf numFmtId="0" fontId="86" fillId="0" borderId="0" xfId="3" applyNumberFormat="1" applyFont="1" applyBorder="1" applyAlignment="1">
      <alignment horizontal="centerContinuous" vertical="center"/>
    </xf>
    <xf numFmtId="0" fontId="59" fillId="0" borderId="0" xfId="2" applyNumberFormat="1" applyFont="1" applyBorder="1" applyAlignment="1" applyProtection="1">
      <alignment horizontal="centerContinuous" vertical="center"/>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2" xfId="0" applyFont="1" applyBorder="1"/>
    <xf numFmtId="0" fontId="58" fillId="0" borderId="13" xfId="0" applyFont="1" applyBorder="1"/>
    <xf numFmtId="0" fontId="58" fillId="0" borderId="125" xfId="0" applyFont="1" applyBorder="1" applyAlignment="1">
      <alignment horizontal="left" vertical="top"/>
    </xf>
    <xf numFmtId="164" fontId="116" fillId="0" borderId="128" xfId="0" applyNumberFormat="1" applyFont="1" applyBorder="1" applyAlignment="1">
      <alignment horizontal="right" vertical="top"/>
    </xf>
    <xf numFmtId="0" fontId="58" fillId="0" borderId="128" xfId="0" applyNumberFormat="1" applyFont="1" applyBorder="1" applyAlignment="1">
      <alignment horizontal="left" vertical="center" wrapText="1" indent="1"/>
    </xf>
    <xf numFmtId="0" fontId="88" fillId="0" borderId="127" xfId="0" applyFont="1" applyBorder="1" applyAlignment="1">
      <alignment horizontal="left" vertical="center" wrapText="1"/>
    </xf>
    <xf numFmtId="0" fontId="58" fillId="0" borderId="128" xfId="0" applyFont="1" applyBorder="1" applyAlignment="1">
      <alignment horizontal="left" vertical="top"/>
    </xf>
    <xf numFmtId="0" fontId="58" fillId="0" borderId="0" xfId="0" applyFont="1" applyBorder="1" applyAlignment="1">
      <alignment vertical="top"/>
    </xf>
    <xf numFmtId="0" fontId="118" fillId="0" borderId="128" xfId="0" applyNumberFormat="1" applyFont="1" applyBorder="1" applyAlignment="1">
      <alignment horizontal="left" vertical="center"/>
    </xf>
    <xf numFmtId="0" fontId="116" fillId="0" borderId="128" xfId="0" applyFont="1" applyBorder="1" applyAlignment="1">
      <alignment vertical="top"/>
    </xf>
    <xf numFmtId="0" fontId="116" fillId="0" borderId="128" xfId="0" applyFont="1" applyBorder="1" applyAlignment="1">
      <alignment horizontal="left" vertical="top"/>
    </xf>
    <xf numFmtId="0" fontId="58" fillId="0" borderId="125" xfId="0" applyFont="1" applyBorder="1" applyAlignment="1"/>
    <xf numFmtId="164" fontId="116" fillId="0" borderId="128" xfId="0" applyNumberFormat="1" applyFont="1" applyBorder="1" applyAlignment="1"/>
    <xf numFmtId="0" fontId="58" fillId="0" borderId="128" xfId="0" applyFont="1" applyBorder="1" applyAlignment="1"/>
    <xf numFmtId="0" fontId="65" fillId="0" borderId="126"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4"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5" xfId="0" applyFont="1" applyFill="1" applyBorder="1" applyAlignment="1"/>
    <xf numFmtId="0" fontId="57" fillId="0" borderId="128" xfId="0" applyFont="1" applyFill="1" applyBorder="1" applyAlignment="1">
      <alignment horizontal="left" vertical="top"/>
    </xf>
    <xf numFmtId="0" fontId="57" fillId="0" borderId="126"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6"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3" xfId="3" quotePrefix="1" applyNumberFormat="1" applyFont="1" applyBorder="1" applyAlignment="1" applyProtection="1">
      <alignment horizontal="left"/>
    </xf>
    <xf numFmtId="0" fontId="65" fillId="0" borderId="144" xfId="3" applyNumberFormat="1" applyFont="1" applyBorder="1" applyAlignment="1" applyProtection="1">
      <alignment horizontal="center"/>
    </xf>
    <xf numFmtId="0" fontId="65" fillId="0" borderId="144" xfId="3" applyNumberFormat="1" applyFont="1" applyBorder="1" applyProtection="1"/>
    <xf numFmtId="0" fontId="58" fillId="0" borderId="143" xfId="3" applyNumberFormat="1" applyFont="1" applyBorder="1" applyAlignment="1" applyProtection="1"/>
    <xf numFmtId="0" fontId="65" fillId="0" borderId="145" xfId="3" applyNumberFormat="1" applyFont="1" applyBorder="1" applyAlignment="1" applyProtection="1">
      <alignment horizontal="centerContinuous"/>
    </xf>
    <xf numFmtId="0" fontId="58" fillId="0" borderId="143" xfId="3" applyNumberFormat="1" applyFont="1" applyBorder="1" applyAlignment="1" applyProtection="1">
      <alignment horizontal="left"/>
    </xf>
    <xf numFmtId="0" fontId="65" fillId="0" borderId="145" xfId="3" applyNumberFormat="1" applyFont="1" applyBorder="1" applyProtection="1"/>
    <xf numFmtId="0" fontId="65" fillId="0" borderId="144"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3"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7"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4"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8"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6" xfId="3" applyFont="1" applyBorder="1" applyProtection="1"/>
    <xf numFmtId="0" fontId="58" fillId="0" borderId="147" xfId="3" applyFont="1" applyBorder="1" applyProtection="1">
      <protection locked="0"/>
    </xf>
    <xf numFmtId="0" fontId="58" fillId="0" borderId="146"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5" xfId="3" applyNumberFormat="1" applyFont="1" applyBorder="1" applyAlignment="1" applyProtection="1">
      <alignment horizontal="center"/>
    </xf>
    <xf numFmtId="0" fontId="67" fillId="0" borderId="144" xfId="3" applyFont="1" applyBorder="1" applyAlignment="1" applyProtection="1">
      <alignment horizontal="centerContinuous"/>
    </xf>
    <xf numFmtId="0" fontId="67" fillId="0" borderId="145"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5"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4" xfId="3" applyFont="1" applyBorder="1" applyProtection="1"/>
    <xf numFmtId="0" fontId="60" fillId="0" borderId="144" xfId="3" applyFont="1" applyBorder="1" applyProtection="1"/>
    <xf numFmtId="0" fontId="60" fillId="0" borderId="144"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0" fontId="68" fillId="0" borderId="0" xfId="3" applyFont="1" applyBorder="1" applyAlignment="1" applyProtection="1">
      <alignment horizontal="right"/>
    </xf>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4" xfId="3" quotePrefix="1" applyFont="1" applyBorder="1" applyAlignment="1" applyProtection="1">
      <alignment horizontal="left"/>
    </xf>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4" xfId="3" applyFont="1" applyBorder="1" applyProtection="1"/>
    <xf numFmtId="0" fontId="60" fillId="0" borderId="0" xfId="3" applyFont="1" applyBorder="1" applyAlignment="1" applyProtection="1">
      <alignment horizontal="left"/>
    </xf>
    <xf numFmtId="0" fontId="67" fillId="0" borderId="144"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4"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9"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0" fontId="68" fillId="0" borderId="0" xfId="3" applyFont="1" applyAlignment="1" applyProtection="1">
      <alignment horizontal="right"/>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51" xfId="3" applyFont="1" applyBorder="1" applyAlignment="1" applyProtection="1">
      <alignment horizontal="left"/>
    </xf>
    <xf numFmtId="0" fontId="60" fillId="0" borderId="151" xfId="3" applyFont="1" applyBorder="1" applyProtection="1"/>
    <xf numFmtId="0" fontId="60" fillId="0" borderId="151"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7" fillId="0" borderId="20" xfId="0" applyFont="1" applyFill="1" applyBorder="1" applyAlignment="1" applyProtection="1">
      <alignment horizontal="left" vertical="center" indent="2"/>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8"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9"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7" xfId="0" applyNumberFormat="1" applyFont="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7"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8" fillId="0" borderId="127" xfId="0" applyNumberFormat="1" applyFont="1" applyFill="1" applyBorder="1" applyAlignment="1" applyProtection="1">
      <alignment horizontal="right" vertical="center"/>
      <protection locked="0"/>
    </xf>
    <xf numFmtId="38" fontId="57" fillId="6" borderId="155" xfId="0" applyNumberFormat="1" applyFont="1" applyFill="1" applyBorder="1" applyAlignment="1">
      <alignment horizontal="center" vertical="center" wrapText="1"/>
    </xf>
    <xf numFmtId="38" fontId="57" fillId="6" borderId="155" xfId="0" applyNumberFormat="1" applyFont="1" applyFill="1" applyBorder="1" applyAlignment="1">
      <alignment horizontal="center" vertical="top" wrapText="1"/>
    </xf>
    <xf numFmtId="38" fontId="67" fillId="6" borderId="155" xfId="0" applyNumberFormat="1" applyFont="1" applyFill="1" applyBorder="1" applyAlignment="1">
      <alignment horizontal="center" vertical="center" wrapText="1"/>
    </xf>
    <xf numFmtId="38" fontId="67" fillId="6" borderId="1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0" fontId="10" fillId="0" borderId="0" xfId="17"/>
    <xf numFmtId="0" fontId="102" fillId="0" borderId="140" xfId="17" applyFont="1" applyBorder="1" applyAlignment="1">
      <alignment horizontal="left" vertical="top"/>
    </xf>
    <xf numFmtId="0" fontId="129" fillId="0" borderId="141" xfId="17" applyFont="1" applyBorder="1" applyAlignment="1">
      <alignment horizontal="center" vertical="top"/>
    </xf>
    <xf numFmtId="0" fontId="129" fillId="0" borderId="142" xfId="17" applyFont="1" applyBorder="1" applyAlignment="1">
      <alignment horizontal="center" vertical="top"/>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38" fontId="10" fillId="22" borderId="157" xfId="17" applyNumberFormat="1" applyFill="1" applyBorder="1" applyAlignment="1">
      <alignment horizontal="right" vertical="top"/>
    </xf>
    <xf numFmtId="38" fontId="10" fillId="22" borderId="158"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8" fillId="23" borderId="156" xfId="17" applyFont="1" applyFill="1" applyBorder="1" applyAlignment="1">
      <alignment horizontal="center" vertical="center" wrapText="1"/>
    </xf>
    <xf numFmtId="38" fontId="128" fillId="23" borderId="156" xfId="17" applyNumberFormat="1" applyFont="1" applyFill="1" applyBorder="1" applyAlignment="1">
      <alignment horizontal="center" vertical="center" wrapText="1"/>
    </xf>
    <xf numFmtId="3" fontId="58" fillId="23" borderId="131" xfId="0" applyNumberFormat="1" applyFont="1" applyFill="1" applyBorder="1" applyAlignment="1">
      <alignment horizontal="center"/>
    </xf>
    <xf numFmtId="3" fontId="58" fillId="23" borderId="131" xfId="0" applyNumberFormat="1" applyFont="1" applyFill="1" applyBorder="1" applyAlignment="1">
      <alignment horizontal="right"/>
    </xf>
    <xf numFmtId="3" fontId="58" fillId="23" borderId="132" xfId="0" applyNumberFormat="1" applyFont="1" applyFill="1" applyBorder="1" applyAlignment="1">
      <alignment horizontal="center"/>
    </xf>
    <xf numFmtId="38" fontId="58" fillId="23" borderId="19" xfId="0" applyNumberFormat="1" applyFont="1" applyFill="1" applyBorder="1" applyAlignment="1">
      <alignment horizontal="right"/>
    </xf>
    <xf numFmtId="38" fontId="58" fillId="23" borderId="20" xfId="0" applyNumberFormat="1" applyFont="1" applyFill="1" applyBorder="1" applyAlignment="1">
      <alignment horizontal="right"/>
    </xf>
    <xf numFmtId="38" fontId="58" fillId="23" borderId="11" xfId="0" applyNumberFormat="1" applyFont="1" applyFill="1" applyBorder="1" applyAlignment="1">
      <alignment horizontal="right"/>
    </xf>
    <xf numFmtId="3" fontId="68" fillId="23" borderId="125" xfId="0" applyNumberFormat="1" applyFont="1" applyFill="1" applyBorder="1" applyAlignment="1">
      <alignment horizontal="center" vertical="center" wrapText="1"/>
    </xf>
    <xf numFmtId="49" fontId="65" fillId="23" borderId="11" xfId="0" applyNumberFormat="1" applyFont="1" applyFill="1" applyBorder="1" applyAlignment="1">
      <alignment horizontal="center" vertical="center"/>
    </xf>
    <xf numFmtId="38" fontId="58" fillId="23" borderId="13" xfId="0" applyNumberFormat="1" applyFont="1" applyFill="1" applyBorder="1" applyAlignment="1">
      <alignment horizontal="right"/>
    </xf>
    <xf numFmtId="38" fontId="58" fillId="23" borderId="21" xfId="0" applyNumberFormat="1" applyFont="1" applyFill="1" applyBorder="1" applyAlignment="1">
      <alignment horizontal="right"/>
    </xf>
    <xf numFmtId="38" fontId="58" fillId="23" borderId="14" xfId="0" applyNumberFormat="1" applyFont="1" applyFill="1" applyBorder="1" applyAlignment="1">
      <alignment horizontal="right"/>
    </xf>
    <xf numFmtId="38" fontId="57" fillId="23" borderId="13"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21" xfId="1"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38" fontId="58" fillId="23" borderId="19" xfId="0" applyNumberFormat="1" applyFont="1" applyFill="1" applyBorder="1" applyAlignment="1" applyProtection="1">
      <alignment horizontal="right"/>
    </xf>
    <xf numFmtId="38" fontId="58" fillId="23" borderId="20"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0" fontId="60" fillId="23" borderId="31" xfId="0" applyFont="1" applyFill="1" applyBorder="1" applyAlignment="1">
      <alignment horizontal="center" vertical="center"/>
    </xf>
    <xf numFmtId="38" fontId="58" fillId="23" borderId="13" xfId="0" applyNumberFormat="1" applyFont="1" applyFill="1" applyBorder="1" applyAlignment="1" applyProtection="1">
      <alignment horizontal="right"/>
    </xf>
    <xf numFmtId="38" fontId="58" fillId="23" borderId="11" xfId="0" applyNumberFormat="1" applyFont="1" applyFill="1" applyBorder="1" applyAlignment="1" applyProtection="1">
      <alignment horizontal="right"/>
    </xf>
    <xf numFmtId="38" fontId="58" fillId="23" borderId="49" xfId="0" applyNumberFormat="1" applyFont="1" applyFill="1" applyBorder="1" applyAlignment="1" applyProtection="1">
      <alignment horizontal="right"/>
    </xf>
    <xf numFmtId="38" fontId="58" fillId="23" borderId="34" xfId="0" applyNumberFormat="1" applyFont="1" applyFill="1" applyBorder="1" applyAlignment="1" applyProtection="1">
      <alignment horizontal="right"/>
    </xf>
    <xf numFmtId="38" fontId="58" fillId="23" borderId="31" xfId="0" applyNumberFormat="1" applyFont="1" applyFill="1" applyBorder="1" applyAlignment="1" applyProtection="1">
      <alignment horizontal="right"/>
    </xf>
    <xf numFmtId="3" fontId="57" fillId="23" borderId="13" xfId="0" applyNumberFormat="1" applyFont="1" applyFill="1" applyBorder="1" applyAlignment="1" applyProtection="1">
      <alignment horizontal="right" vertical="center"/>
    </xf>
    <xf numFmtId="3" fontId="57" fillId="23" borderId="21" xfId="0" applyNumberFormat="1" applyFont="1" applyFill="1" applyBorder="1" applyAlignment="1" applyProtection="1">
      <alignment horizontal="right" vertical="center"/>
    </xf>
    <xf numFmtId="3" fontId="57" fillId="23"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3" borderId="13" xfId="0" applyNumberFormat="1" applyFont="1" applyFill="1" applyBorder="1" applyAlignment="1" applyProtection="1">
      <alignment horizontal="center" vertical="center"/>
    </xf>
    <xf numFmtId="49" fontId="67" fillId="23" borderId="21" xfId="0" applyNumberFormat="1" applyFont="1" applyFill="1" applyBorder="1" applyAlignment="1" applyProtection="1">
      <alignment horizontal="center" vertical="center"/>
    </xf>
    <xf numFmtId="3" fontId="58" fillId="23" borderId="21" xfId="0" applyNumberFormat="1" applyFont="1" applyFill="1" applyBorder="1" applyAlignment="1" applyProtection="1">
      <alignment horizontal="center"/>
    </xf>
    <xf numFmtId="3" fontId="60" fillId="23" borderId="21" xfId="0" applyNumberFormat="1" applyFont="1" applyFill="1" applyBorder="1" applyAlignment="1" applyProtection="1">
      <alignment horizontal="center"/>
    </xf>
    <xf numFmtId="38" fontId="60" fillId="23" borderId="21" xfId="0" applyNumberFormat="1" applyFont="1" applyFill="1" applyBorder="1" applyAlignment="1" applyProtection="1">
      <alignment horizontal="center"/>
    </xf>
    <xf numFmtId="3" fontId="60" fillId="23" borderId="14" xfId="0" applyNumberFormat="1" applyFont="1" applyFill="1" applyBorder="1" applyAlignment="1" applyProtection="1">
      <alignment horizontal="center"/>
    </xf>
    <xf numFmtId="0" fontId="57" fillId="23" borderId="49" xfId="0" applyFont="1" applyFill="1" applyBorder="1" applyAlignment="1" applyProtection="1">
      <alignment horizontal="center" vertical="center" wrapText="1"/>
    </xf>
    <xf numFmtId="0" fontId="58" fillId="23" borderId="34"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wrapText="1"/>
    </xf>
    <xf numFmtId="0" fontId="60" fillId="23" borderId="31"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7"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5" xfId="0" applyNumberFormat="1" applyFont="1" applyFill="1" applyBorder="1" applyAlignment="1">
      <alignment horizontal="left" vertical="center" wrapText="1"/>
    </xf>
    <xf numFmtId="49" fontId="67" fillId="17" borderId="127"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5"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7" xfId="0" applyFont="1" applyFill="1" applyBorder="1" applyAlignment="1">
      <alignment horizontal="left" vertical="center" wrapText="1"/>
    </xf>
    <xf numFmtId="3" fontId="67" fillId="17" borderId="127" xfId="0" applyNumberFormat="1" applyFont="1" applyFill="1" applyBorder="1" applyAlignment="1">
      <alignment horizontal="left" vertical="center" wrapText="1"/>
    </xf>
    <xf numFmtId="38" fontId="58" fillId="24" borderId="19" xfId="0" applyNumberFormat="1" applyFont="1" applyFill="1" applyBorder="1" applyAlignment="1">
      <alignment horizontal="right"/>
    </xf>
    <xf numFmtId="38" fontId="58" fillId="24" borderId="20" xfId="0" applyNumberFormat="1" applyFont="1" applyFill="1" applyBorder="1" applyAlignment="1">
      <alignment horizontal="right"/>
    </xf>
    <xf numFmtId="38" fontId="58" fillId="24" borderId="11" xfId="0" applyNumberFormat="1" applyFont="1" applyFill="1" applyBorder="1" applyAlignment="1">
      <alignment horizontal="right"/>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3" borderId="13" xfId="0" applyFont="1" applyFill="1" applyBorder="1" applyAlignment="1">
      <alignment horizontal="left" vertical="center"/>
    </xf>
    <xf numFmtId="0" fontId="68" fillId="23" borderId="21" xfId="0" applyFont="1" applyFill="1" applyBorder="1" applyAlignment="1">
      <alignment horizontal="left" vertical="center"/>
    </xf>
    <xf numFmtId="0" fontId="68" fillId="23"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9" xfId="0" applyFont="1" applyBorder="1" applyAlignment="1">
      <alignment horizontal="centerContinuous" vertical="center"/>
    </xf>
    <xf numFmtId="0" fontId="58" fillId="0" borderId="160" xfId="0" applyFont="1" applyBorder="1" applyAlignment="1">
      <alignment horizontal="centerContinuous" vertical="center"/>
    </xf>
    <xf numFmtId="0" fontId="60" fillId="0" borderId="160" xfId="0" applyFont="1" applyBorder="1" applyAlignment="1">
      <alignment horizontal="centerContinuous" vertical="center"/>
    </xf>
    <xf numFmtId="0" fontId="67" fillId="0" borderId="105" xfId="0" applyFont="1" applyBorder="1" applyAlignment="1">
      <alignment horizontal="center"/>
    </xf>
    <xf numFmtId="0" fontId="60" fillId="23" borderId="16" xfId="3" applyFont="1" applyFill="1" applyBorder="1" applyAlignment="1">
      <alignment horizontal="left" vertical="center"/>
    </xf>
    <xf numFmtId="0" fontId="60" fillId="23" borderId="10" xfId="3" applyFont="1" applyFill="1" applyBorder="1" applyAlignment="1">
      <alignment horizontal="left" vertical="center"/>
    </xf>
    <xf numFmtId="0" fontId="60" fillId="23" borderId="19" xfId="3" applyNumberFormat="1" applyFont="1" applyFill="1" applyBorder="1" applyAlignment="1">
      <alignment vertical="center"/>
    </xf>
    <xf numFmtId="0" fontId="60" fillId="23" borderId="20" xfId="3" applyNumberFormat="1" applyFont="1" applyFill="1" applyBorder="1" applyAlignment="1">
      <alignment vertical="center"/>
    </xf>
    <xf numFmtId="0" fontId="60" fillId="23" borderId="11" xfId="3" applyNumberFormat="1" applyFont="1" applyFill="1" applyBorder="1" applyAlignment="1">
      <alignment vertical="center"/>
    </xf>
    <xf numFmtId="0" fontId="9" fillId="0" borderId="0" xfId="17" quotePrefix="1" applyNumberFormat="1" applyFont="1"/>
    <xf numFmtId="0" fontId="130" fillId="20" borderId="157" xfId="17" applyFont="1" applyFill="1" applyBorder="1" applyAlignment="1" applyProtection="1">
      <alignment horizontal="left" vertical="top" wrapText="1"/>
    </xf>
    <xf numFmtId="49" fontId="130" fillId="20" borderId="157" xfId="17" applyNumberFormat="1" applyFont="1" applyFill="1" applyBorder="1" applyAlignment="1" applyProtection="1">
      <alignment horizontal="center" vertical="top"/>
    </xf>
    <xf numFmtId="0" fontId="130" fillId="20" borderId="157" xfId="17" applyFont="1" applyFill="1" applyBorder="1" applyAlignment="1" applyProtection="1">
      <alignment vertical="top"/>
    </xf>
    <xf numFmtId="38" fontId="130" fillId="20" borderId="157" xfId="17" applyNumberFormat="1" applyFont="1" applyFill="1" applyBorder="1" applyAlignment="1" applyProtection="1">
      <alignment horizontal="right" vertical="top"/>
    </xf>
    <xf numFmtId="38" fontId="130" fillId="20" borderId="157" xfId="17" applyNumberFormat="1" applyFont="1" applyFill="1" applyBorder="1" applyAlignment="1" applyProtection="1">
      <alignment vertical="top"/>
    </xf>
    <xf numFmtId="0" fontId="10" fillId="0" borderId="157" xfId="17" applyBorder="1" applyAlignment="1" applyProtection="1">
      <alignment horizontal="left" vertical="top" wrapText="1"/>
      <protection locked="0"/>
    </xf>
    <xf numFmtId="0" fontId="10" fillId="0" borderId="157" xfId="17" applyBorder="1" applyAlignment="1" applyProtection="1">
      <alignment vertical="top"/>
      <protection locked="0"/>
    </xf>
    <xf numFmtId="0" fontId="9" fillId="0" borderId="157" xfId="17" applyFont="1" applyBorder="1" applyAlignment="1" applyProtection="1">
      <alignment horizontal="left" vertical="top" wrapText="1"/>
      <protection locked="0"/>
    </xf>
    <xf numFmtId="0" fontId="9" fillId="0" borderId="157" xfId="17" applyFont="1" applyBorder="1" applyAlignment="1" applyProtection="1">
      <alignment vertical="top"/>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30" fillId="0" borderId="98" xfId="17" applyFont="1" applyBorder="1" applyAlignment="1">
      <alignment horizontal="left" vertical="top"/>
    </xf>
    <xf numFmtId="0" fontId="130" fillId="0" borderId="78" xfId="17" applyFont="1" applyBorder="1" applyAlignment="1">
      <alignment horizontal="left" vertical="top"/>
    </xf>
    <xf numFmtId="0" fontId="130" fillId="0" borderId="99" xfId="17" applyFont="1" applyBorder="1" applyAlignment="1">
      <alignment horizontal="left" vertical="top"/>
    </xf>
    <xf numFmtId="0" fontId="36" fillId="0" borderId="0" xfId="2" applyNumberFormat="1" applyAlignment="1" applyProtection="1">
      <alignment vertical="center"/>
    </xf>
    <xf numFmtId="0" fontId="67" fillId="0" borderId="5" xfId="3" applyFont="1" applyFill="1" applyBorder="1" applyAlignment="1" applyProtection="1"/>
    <xf numFmtId="49" fontId="10" fillId="0" borderId="157" xfId="17" applyNumberFormat="1" applyBorder="1" applyAlignment="1" applyProtection="1">
      <alignment horizontal="center" vertical="center"/>
      <protection locked="0"/>
    </xf>
    <xf numFmtId="49" fontId="8" fillId="0" borderId="157" xfId="17" applyNumberFormat="1" applyFont="1" applyBorder="1" applyAlignment="1" applyProtection="1">
      <alignment horizontal="center" vertical="center"/>
      <protection locked="0"/>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38" fontId="58" fillId="16" borderId="27" xfId="0" applyNumberFormat="1" applyFont="1" applyFill="1" applyBorder="1" applyAlignment="1">
      <alignment horizontal="right"/>
    </xf>
    <xf numFmtId="38" fontId="58" fillId="16" borderId="2" xfId="0" applyNumberFormat="1" applyFont="1" applyFill="1" applyBorder="1" applyAlignment="1">
      <alignment horizontal="right"/>
    </xf>
    <xf numFmtId="38" fontId="58" fillId="16" borderId="4" xfId="0" applyNumberFormat="1" applyFont="1" applyFill="1" applyBorder="1" applyAlignment="1">
      <alignment horizontal="right"/>
    </xf>
    <xf numFmtId="49" fontId="67" fillId="16" borderId="36" xfId="0" applyNumberFormat="1" applyFont="1" applyFill="1" applyBorder="1" applyAlignment="1">
      <alignment horizontal="center" vertical="center"/>
    </xf>
    <xf numFmtId="38" fontId="58" fillId="16" borderId="30" xfId="0" applyNumberFormat="1" applyFont="1" applyFill="1" applyBorder="1" applyAlignment="1">
      <alignment horizontal="right"/>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38" fontId="58" fillId="16" borderId="32" xfId="0" applyNumberFormat="1" applyFont="1" applyFill="1" applyBorder="1" applyAlignment="1">
      <alignment horizontal="right"/>
    </xf>
    <xf numFmtId="0" fontId="67" fillId="16" borderId="27" xfId="0" applyFont="1" applyFill="1" applyBorder="1" applyAlignment="1">
      <alignment horizontal="center" vertical="center"/>
    </xf>
    <xf numFmtId="38" fontId="58" fillId="16" borderId="33" xfId="0" applyNumberFormat="1" applyFont="1" applyFill="1" applyBorder="1" applyAlignment="1">
      <alignment horizontal="right"/>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8" fontId="58" fillId="16" borderId="26" xfId="0" applyNumberFormat="1" applyFont="1" applyFill="1" applyBorder="1" applyAlignment="1">
      <alignment horizontal="right"/>
    </xf>
    <xf numFmtId="38" fontId="58" fillId="16" borderId="28" xfId="0" applyNumberFormat="1" applyFont="1" applyFill="1" applyBorder="1" applyAlignment="1">
      <alignment horizontal="right"/>
    </xf>
    <xf numFmtId="38" fontId="58" fillId="16" borderId="29" xfId="0" applyNumberFormat="1" applyFont="1" applyFill="1" applyBorder="1" applyAlignment="1">
      <alignment horizontal="right"/>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8" fontId="58" fillId="16" borderId="27" xfId="0" applyNumberFormat="1" applyFont="1" applyFill="1" applyBorder="1" applyAlignment="1" applyProtection="1">
      <alignment horizontal="right"/>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38" fontId="58" fillId="16" borderId="3" xfId="0" applyNumberFormat="1" applyFont="1" applyFill="1" applyBorder="1" applyAlignment="1">
      <alignment horizontal="right"/>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38" fontId="58" fillId="16" borderId="33" xfId="0" applyNumberFormat="1" applyFont="1" applyFill="1" applyBorder="1" applyAlignment="1" applyProtection="1">
      <alignment horizontal="right"/>
    </xf>
    <xf numFmtId="38" fontId="58" fillId="16" borderId="32" xfId="0" applyNumberFormat="1" applyFont="1" applyFill="1" applyBorder="1" applyAlignment="1" applyProtection="1">
      <alignment horizontal="right"/>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38" fontId="58" fillId="16" borderId="36" xfId="0" applyNumberFormat="1" applyFont="1" applyFill="1" applyBorder="1" applyAlignment="1" applyProtection="1">
      <alignment horizontal="right"/>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37" fontId="58" fillId="16" borderId="36" xfId="0" applyNumberFormat="1" applyFont="1" applyFill="1" applyBorder="1" applyAlignment="1" applyProtection="1">
      <alignment horizontal="right"/>
    </xf>
    <xf numFmtId="37" fontId="58" fillId="16" borderId="27" xfId="0" applyNumberFormat="1" applyFont="1" applyFill="1" applyBorder="1" applyAlignment="1" applyProtection="1">
      <alignment horizontal="right"/>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38" fontId="58" fillId="16" borderId="37" xfId="0" applyNumberFormat="1" applyFont="1" applyFill="1" applyBorder="1" applyAlignment="1" applyProtection="1">
      <alignment horizontal="right"/>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38" fontId="58" fillId="16" borderId="12" xfId="0" applyNumberFormat="1" applyFont="1" applyFill="1" applyBorder="1" applyAlignment="1" applyProtection="1">
      <alignment horizontal="right"/>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38" fontId="58" fillId="16" borderId="3" xfId="0" applyNumberFormat="1" applyFont="1" applyFill="1" applyBorder="1" applyAlignment="1" applyProtection="1">
      <alignment horizontal="right"/>
    </xf>
    <xf numFmtId="38" fontId="58" fillId="16" borderId="55" xfId="0" applyNumberFormat="1" applyFont="1" applyFill="1" applyBorder="1" applyAlignment="1" applyProtection="1">
      <alignment horizontal="right"/>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8" fontId="60" fillId="16" borderId="2"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38" fontId="58" fillId="16" borderId="30" xfId="0" applyNumberFormat="1" applyFont="1" applyFill="1" applyBorder="1" applyAlignment="1" applyProtection="1">
      <alignment horizontal="right"/>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38" fontId="58" fillId="16" borderId="26" xfId="0" applyNumberFormat="1" applyFont="1" applyFill="1" applyBorder="1" applyAlignment="1" applyProtection="1">
      <alignment horizontal="right"/>
    </xf>
    <xf numFmtId="0" fontId="67" fillId="16" borderId="30" xfId="0" applyFont="1" applyFill="1" applyBorder="1" applyAlignment="1" applyProtection="1">
      <alignment horizontal="center" vertical="center"/>
    </xf>
    <xf numFmtId="38" fontId="58" fillId="16" borderId="4" xfId="0" applyNumberFormat="1" applyFont="1" applyFill="1" applyBorder="1" applyAlignment="1" applyProtection="1">
      <alignment horizontal="right"/>
    </xf>
    <xf numFmtId="38" fontId="58" fillId="16" borderId="2" xfId="0" applyNumberFormat="1" applyFont="1" applyFill="1" applyBorder="1" applyAlignment="1" applyProtection="1">
      <alignment horizontal="right"/>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38" fontId="58" fillId="16" borderId="28" xfId="0" applyNumberFormat="1" applyFont="1" applyFill="1" applyBorder="1" applyAlignment="1" applyProtection="1">
      <alignment horizontal="right"/>
    </xf>
    <xf numFmtId="38" fontId="58" fillId="16" borderId="18" xfId="0" applyNumberFormat="1" applyFont="1" applyFill="1" applyBorder="1" applyAlignment="1" applyProtection="1">
      <alignment horizontal="right"/>
    </xf>
    <xf numFmtId="38" fontId="58" fillId="16" borderId="0" xfId="0" applyNumberFormat="1" applyFont="1" applyFill="1" applyAlignment="1" applyProtection="1">
      <alignment horizontal="right"/>
    </xf>
    <xf numFmtId="38" fontId="58" fillId="16" borderId="127" xfId="0" applyNumberFormat="1" applyFont="1" applyFill="1" applyBorder="1" applyAlignment="1" applyProtection="1">
      <alignment horizontal="right" vertical="center"/>
      <protection locked="0"/>
    </xf>
    <xf numFmtId="38" fontId="58" fillId="16" borderId="2" xfId="0" applyNumberFormat="1" applyFont="1" applyFill="1" applyBorder="1" applyAlignment="1" applyProtection="1">
      <alignment horizontal="right" vertical="center"/>
      <protection locked="0"/>
    </xf>
    <xf numFmtId="38" fontId="58" fillId="16" borderId="27" xfId="0" applyNumberFormat="1" applyFont="1" applyFill="1" applyBorder="1" applyAlignment="1" applyProtection="1">
      <alignment horizontal="right" vertical="center"/>
      <protection locked="0"/>
    </xf>
    <xf numFmtId="38" fontId="58" fillId="16" borderId="127"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horizontal="right" vertical="center"/>
    </xf>
    <xf numFmtId="0" fontId="67" fillId="16" borderId="27" xfId="0" applyFont="1" applyFill="1" applyBorder="1" applyAlignment="1">
      <alignment horizontal="left" vertical="center" wrapText="1" indent="1"/>
    </xf>
    <xf numFmtId="38" fontId="58" fillId="16" borderId="27" xfId="0" applyNumberFormat="1" applyFont="1" applyFill="1" applyBorder="1" applyAlignment="1" applyProtection="1">
      <alignment horizontal="right" vertical="center"/>
    </xf>
    <xf numFmtId="38" fontId="58" fillId="16" borderId="2" xfId="9" applyNumberFormat="1" applyFont="1" applyFill="1" applyBorder="1" applyAlignment="1" applyProtection="1">
      <alignment horizontal="right"/>
    </xf>
    <xf numFmtId="49" fontId="65" fillId="16" borderId="41"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38" fontId="58" fillId="16" borderId="60" xfId="0" applyNumberFormat="1" applyFont="1" applyFill="1" applyBorder="1" applyAlignment="1" applyProtection="1"/>
    <xf numFmtId="38" fontId="58" fillId="16" borderId="41" xfId="0" applyNumberFormat="1" applyFont="1" applyFill="1" applyBorder="1" applyAlignment="1" applyProtection="1">
      <alignment horizontal="right"/>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3" fontId="67" fillId="16" borderId="57" xfId="10" applyNumberFormat="1" applyFont="1" applyFill="1" applyBorder="1" applyAlignment="1" applyProtection="1">
      <alignmen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38" fontId="67" fillId="16" borderId="47" xfId="10" applyNumberFormat="1" applyFont="1" applyFill="1" applyBorder="1" applyAlignment="1">
      <alignment horizontal="right"/>
    </xf>
    <xf numFmtId="0" fontId="65" fillId="16" borderId="0" xfId="10" quotePrefix="1" applyFont="1" applyFill="1" applyAlignment="1">
      <alignment horizontal="left" vertical="center"/>
    </xf>
    <xf numFmtId="38" fontId="65" fillId="16" borderId="58" xfId="10" applyNumberFormat="1" applyFont="1" applyFill="1" applyBorder="1" applyAlignment="1" applyProtection="1">
      <alignment horizontal="right"/>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40" fontId="67" fillId="16" borderId="47" xfId="10" applyNumberFormat="1" applyFont="1" applyFill="1" applyBorder="1" applyAlignment="1" applyProtection="1">
      <alignment horizontal="right"/>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38" fontId="67" fillId="16" borderId="9" xfId="11" applyNumberFormat="1" applyFont="1" applyFill="1" applyBorder="1" applyAlignment="1" applyProtection="1">
      <alignment horizontal="right"/>
    </xf>
    <xf numFmtId="38" fontId="65" fillId="16" borderId="6" xfId="11" applyNumberFormat="1" applyFont="1" applyFill="1" applyBorder="1" applyAlignment="1" applyProtection="1">
      <alignment horizontal="right"/>
    </xf>
    <xf numFmtId="0" fontId="65" fillId="16" borderId="0" xfId="11" applyFont="1" applyFill="1" applyAlignment="1">
      <alignment vertical="center"/>
    </xf>
    <xf numFmtId="40" fontId="65" fillId="16" borderId="9" xfId="11" applyNumberFormat="1" applyFont="1" applyFill="1" applyBorder="1" applyAlignment="1" applyProtection="1">
      <alignment horizontal="right"/>
    </xf>
    <xf numFmtId="40" fontId="67" fillId="16" borderId="57" xfId="11" applyNumberFormat="1" applyFont="1" applyFill="1" applyBorder="1" applyAlignment="1" applyProtection="1">
      <alignment horizontal="right"/>
    </xf>
    <xf numFmtId="38" fontId="10" fillId="16" borderId="157" xfId="17" applyNumberFormat="1" applyFill="1" applyBorder="1" applyAlignment="1" applyProtection="1">
      <alignment vertical="top"/>
    </xf>
    <xf numFmtId="38" fontId="10" fillId="16" borderId="158" xfId="17" applyNumberFormat="1" applyFill="1" applyBorder="1" applyAlignment="1" applyProtection="1">
      <alignment horizontal="right" vertical="top"/>
    </xf>
    <xf numFmtId="38" fontId="10" fillId="16" borderId="158" xfId="17" applyNumberFormat="1" applyFill="1" applyBorder="1" applyAlignment="1" applyProtection="1">
      <alignment vertical="top"/>
    </xf>
    <xf numFmtId="0" fontId="10" fillId="16" borderId="158" xfId="17" applyFill="1" applyBorder="1" applyAlignment="1" applyProtection="1">
      <alignment horizontal="left" vertical="top" wrapText="1"/>
    </xf>
    <xf numFmtId="49" fontId="10" fillId="16" borderId="158" xfId="17" applyNumberFormat="1" applyFill="1" applyBorder="1" applyAlignment="1" applyProtection="1">
      <alignment vertical="top"/>
    </xf>
    <xf numFmtId="0" fontId="10" fillId="16" borderId="158" xfId="17" applyFill="1" applyBorder="1" applyAlignment="1" applyProtection="1">
      <alignment vertical="top"/>
    </xf>
    <xf numFmtId="0" fontId="58" fillId="16" borderId="126" xfId="0" applyFont="1" applyFill="1" applyBorder="1"/>
    <xf numFmtId="37" fontId="58" fillId="16" borderId="126" xfId="0" applyNumberFormat="1" applyFont="1" applyFill="1" applyBorder="1"/>
    <xf numFmtId="37" fontId="58" fillId="16" borderId="128" xfId="0" applyNumberFormat="1" applyFont="1" applyFill="1" applyBorder="1"/>
    <xf numFmtId="0" fontId="58" fillId="16" borderId="14" xfId="0" applyFont="1" applyFill="1" applyBorder="1"/>
    <xf numFmtId="0" fontId="58" fillId="16" borderId="21" xfId="0" applyFont="1" applyFill="1" applyBorder="1"/>
    <xf numFmtId="37" fontId="58" fillId="16" borderId="14" xfId="0" applyNumberFormat="1" applyFont="1" applyFill="1" applyBorder="1"/>
    <xf numFmtId="37" fontId="58" fillId="16" borderId="21" xfId="0" applyNumberFormat="1" applyFont="1" applyFill="1" applyBorder="1"/>
    <xf numFmtId="38" fontId="58" fillId="16" borderId="14" xfId="0" applyNumberFormat="1" applyFont="1" applyFill="1" applyBorder="1"/>
    <xf numFmtId="0" fontId="65" fillId="16" borderId="0" xfId="0" applyFont="1" applyFill="1" applyBorder="1" applyAlignment="1">
      <alignment horizontal="right"/>
    </xf>
    <xf numFmtId="38" fontId="58" fillId="16" borderId="18" xfId="0" applyNumberFormat="1" applyFont="1" applyFill="1" applyBorder="1"/>
    <xf numFmtId="0" fontId="58" fillId="16" borderId="13" xfId="0" applyFont="1" applyFill="1" applyBorder="1" applyAlignment="1">
      <alignment horizontal="right"/>
    </xf>
    <xf numFmtId="10" fontId="57" fillId="16" borderId="14" xfId="0" applyNumberFormat="1" applyFont="1" applyFill="1" applyBorder="1" applyAlignment="1">
      <alignment horizontal="left" indent="2"/>
    </xf>
    <xf numFmtId="38" fontId="58" fillId="16" borderId="2" xfId="3" applyNumberFormat="1" applyFont="1" applyFill="1" applyBorder="1" applyAlignment="1">
      <alignment vertical="center"/>
    </xf>
    <xf numFmtId="38" fontId="58" fillId="16" borderId="2" xfId="3" applyNumberFormat="1" applyFont="1" applyFill="1" applyBorder="1" applyAlignment="1" applyProtection="1">
      <alignment vertical="center"/>
    </xf>
    <xf numFmtId="38" fontId="58" fillId="16" borderId="27" xfId="3" applyNumberFormat="1" applyFont="1" applyFill="1" applyBorder="1" applyAlignment="1">
      <alignment vertical="center"/>
    </xf>
    <xf numFmtId="9" fontId="58" fillId="16" borderId="4" xfId="3" applyNumberFormat="1" applyFont="1" applyFill="1" applyBorder="1" applyAlignment="1">
      <alignment horizontal="center" vertical="center"/>
    </xf>
    <xf numFmtId="38" fontId="58" fillId="16" borderId="22" xfId="3" applyNumberFormat="1" applyFont="1" applyFill="1" applyBorder="1" applyAlignment="1">
      <alignment horizontal="right" vertical="center"/>
    </xf>
    <xf numFmtId="38" fontId="58" fillId="16" borderId="41"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8" fillId="16" borderId="127" xfId="0" applyNumberFormat="1" applyFont="1" applyFill="1" applyBorder="1" applyAlignment="1" applyProtection="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38" fontId="58" fillId="15" borderId="26" xfId="0" applyNumberFormat="1" applyFont="1" applyFill="1" applyBorder="1" applyAlignment="1">
      <alignment horizontal="right"/>
    </xf>
    <xf numFmtId="38" fontId="58" fillId="15" borderId="3" xfId="0" applyNumberFormat="1" applyFont="1" applyFill="1" applyBorder="1" applyAlignment="1">
      <alignment horizontal="right"/>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8" fontId="58" fillId="26" borderId="26" xfId="0" applyNumberFormat="1" applyFont="1" applyFill="1" applyBorder="1" applyAlignment="1">
      <alignment horizontal="right"/>
    </xf>
    <xf numFmtId="3" fontId="65" fillId="0" borderId="12" xfId="0" applyNumberFormat="1" applyFont="1" applyBorder="1" applyAlignment="1">
      <alignment horizontal="left" vertical="top" wrapText="1" indent="1"/>
    </xf>
    <xf numFmtId="38" fontId="58" fillId="16"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49" fontId="7" fillId="0" borderId="157" xfId="17" applyNumberFormat="1" applyFont="1" applyBorder="1" applyAlignment="1" applyProtection="1">
      <alignment horizontal="center" vertical="center"/>
      <protection locked="0"/>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61" xfId="3" applyFont="1" applyBorder="1" applyProtection="1"/>
    <xf numFmtId="49" fontId="65" fillId="0" borderId="14" xfId="0" applyNumberFormat="1" applyFont="1" applyFill="1" applyBorder="1" applyAlignment="1" applyProtection="1">
      <alignment horizontal="center" vertical="center"/>
    </xf>
    <xf numFmtId="38" fontId="58" fillId="15" borderId="3" xfId="0" applyNumberFormat="1" applyFont="1" applyFill="1" applyBorder="1" applyAlignment="1" applyProtection="1">
      <alignment horizontal="right"/>
    </xf>
    <xf numFmtId="38" fontId="58" fillId="15" borderId="26" xfId="0" applyNumberFormat="1" applyFont="1" applyFill="1" applyBorder="1" applyAlignment="1" applyProtection="1">
      <alignment horizontal="right"/>
    </xf>
    <xf numFmtId="38" fontId="10" fillId="0" borderId="157" xfId="17" applyNumberFormat="1" applyBorder="1" applyAlignment="1" applyProtection="1">
      <alignment horizontal="right" vertical="top"/>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3" borderId="0" xfId="18" applyFont="1" applyFill="1" applyAlignment="1">
      <alignment horizontal="centerContinuous" vertical="center"/>
    </xf>
    <xf numFmtId="0" fontId="103" fillId="23" borderId="0" xfId="18" applyFont="1" applyFill="1" applyAlignment="1">
      <alignment horizontal="centerContinuous"/>
    </xf>
    <xf numFmtId="0" fontId="91" fillId="0" borderId="137"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7" fillId="0" borderId="0" xfId="18" applyFont="1" applyAlignment="1">
      <alignment wrapText="1"/>
    </xf>
    <xf numFmtId="0" fontId="135" fillId="0" borderId="162"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4"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9" xfId="18" applyFont="1" applyBorder="1" applyAlignment="1">
      <alignment horizontal="left" vertical="center" wrapText="1"/>
    </xf>
    <xf numFmtId="0" fontId="107" fillId="0" borderId="160"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2"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03" fillId="0" borderId="0" xfId="18" applyFont="1" applyProtection="1"/>
    <xf numFmtId="0" fontId="7" fillId="0" borderId="0" xfId="18" applyFont="1"/>
    <xf numFmtId="0" fontId="51" fillId="0" borderId="140" xfId="18" applyFont="1" applyBorder="1" applyAlignment="1">
      <alignment vertical="top"/>
    </xf>
    <xf numFmtId="0" fontId="51" fillId="0" borderId="141" xfId="18" applyFont="1" applyBorder="1" applyAlignment="1">
      <alignment vertical="top"/>
    </xf>
    <xf numFmtId="0" fontId="52" fillId="15" borderId="76" xfId="18" applyFont="1" applyFill="1" applyBorder="1" applyAlignment="1">
      <alignment vertical="top"/>
    </xf>
    <xf numFmtId="0" fontId="51" fillId="0" borderId="140" xfId="18" applyFont="1" applyBorder="1" applyAlignment="1">
      <alignment vertical="top" wrapText="1"/>
    </xf>
    <xf numFmtId="0" fontId="51" fillId="0" borderId="141"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7"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49" fontId="67" fillId="0" borderId="2" xfId="0" applyNumberFormat="1" applyFont="1" applyFill="1" applyBorder="1" applyAlignment="1" applyProtection="1">
      <alignment horizontal="center" vertical="top" wrapText="1"/>
    </xf>
    <xf numFmtId="49" fontId="67" fillId="0" borderId="2" xfId="9" applyNumberFormat="1" applyFont="1" applyFill="1" applyBorder="1" applyAlignment="1">
      <alignment horizontal="center" vertical="top" wrapText="1"/>
    </xf>
    <xf numFmtId="49" fontId="67" fillId="5" borderId="2" xfId="9" applyNumberFormat="1" applyFont="1" applyFill="1" applyBorder="1" applyAlignment="1" applyProtection="1">
      <alignment horizontal="center" vertical="top" wrapText="1"/>
    </xf>
    <xf numFmtId="0" fontId="103" fillId="23" borderId="0" xfId="18" applyFont="1" applyFill="1" applyAlignment="1">
      <alignment horizontal="centerContinuous" vertical="center"/>
    </xf>
    <xf numFmtId="0" fontId="107" fillId="23" borderId="138" xfId="18" applyFont="1" applyFill="1" applyBorder="1" applyAlignment="1">
      <alignment horizontal="center" vertical="center" wrapText="1"/>
    </xf>
    <xf numFmtId="0" fontId="107" fillId="23" borderId="163" xfId="18" applyFont="1" applyFill="1" applyBorder="1" applyAlignment="1">
      <alignment horizontal="center" vertical="center" wrapText="1"/>
    </xf>
    <xf numFmtId="0" fontId="107" fillId="17" borderId="139"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9" xfId="18" applyFont="1" applyFill="1" applyBorder="1" applyAlignment="1" applyProtection="1">
      <alignment horizontal="right"/>
    </xf>
    <xf numFmtId="0" fontId="68" fillId="23" borderId="12" xfId="3" applyNumberFormat="1" applyFont="1" applyFill="1" applyBorder="1" applyAlignment="1">
      <alignment horizontal="left"/>
    </xf>
    <xf numFmtId="0" fontId="57" fillId="0" borderId="12" xfId="3" applyNumberFormat="1" applyFont="1" applyFill="1" applyBorder="1" applyAlignment="1">
      <alignment horizontal="centerContinuous" vertical="center"/>
    </xf>
    <xf numFmtId="0" fontId="57" fillId="0" borderId="3" xfId="3" applyNumberFormat="1" applyFont="1" applyFill="1" applyBorder="1" applyAlignment="1">
      <alignment horizontal="centerContinuous" vertical="center"/>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38" fontId="65" fillId="0" borderId="147" xfId="11" applyNumberFormat="1" applyFont="1" applyFill="1" applyBorder="1" applyAlignment="1" applyProtection="1">
      <alignment horizontal="right"/>
      <protection locked="0"/>
    </xf>
    <xf numFmtId="38" fontId="65" fillId="16" borderId="9" xfId="11" applyNumberFormat="1" applyFont="1" applyFill="1" applyBorder="1" applyAlignment="1" applyProtection="1">
      <alignment horizontal="right"/>
    </xf>
    <xf numFmtId="3" fontId="65" fillId="16" borderId="9" xfId="10" applyNumberFormat="1" applyFont="1" applyFill="1" applyBorder="1" applyAlignment="1" applyProtection="1">
      <alignment vertical="center"/>
    </xf>
    <xf numFmtId="3" fontId="65" fillId="16" borderId="6" xfId="10" applyNumberFormat="1" applyFont="1" applyFill="1" applyBorder="1" applyAlignment="1" applyProtection="1">
      <alignment vertical="center"/>
    </xf>
    <xf numFmtId="38" fontId="65" fillId="16" borderId="9" xfId="10" applyNumberFormat="1" applyFont="1" applyFill="1" applyBorder="1" applyAlignment="1" applyProtection="1">
      <alignment horizontal="right" vertical="center"/>
    </xf>
    <xf numFmtId="38" fontId="65" fillId="16" borderId="0" xfId="10" applyNumberFormat="1" applyFont="1" applyFill="1" applyAlignment="1">
      <alignment vertical="top"/>
    </xf>
    <xf numFmtId="38" fontId="65" fillId="16" borderId="6" xfId="10" applyNumberFormat="1" applyFont="1" applyFill="1" applyBorder="1" applyAlignment="1" applyProtection="1">
      <alignment horizontal="right" vertical="center"/>
    </xf>
    <xf numFmtId="38" fontId="65" fillId="16" borderId="6" xfId="10" applyNumberFormat="1" applyFont="1" applyFill="1" applyBorder="1" applyAlignment="1" applyProtection="1">
      <alignment horizontal="right"/>
    </xf>
    <xf numFmtId="38" fontId="65" fillId="16" borderId="0" xfId="10" applyNumberFormat="1" applyFont="1" applyFill="1" applyAlignment="1">
      <alignment horizontal="right"/>
    </xf>
    <xf numFmtId="38" fontId="65" fillId="16" borderId="9" xfId="10" applyNumberFormat="1" applyFont="1" applyFill="1" applyBorder="1" applyAlignment="1" applyProtection="1">
      <alignment horizontal="right"/>
    </xf>
    <xf numFmtId="38" fontId="65" fillId="16" borderId="6" xfId="10" applyNumberFormat="1" applyFont="1" applyFill="1" applyBorder="1" applyAlignment="1">
      <alignment horizontal="right"/>
    </xf>
    <xf numFmtId="38" fontId="65" fillId="16" borderId="147" xfId="10" applyNumberFormat="1" applyFont="1" applyFill="1" applyBorder="1" applyAlignment="1" applyProtection="1">
      <alignment horizontal="right"/>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67" fillId="0" borderId="0" xfId="11" applyFont="1" applyAlignment="1">
      <alignment horizontal="right" vertical="center"/>
    </xf>
    <xf numFmtId="0" fontId="67" fillId="0" borderId="0" xfId="0" applyFont="1" applyBorder="1" applyAlignment="1" applyProtection="1">
      <alignment horizontal="lef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7" fillId="0" borderId="157" xfId="17" applyFont="1" applyBorder="1" applyAlignment="1" applyProtection="1">
      <alignment horizontal="left" vertical="top" wrapText="1"/>
      <protection locked="0"/>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38" fontId="6" fillId="16" borderId="157" xfId="17" applyNumberFormat="1" applyFont="1" applyFill="1" applyBorder="1" applyAlignment="1" applyProtection="1">
      <alignment horizontal="right" vertical="top"/>
    </xf>
    <xf numFmtId="38" fontId="6" fillId="16" borderId="158" xfId="17" applyNumberFormat="1" applyFont="1" applyFill="1" applyBorder="1" applyAlignment="1" applyProtection="1">
      <alignment horizontal="right" vertical="top"/>
    </xf>
    <xf numFmtId="49" fontId="6" fillId="0" borderId="157" xfId="17" applyNumberFormat="1" applyFont="1" applyBorder="1" applyAlignment="1" applyProtection="1">
      <alignment horizontal="center" vertical="top"/>
      <protection locked="0"/>
    </xf>
    <xf numFmtId="49" fontId="6" fillId="0" borderId="157" xfId="17" applyNumberFormat="1" applyFont="1" applyBorder="1" applyAlignment="1" applyProtection="1">
      <alignment horizontal="center" vertical="center"/>
      <protection locked="0"/>
    </xf>
    <xf numFmtId="0" fontId="60" fillId="0" borderId="77" xfId="3" applyNumberFormat="1" applyFont="1" applyBorder="1" applyAlignment="1" applyProtection="1">
      <alignment horizontal="center"/>
      <protection locked="0"/>
    </xf>
    <xf numFmtId="38" fontId="58" fillId="0" borderId="14"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27" xfId="0" applyNumberFormat="1" applyFont="1" applyFill="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124" xfId="0" applyNumberFormat="1" applyFont="1" applyFill="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6" applyNumberFormat="1" applyFont="1" applyBorder="1" applyProtection="1">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top"/>
      <protection locked="0"/>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5" xfId="12" applyNumberFormat="1" applyFont="1" applyBorder="1" applyAlignment="1" applyProtection="1">
      <alignment horizontal="left" vertical="center" indent="1"/>
      <protection locked="0"/>
    </xf>
    <xf numFmtId="0" fontId="16" fillId="0" borderId="128"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180" fontId="16" fillId="0" borderId="128"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6" xfId="12"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8"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8" xfId="12" applyFont="1" applyBorder="1" applyAlignment="1" applyProtection="1">
      <alignment horizontal="center" vertical="center" wrapText="1"/>
    </xf>
    <xf numFmtId="0" fontId="138" fillId="0" borderId="126"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61" fillId="0" borderId="0" xfId="2" applyFont="1"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8" fillId="0" borderId="128"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7" fillId="0" borderId="134"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58" fillId="0" borderId="128"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6" xfId="0" applyFont="1" applyFill="1" applyBorder="1" applyAlignment="1" applyProtection="1">
      <alignment horizontal="center" vertical="center" wrapText="1"/>
    </xf>
    <xf numFmtId="3" fontId="67" fillId="23" borderId="13" xfId="0" applyNumberFormat="1" applyFont="1" applyFill="1" applyBorder="1" applyAlignment="1" applyProtection="1">
      <alignment horizontal="left" vertical="center"/>
    </xf>
    <xf numFmtId="3" fontId="67" fillId="23" borderId="14" xfId="0" applyNumberFormat="1" applyFont="1" applyFill="1" applyBorder="1" applyAlignment="1" applyProtection="1">
      <alignment horizontal="left" vertical="center"/>
    </xf>
    <xf numFmtId="164" fontId="67" fillId="23" borderId="49" xfId="0" applyNumberFormat="1" applyFont="1" applyFill="1" applyBorder="1" applyAlignment="1" applyProtection="1">
      <alignment horizontal="left" vertical="center"/>
    </xf>
    <xf numFmtId="164" fontId="67" fillId="23" borderId="31" xfId="0" applyNumberFormat="1" applyFont="1" applyFill="1" applyBorder="1" applyAlignment="1" applyProtection="1">
      <alignment horizontal="left" vertical="center"/>
    </xf>
    <xf numFmtId="0" fontId="67" fillId="23" borderId="34" xfId="0" applyFont="1" applyFill="1" applyBorder="1" applyAlignment="1" applyProtection="1">
      <alignment horizontal="left" vertical="center"/>
    </xf>
    <xf numFmtId="0" fontId="67" fillId="23" borderId="31" xfId="0" applyFont="1" applyFill="1" applyBorder="1" applyAlignment="1" applyProtection="1">
      <alignment horizontal="left" vertical="center"/>
    </xf>
    <xf numFmtId="164" fontId="67" fillId="23" borderId="13" xfId="0" applyNumberFormat="1" applyFont="1" applyFill="1" applyBorder="1" applyAlignment="1" applyProtection="1">
      <alignment horizontal="left" vertical="center"/>
    </xf>
    <xf numFmtId="164" fontId="67" fillId="23"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xf>
    <xf numFmtId="0" fontId="67"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6"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5" borderId="13" xfId="0" applyNumberFormat="1" applyFont="1" applyFill="1" applyBorder="1" applyAlignment="1" applyProtection="1">
      <alignment horizontal="left" vertical="center" wrapText="1" indent="1"/>
    </xf>
    <xf numFmtId="164" fontId="67" fillId="25"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3" borderId="13" xfId="0" applyNumberFormat="1" applyFont="1" applyFill="1" applyBorder="1" applyAlignment="1" applyProtection="1">
      <alignment horizontal="left" vertical="center"/>
    </xf>
    <xf numFmtId="49" fontId="67" fillId="23" borderId="14" xfId="0" applyNumberFormat="1" applyFont="1" applyFill="1" applyBorder="1" applyAlignment="1" applyProtection="1">
      <alignment horizontal="left" vertical="center"/>
    </xf>
    <xf numFmtId="0" fontId="67" fillId="23" borderId="13" xfId="0" applyFont="1" applyFill="1" applyBorder="1" applyAlignment="1" applyProtection="1">
      <alignment vertical="center"/>
    </xf>
    <xf numFmtId="0" fontId="67" fillId="23"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3" borderId="19" xfId="0" applyFont="1" applyFill="1" applyBorder="1" applyAlignment="1">
      <alignment horizontal="center" vertical="center"/>
    </xf>
    <xf numFmtId="0" fontId="60" fillId="23" borderId="11" xfId="0" applyFont="1" applyFill="1" applyBorder="1" applyAlignment="1">
      <alignment horizontal="center" vertical="center"/>
    </xf>
    <xf numFmtId="0" fontId="68" fillId="24" borderId="20" xfId="0" applyFont="1" applyFill="1" applyBorder="1" applyAlignment="1">
      <alignment horizontal="center" vertical="center"/>
    </xf>
    <xf numFmtId="0" fontId="68" fillId="24" borderId="11" xfId="0" applyFont="1" applyFill="1" applyBorder="1" applyAlignment="1">
      <alignment horizontal="center" vertical="center"/>
    </xf>
    <xf numFmtId="0" fontId="60" fillId="24" borderId="11" xfId="0" applyFont="1" applyFill="1" applyBorder="1" applyAlignment="1">
      <alignment horizontal="center" vertical="center"/>
    </xf>
    <xf numFmtId="0" fontId="68" fillId="23" borderId="107" xfId="0" applyFont="1" applyFill="1" applyBorder="1" applyAlignment="1">
      <alignment horizontal="center" vertical="center"/>
    </xf>
    <xf numFmtId="0" fontId="60" fillId="23" borderId="131" xfId="0" applyFont="1" applyFill="1" applyBorder="1" applyAlignment="1">
      <alignment horizontal="center" vertical="center"/>
    </xf>
    <xf numFmtId="0" fontId="68" fillId="23"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3" borderId="20" xfId="0" applyFont="1" applyFill="1" applyBorder="1" applyAlignment="1">
      <alignment horizontal="center" vertical="center" wrapText="1"/>
    </xf>
    <xf numFmtId="0" fontId="60" fillId="23" borderId="11" xfId="0" applyFont="1" applyFill="1" applyBorder="1" applyAlignment="1">
      <alignment horizontal="center" vertical="center" wrapText="1"/>
    </xf>
    <xf numFmtId="3" fontId="68" fillId="23" borderId="13" xfId="0" applyNumberFormat="1" applyFont="1" applyFill="1" applyBorder="1" applyAlignment="1">
      <alignment horizontal="center" vertical="center"/>
    </xf>
    <xf numFmtId="0" fontId="60" fillId="23" borderId="14" xfId="0" applyFont="1" applyFill="1" applyBorder="1" applyAlignment="1">
      <alignment horizontal="center" vertical="center"/>
    </xf>
    <xf numFmtId="0" fontId="68" fillId="23"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6"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Border="1" applyAlignment="1" applyProtection="1">
      <alignment horizontal="left" vertical="center" wrapText="1"/>
    </xf>
    <xf numFmtId="0" fontId="67" fillId="0" borderId="6" xfId="0" applyFont="1" applyBorder="1" applyAlignment="1" applyProtection="1">
      <alignment horizontal="left" vertical="center" wrapText="1"/>
    </xf>
    <xf numFmtId="0" fontId="60" fillId="0" borderId="6" xfId="0" applyFont="1" applyBorder="1" applyAlignment="1">
      <alignment wrapText="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7" xfId="0" applyFont="1" applyFill="1" applyBorder="1" applyAlignment="1" applyProtection="1">
      <alignment horizontal="left" vertical="center" indent="1"/>
    </xf>
    <xf numFmtId="0" fontId="67" fillId="16" borderId="146" xfId="0" applyFont="1" applyFill="1" applyBorder="1" applyAlignment="1" applyProtection="1">
      <alignment horizontal="left" vertical="center" indent="1"/>
    </xf>
    <xf numFmtId="0" fontId="67" fillId="3" borderId="147" xfId="0" applyFont="1" applyFill="1" applyBorder="1" applyAlignment="1" applyProtection="1">
      <alignment horizontal="left" vertical="center"/>
    </xf>
    <xf numFmtId="0" fontId="67" fillId="3" borderId="148"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7" xfId="0" applyFont="1" applyBorder="1" applyAlignment="1" applyProtection="1">
      <alignment horizontal="left" vertical="center" wrapText="1" indent="1"/>
    </xf>
    <xf numFmtId="0" fontId="65" fillId="0" borderId="148"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3" borderId="146" xfId="0" applyFont="1" applyFill="1" applyBorder="1" applyAlignment="1" applyProtection="1">
      <alignment horizontal="left" vertical="center" indent="1"/>
    </xf>
    <xf numFmtId="0" fontId="68" fillId="23" borderId="147" xfId="0" applyFont="1" applyFill="1" applyBorder="1" applyAlignment="1" applyProtection="1">
      <alignment horizontal="left" vertical="center" indent="1"/>
    </xf>
    <xf numFmtId="0" fontId="68" fillId="23" borderId="148"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3" borderId="92" xfId="10" applyFont="1" applyFill="1" applyBorder="1" applyAlignment="1">
      <alignment horizontal="center" vertical="center" wrapText="1"/>
    </xf>
    <xf numFmtId="0" fontId="68" fillId="23" borderId="25" xfId="0" applyFont="1" applyFill="1" applyBorder="1" applyAlignment="1">
      <alignment horizontal="center" vertical="center" wrapText="1"/>
    </xf>
    <xf numFmtId="0" fontId="68" fillId="23" borderId="93" xfId="0" applyFont="1" applyFill="1" applyBorder="1" applyAlignment="1">
      <alignment horizontal="center" vertical="center" wrapText="1"/>
    </xf>
    <xf numFmtId="0" fontId="133" fillId="23" borderId="94" xfId="10" applyFont="1" applyFill="1" applyBorder="1" applyAlignment="1">
      <alignment horizontal="center" vertical="center"/>
    </xf>
    <xf numFmtId="0" fontId="58" fillId="23" borderId="47" xfId="0" applyFont="1" applyFill="1" applyBorder="1" applyAlignment="1">
      <alignment horizontal="center" vertical="center"/>
    </xf>
    <xf numFmtId="0" fontId="58" fillId="23"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7" applyFont="1" applyBorder="1" applyAlignment="1">
      <alignment horizontal="left" vertical="top" wrapText="1"/>
    </xf>
    <xf numFmtId="0" fontId="130" fillId="0" borderId="0" xfId="17" applyFont="1" applyBorder="1" applyAlignment="1">
      <alignment horizontal="left" vertical="top" wrapText="1"/>
    </xf>
    <xf numFmtId="0" fontId="130" fillId="0" borderId="97" xfId="17" applyFont="1" applyBorder="1" applyAlignment="1">
      <alignment horizontal="left" vertical="top" wrapText="1"/>
    </xf>
    <xf numFmtId="0" fontId="129" fillId="23" borderId="140" xfId="17" applyFont="1" applyFill="1" applyBorder="1" applyAlignment="1">
      <alignment horizontal="center" vertical="center"/>
    </xf>
    <xf numFmtId="0" fontId="129" fillId="23" borderId="141" xfId="17" applyFont="1" applyFill="1" applyBorder="1" applyAlignment="1">
      <alignment horizontal="center" vertical="center"/>
    </xf>
    <xf numFmtId="0" fontId="129" fillId="23" borderId="142" xfId="17" applyFont="1" applyFill="1" applyBorder="1" applyAlignment="1">
      <alignment horizontal="center" vertical="center"/>
    </xf>
    <xf numFmtId="0" fontId="129" fillId="23" borderId="98" xfId="17" applyFont="1" applyFill="1" applyBorder="1" applyAlignment="1">
      <alignment horizontal="center" vertical="center"/>
    </xf>
    <xf numFmtId="0" fontId="129" fillId="23" borderId="78" xfId="17" applyFont="1" applyFill="1" applyBorder="1" applyAlignment="1">
      <alignment horizontal="center" vertical="center"/>
    </xf>
    <xf numFmtId="0" fontId="129" fillId="23" borderId="99" xfId="17" applyFont="1" applyFill="1" applyBorder="1" applyAlignment="1">
      <alignment horizontal="center" vertical="center"/>
    </xf>
    <xf numFmtId="0" fontId="130" fillId="0" borderId="96" xfId="17" applyFont="1" applyBorder="1" applyAlignment="1">
      <alignment vertical="top" wrapText="1"/>
    </xf>
    <xf numFmtId="0" fontId="130" fillId="0" borderId="0" xfId="17" applyFont="1" applyBorder="1" applyAlignment="1">
      <alignment vertical="top" wrapText="1"/>
    </xf>
    <xf numFmtId="0" fontId="130" fillId="0" borderId="97" xfId="17" applyFont="1" applyBorder="1" applyAlignment="1">
      <alignment vertical="top" wrapText="1"/>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xf>
    <xf numFmtId="0" fontId="60" fillId="19" borderId="21" xfId="0" applyFont="1" applyFill="1" applyBorder="1" applyAlignment="1">
      <alignment horizontal="left" vertical="center" wrapText="1" indent="1"/>
    </xf>
    <xf numFmtId="0" fontId="60" fillId="19" borderId="14" xfId="0" applyFont="1" applyFill="1" applyBorder="1" applyAlignment="1">
      <alignment horizontal="left" vertical="center" wrapText="1" indent="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4" fillId="23" borderId="0" xfId="18" applyFont="1" applyFill="1" applyAlignment="1">
      <alignment horizontal="center" vertical="center"/>
    </xf>
    <xf numFmtId="0" fontId="76" fillId="0" borderId="137"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7" fillId="0" borderId="141" xfId="18" applyFont="1" applyBorder="1" applyAlignment="1" applyProtection="1">
      <alignment horizontal="center" vertical="top" wrapText="1"/>
      <protection locked="0"/>
    </xf>
    <xf numFmtId="0" fontId="7" fillId="0" borderId="142"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2" fillId="0" borderId="141" xfId="18" applyFont="1" applyBorder="1" applyAlignment="1" applyProtection="1">
      <alignment horizontal="center" vertical="top" wrapText="1"/>
      <protection locked="0"/>
    </xf>
    <xf numFmtId="0" fontId="52" fillId="0" borderId="142"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65" fillId="0" borderId="5" xfId="3" quotePrefix="1" applyNumberFormat="1" applyFont="1" applyBorder="1" applyAlignment="1">
      <alignment horizontal="left" vertical="top" wrapText="1" indent="2"/>
    </xf>
    <xf numFmtId="0" fontId="65" fillId="0" borderId="0" xfId="3" quotePrefix="1" applyNumberFormat="1" applyFont="1" applyBorder="1" applyAlignment="1">
      <alignment horizontal="left" vertical="top" wrapText="1" indent="2"/>
    </xf>
    <xf numFmtId="0" fontId="65" fillId="0" borderId="0" xfId="3" applyNumberFormat="1" applyFont="1" applyBorder="1" applyAlignment="1">
      <alignment horizontal="left" vertical="top" wrapText="1" indent="2"/>
    </xf>
    <xf numFmtId="0" fontId="60" fillId="0" borderId="0" xfId="3" applyFont="1" applyAlignment="1">
      <alignment horizontal="left" vertical="top" wrapText="1" indent="2"/>
    </xf>
    <xf numFmtId="0" fontId="65" fillId="0" borderId="0" xfId="3" applyNumberFormat="1" applyFont="1" applyAlignment="1">
      <alignment horizontal="left" vertical="top" wrapText="1" indent="2"/>
    </xf>
    <xf numFmtId="0" fontId="58" fillId="0" borderId="20" xfId="3" applyNumberFormat="1" applyFont="1" applyBorder="1" applyAlignment="1">
      <alignment horizontal="left" vertical="center" indent="1"/>
    </xf>
    <xf numFmtId="0" fontId="58" fillId="0" borderId="20" xfId="3" applyNumberFormat="1" applyFont="1" applyBorder="1" applyAlignment="1">
      <alignment horizontal="left" vertical="center"/>
    </xf>
    <xf numFmtId="0" fontId="58" fillId="23" borderId="17" xfId="3" applyNumberFormat="1" applyFont="1" applyFill="1" applyBorder="1" applyAlignment="1">
      <alignment horizontal="left" vertical="top" wrapText="1"/>
    </xf>
    <xf numFmtId="0" fontId="58" fillId="23" borderId="0" xfId="3" applyFont="1" applyFill="1" applyBorder="1" applyAlignment="1">
      <alignment vertical="top"/>
    </xf>
    <xf numFmtId="0" fontId="58" fillId="23" borderId="18" xfId="3" applyFont="1" applyFill="1" applyBorder="1" applyAlignment="1">
      <alignment vertical="top"/>
    </xf>
    <xf numFmtId="166" fontId="58" fillId="0" borderId="21" xfId="3" applyNumberFormat="1" applyFont="1" applyBorder="1" applyAlignment="1">
      <alignment horizontal="left" vertical="center" indent="1"/>
    </xf>
    <xf numFmtId="0" fontId="67" fillId="0" borderId="19" xfId="3" applyNumberFormat="1" applyFont="1" applyBorder="1" applyAlignment="1">
      <alignment horizontal="center" vertical="center"/>
    </xf>
    <xf numFmtId="0" fontId="60" fillId="0" borderId="20" xfId="3" applyFont="1" applyBorder="1" applyAlignment="1">
      <alignment horizontal="center" vertical="center"/>
    </xf>
    <xf numFmtId="0" fontId="60" fillId="0" borderId="11" xfId="3" applyFont="1" applyBorder="1" applyAlignment="1">
      <alignment horizontal="center" vertical="center"/>
    </xf>
    <xf numFmtId="0" fontId="65"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7" fillId="0" borderId="21" xfId="3" applyNumberFormat="1" applyFont="1" applyBorder="1" applyAlignment="1">
      <alignment vertical="center"/>
    </xf>
    <xf numFmtId="0" fontId="67" fillId="0" borderId="14" xfId="3" applyNumberFormat="1" applyFont="1" applyBorder="1" applyAlignment="1">
      <alignment vertical="center"/>
    </xf>
    <xf numFmtId="0" fontId="76" fillId="0" borderId="133" xfId="3" applyFont="1" applyBorder="1" applyAlignment="1">
      <alignment horizontal="center" vertical="center" wrapText="1"/>
    </xf>
    <xf numFmtId="0" fontId="76" fillId="0" borderId="133" xfId="3" applyNumberFormat="1" applyFont="1" applyBorder="1" applyAlignment="1">
      <alignment horizontal="center"/>
    </xf>
    <xf numFmtId="0" fontId="60" fillId="0" borderId="134" xfId="3" applyNumberFormat="1" applyFont="1" applyBorder="1" applyAlignment="1" applyProtection="1">
      <alignment horizontal="center"/>
      <protection locked="0"/>
    </xf>
    <xf numFmtId="171" fontId="60" fillId="0" borderId="134" xfId="3" applyNumberFormat="1" applyFont="1" applyBorder="1" applyAlignment="1" applyProtection="1">
      <alignment horizontal="center"/>
      <protection locked="0"/>
    </xf>
    <xf numFmtId="0" fontId="60" fillId="0" borderId="134" xfId="3" applyNumberFormat="1" applyFont="1" applyBorder="1" applyAlignment="1" applyProtection="1">
      <alignment horizontal="center" vertic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Border="1" applyAlignment="1">
      <alignment vertical="top" wrapText="1"/>
    </xf>
    <xf numFmtId="0" fontId="113" fillId="0" borderId="21" xfId="3" applyNumberFormat="1" applyFont="1" applyBorder="1" applyAlignment="1">
      <alignment vertical="top" wrapText="1"/>
    </xf>
    <xf numFmtId="0" fontId="113" fillId="0" borderId="14" xfId="3" applyNumberFormat="1" applyFont="1" applyBorder="1" applyAlignment="1">
      <alignment vertical="top" wrapText="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Border="1" applyAlignment="1">
      <alignment vertical="top"/>
    </xf>
    <xf numFmtId="0" fontId="86" fillId="0" borderId="0" xfId="3" applyFont="1" applyBorder="1" applyAlignment="1">
      <alignment vertical="top"/>
    </xf>
    <xf numFmtId="0" fontId="86" fillId="0" borderId="40" xfId="3" applyFont="1" applyBorder="1" applyAlignment="1">
      <alignment vertical="top"/>
    </xf>
    <xf numFmtId="0" fontId="86" fillId="0" borderId="50" xfId="3" applyFont="1" applyBorder="1" applyAlignment="1">
      <alignment vertical="top"/>
    </xf>
    <xf numFmtId="0" fontId="86" fillId="0" borderId="9" xfId="3" applyFont="1" applyBorder="1" applyAlignment="1">
      <alignment vertical="top"/>
    </xf>
    <xf numFmtId="0" fontId="86" fillId="0" borderId="59" xfId="3" applyFont="1" applyBorder="1" applyAlignment="1">
      <alignment vertical="top"/>
    </xf>
    <xf numFmtId="0" fontId="115" fillId="12" borderId="125" xfId="0" applyFont="1" applyFill="1" applyBorder="1" applyAlignment="1">
      <alignment horizontal="center" vertical="center"/>
    </xf>
    <xf numFmtId="0" fontId="115" fillId="12" borderId="128" xfId="0" applyFont="1" applyFill="1" applyBorder="1" applyAlignment="1">
      <alignment horizontal="center" vertical="center"/>
    </xf>
    <xf numFmtId="0" fontId="115" fillId="12" borderId="153"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5" xfId="0" applyNumberFormat="1" applyFont="1" applyFill="1" applyBorder="1" applyAlignment="1">
      <alignment horizontal="center" vertical="top"/>
    </xf>
    <xf numFmtId="164" fontId="116" fillId="12" borderId="128" xfId="0" applyNumberFormat="1" applyFont="1" applyFill="1" applyBorder="1" applyAlignment="1">
      <alignment horizontal="center" vertical="top"/>
    </xf>
    <xf numFmtId="164" fontId="116" fillId="12" borderId="153"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8" xfId="0" applyNumberFormat="1" applyFont="1" applyBorder="1" applyAlignment="1">
      <alignment horizontal="left" vertical="center" wrapText="1"/>
    </xf>
    <xf numFmtId="0" fontId="60" fillId="0" borderId="126"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6" xfId="3" applyNumberFormat="1" applyFont="1" applyBorder="1" applyProtection="1"/>
    <xf numFmtId="0" fontId="58" fillId="0" borderId="147"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7" xfId="3" applyNumberFormat="1" applyFont="1" applyBorder="1" applyAlignment="1" applyProtection="1">
      <alignment horizontal="left" indent="1"/>
      <protection locked="0"/>
    </xf>
    <xf numFmtId="0" fontId="68" fillId="0" borderId="147" xfId="3" applyFont="1" applyBorder="1" applyAlignment="1" applyProtection="1">
      <alignment horizontal="left" indent="1"/>
      <protection locked="0"/>
    </xf>
    <xf numFmtId="0" fontId="68" fillId="0" borderId="148" xfId="3" applyFont="1" applyBorder="1" applyAlignment="1" applyProtection="1">
      <alignment horizontal="left" indent="1"/>
      <protection locked="0"/>
    </xf>
    <xf numFmtId="0" fontId="60" fillId="0" borderId="0" xfId="3" applyFont="1" applyAlignment="1">
      <alignment horizontal="center" vertical="center"/>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65" fillId="0" borderId="0" xfId="3" applyFont="1" applyAlignment="1" applyProtection="1">
      <alignment horizontal="left" vertical="center" wrapText="1"/>
    </xf>
    <xf numFmtId="3" fontId="58" fillId="0" borderId="77" xfId="3" applyNumberFormat="1" applyFont="1" applyBorder="1" applyAlignment="1" applyProtection="1">
      <alignment horizontal="right" indent="1"/>
      <protection locked="0"/>
    </xf>
    <xf numFmtId="0" fontId="58" fillId="0" borderId="0" xfId="3" applyFont="1" applyBorder="1" applyAlignment="1" applyProtection="1">
      <alignment vertical="center" wrapText="1"/>
      <protection locked="0"/>
    </xf>
    <xf numFmtId="5" fontId="68" fillId="0" borderId="149" xfId="3" applyNumberFormat="1" applyFont="1" applyBorder="1" applyAlignment="1" applyProtection="1">
      <protection locked="0"/>
    </xf>
    <xf numFmtId="0" fontId="68" fillId="0" borderId="150"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8" xfId="3" applyFont="1" applyBorder="1" applyAlignment="1" applyProtection="1">
      <alignment horizont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9"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50"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9" xfId="3" applyNumberFormat="1" applyFont="1" applyBorder="1" applyProtection="1">
      <protection locked="0"/>
    </xf>
    <xf numFmtId="6" fontId="65" fillId="0" borderId="150"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9"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50"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9" xfId="3" applyFont="1" applyBorder="1" applyAlignment="1" applyProtection="1">
      <alignment horizontal="center"/>
    </xf>
    <xf numFmtId="0" fontId="65" fillId="0" borderId="76" xfId="3" applyFont="1" applyBorder="1" applyAlignment="1" applyProtection="1">
      <alignment horizontal="center"/>
    </xf>
    <xf numFmtId="0" fontId="65" fillId="0" borderId="150" xfId="3" applyFont="1" applyBorder="1" applyAlignment="1" applyProtection="1">
      <alignment horizontal="center"/>
    </xf>
    <xf numFmtId="38" fontId="65" fillId="0" borderId="149"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50"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4"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233796</xdr:colOff>
          <xdr:row>2</xdr:row>
          <xdr:rowOff>8660</xdr:rowOff>
        </xdr:from>
        <xdr:to>
          <xdr:col>1</xdr:col>
          <xdr:colOff>1148196</xdr:colOff>
          <xdr:row>6</xdr:row>
          <xdr:rowOff>46760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85" t="s">
        <v>405</v>
      </c>
      <c r="J1" s="2086"/>
      <c r="K1" s="2086"/>
      <c r="L1" s="2086"/>
      <c r="M1" s="2086"/>
      <c r="N1" s="2086"/>
      <c r="O1" s="2086"/>
      <c r="P1" s="2086"/>
      <c r="Q1" s="2086"/>
      <c r="R1" s="2086"/>
      <c r="S1" s="2086"/>
    </row>
    <row r="2" spans="1:28" ht="12" customHeight="1" x14ac:dyDescent="0.2">
      <c r="A2" s="47" t="s">
        <v>1993</v>
      </c>
      <c r="D2" s="48"/>
      <c r="I2" s="2087" t="s">
        <v>979</v>
      </c>
      <c r="J2" s="2086"/>
      <c r="K2" s="2086"/>
      <c r="L2" s="2086"/>
      <c r="M2" s="2086"/>
      <c r="N2" s="2086"/>
      <c r="O2" s="2086"/>
      <c r="P2" s="2086"/>
      <c r="Q2" s="2086"/>
      <c r="R2" s="2086"/>
      <c r="S2" s="2086"/>
    </row>
    <row r="3" spans="1:28" ht="12" customHeight="1" x14ac:dyDescent="0.2">
      <c r="A3" s="155" t="s">
        <v>1945</v>
      </c>
      <c r="B3" s="156"/>
      <c r="C3" s="156"/>
      <c r="D3" s="157"/>
      <c r="I3" s="2087" t="s">
        <v>52</v>
      </c>
      <c r="J3" s="2086"/>
      <c r="K3" s="2086"/>
      <c r="L3" s="2086"/>
      <c r="M3" s="2086"/>
      <c r="N3" s="2086"/>
      <c r="O3" s="2086"/>
      <c r="P3" s="2086"/>
      <c r="Q3" s="2086"/>
      <c r="R3" s="2086"/>
      <c r="S3" s="2086"/>
    </row>
    <row r="4" spans="1:28" ht="12" customHeight="1" x14ac:dyDescent="0.2">
      <c r="A4" s="37"/>
      <c r="I4" s="2087" t="s">
        <v>524</v>
      </c>
      <c r="J4" s="2086"/>
      <c r="K4" s="2086"/>
      <c r="L4" s="2086"/>
      <c r="M4" s="2086"/>
      <c r="N4" s="2086"/>
      <c r="O4" s="2086"/>
      <c r="P4" s="2086"/>
      <c r="Q4" s="2086"/>
      <c r="R4" s="2086"/>
      <c r="S4" s="2086"/>
    </row>
    <row r="5" spans="1:28" ht="14.1" customHeight="1" x14ac:dyDescent="0.2">
      <c r="B5" s="104" t="s">
        <v>2080</v>
      </c>
      <c r="C5" s="26" t="s">
        <v>910</v>
      </c>
      <c r="D5" s="84"/>
      <c r="E5" s="84"/>
      <c r="H5" s="38"/>
      <c r="I5" s="2094" t="s">
        <v>680</v>
      </c>
      <c r="J5" s="2039"/>
      <c r="K5" s="2039"/>
      <c r="L5" s="2039"/>
      <c r="M5" s="2039"/>
      <c r="N5" s="2039"/>
      <c r="O5" s="2039"/>
      <c r="P5" s="2039"/>
      <c r="Q5" s="2039"/>
      <c r="R5" s="2039"/>
      <c r="S5" s="2039"/>
    </row>
    <row r="6" spans="1:28" ht="14.1" customHeight="1" x14ac:dyDescent="0.2">
      <c r="B6" s="104"/>
      <c r="C6" s="26" t="s">
        <v>911</v>
      </c>
      <c r="D6" s="84"/>
      <c r="E6" s="84"/>
      <c r="I6" s="2093" t="s">
        <v>883</v>
      </c>
      <c r="J6" s="2039"/>
      <c r="K6" s="2039"/>
      <c r="L6" s="2039"/>
      <c r="M6" s="2039"/>
      <c r="N6" s="2039"/>
      <c r="O6" s="2039"/>
      <c r="P6" s="2039"/>
      <c r="Q6" s="2039"/>
      <c r="R6" s="2039"/>
      <c r="S6" s="2039"/>
    </row>
    <row r="7" spans="1:28" ht="12.2" customHeight="1" x14ac:dyDescent="0.2">
      <c r="I7" s="2088">
        <v>43646</v>
      </c>
      <c r="J7" s="2089"/>
      <c r="K7" s="2089"/>
      <c r="L7" s="2089"/>
      <c r="M7" s="2089"/>
      <c r="N7" s="2089"/>
      <c r="O7" s="2089"/>
      <c r="P7" s="2089"/>
      <c r="Q7" s="2089"/>
      <c r="R7" s="2089"/>
      <c r="S7" s="20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90" t="s">
        <v>674</v>
      </c>
      <c r="J9" s="2091"/>
      <c r="K9" s="2091"/>
      <c r="L9" s="2091"/>
      <c r="M9" s="2091"/>
      <c r="N9" s="2091"/>
      <c r="O9" s="2091"/>
      <c r="P9" s="2091"/>
      <c r="Q9" s="2091"/>
      <c r="R9" s="2091"/>
      <c r="S9" s="2092"/>
      <c r="T9" s="2035" t="s">
        <v>533</v>
      </c>
      <c r="U9" s="2036"/>
      <c r="V9" s="2036"/>
      <c r="W9" s="2036"/>
      <c r="X9" s="2036"/>
      <c r="Y9" s="2036"/>
      <c r="Z9" s="2036"/>
      <c r="AA9" s="2037"/>
    </row>
    <row r="10" spans="1:28" ht="13.5" customHeight="1" x14ac:dyDescent="0.2">
      <c r="A10" s="2044" t="s">
        <v>675</v>
      </c>
      <c r="B10" s="2045"/>
      <c r="C10" s="2045"/>
      <c r="D10" s="2045"/>
      <c r="E10" s="2045"/>
      <c r="F10" s="2045"/>
      <c r="G10" s="2045"/>
      <c r="H10" s="2046"/>
      <c r="I10" s="29"/>
      <c r="J10" s="30"/>
      <c r="K10" s="28"/>
      <c r="R10" s="30"/>
      <c r="S10" s="30"/>
      <c r="T10" s="2038"/>
      <c r="U10" s="2039"/>
      <c r="V10" s="2039"/>
      <c r="W10" s="2039"/>
      <c r="X10" s="2039"/>
      <c r="Y10" s="2039"/>
      <c r="Z10" s="2039"/>
      <c r="AA10" s="2040"/>
    </row>
    <row r="11" spans="1:28" ht="14.25" customHeight="1" x14ac:dyDescent="0.2">
      <c r="A11" s="2047" t="s">
        <v>955</v>
      </c>
      <c r="B11" s="2048"/>
      <c r="C11" s="2048"/>
      <c r="D11" s="2048"/>
      <c r="E11" s="2048"/>
      <c r="F11" s="2048"/>
      <c r="G11" s="2048"/>
      <c r="H11" s="2049"/>
      <c r="I11" s="27"/>
      <c r="J11" s="74"/>
      <c r="K11" s="27"/>
      <c r="O11" s="148" t="s">
        <v>2072</v>
      </c>
      <c r="P11" s="100" t="s">
        <v>201</v>
      </c>
      <c r="Q11" s="30"/>
      <c r="R11" s="28"/>
      <c r="S11" s="27"/>
      <c r="T11" s="2041"/>
      <c r="U11" s="2042"/>
      <c r="V11" s="2042"/>
      <c r="W11" s="2042"/>
      <c r="X11" s="2042"/>
      <c r="Y11" s="2042"/>
      <c r="Z11" s="2042"/>
      <c r="AA11" s="204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55">
        <v>44063036002</v>
      </c>
      <c r="B13" s="2056"/>
      <c r="C13" s="2056"/>
      <c r="D13" s="2056"/>
      <c r="E13" s="2056"/>
      <c r="F13" s="2056"/>
      <c r="G13" s="2056"/>
      <c r="H13" s="2057"/>
      <c r="I13" s="31"/>
      <c r="J13" s="30"/>
      <c r="K13" s="28"/>
      <c r="L13" s="30"/>
      <c r="M13" s="30"/>
      <c r="N13" s="30"/>
      <c r="O13" s="30"/>
      <c r="P13" s="30"/>
      <c r="Q13" s="30"/>
      <c r="R13" s="30"/>
      <c r="S13" s="30"/>
      <c r="T13" s="2060" t="s">
        <v>2064</v>
      </c>
      <c r="U13" s="2061"/>
      <c r="V13" s="2061"/>
      <c r="W13" s="2061"/>
      <c r="X13" s="2061"/>
      <c r="Y13" s="2062"/>
      <c r="Z13" s="2062"/>
      <c r="AA13" s="206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53" t="s">
        <v>2066</v>
      </c>
      <c r="B15" s="2058"/>
      <c r="C15" s="2058"/>
      <c r="D15" s="2058"/>
      <c r="E15" s="2058"/>
      <c r="F15" s="2058"/>
      <c r="G15" s="2058"/>
      <c r="H15" s="2059"/>
      <c r="T15" s="2021" t="s">
        <v>2126</v>
      </c>
      <c r="U15" s="2022"/>
      <c r="V15" s="2022"/>
      <c r="W15" s="2022"/>
      <c r="X15" s="2022"/>
      <c r="Y15" s="2064"/>
      <c r="Z15" s="2064"/>
      <c r="AA15" s="206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3" t="s">
        <v>2134</v>
      </c>
      <c r="B17" s="2083"/>
      <c r="C17" s="2083"/>
      <c r="D17" s="2083"/>
      <c r="E17" s="2083"/>
      <c r="F17" s="2083"/>
      <c r="G17" s="2083"/>
      <c r="H17" s="2084"/>
      <c r="T17" s="2070" t="s">
        <v>2065</v>
      </c>
      <c r="U17" s="2071"/>
      <c r="V17" s="2071"/>
      <c r="W17" s="2071"/>
      <c r="X17" s="2071"/>
      <c r="Y17" s="2071"/>
      <c r="Z17" s="2071"/>
      <c r="AA17" s="2072"/>
    </row>
    <row r="18" spans="1:27" ht="13.5" customHeight="1" x14ac:dyDescent="0.2">
      <c r="A18" s="85" t="s">
        <v>530</v>
      </c>
      <c r="B18" s="76"/>
      <c r="C18" s="72"/>
      <c r="D18" s="76"/>
      <c r="E18" s="76"/>
      <c r="F18" s="76"/>
      <c r="G18" s="76"/>
      <c r="H18" s="56"/>
      <c r="I18" s="2080" t="s">
        <v>676</v>
      </c>
      <c r="J18" s="2081"/>
      <c r="K18" s="2081"/>
      <c r="L18" s="2081"/>
      <c r="M18" s="2081"/>
      <c r="N18" s="2081"/>
      <c r="O18" s="2081"/>
      <c r="P18" s="2081"/>
      <c r="Q18" s="2081"/>
      <c r="R18" s="2081"/>
      <c r="S18" s="2082"/>
      <c r="T18" s="85" t="s">
        <v>711</v>
      </c>
      <c r="U18" s="51"/>
      <c r="V18" s="72"/>
      <c r="W18" s="50"/>
      <c r="X18" s="85" t="s">
        <v>266</v>
      </c>
      <c r="Y18" s="81"/>
      <c r="Z18" s="159" t="s">
        <v>677</v>
      </c>
      <c r="AA18" s="46"/>
    </row>
    <row r="19" spans="1:27" ht="13.5" customHeight="1" x14ac:dyDescent="0.2">
      <c r="A19" s="2053" t="s">
        <v>2073</v>
      </c>
      <c r="B19" s="2054"/>
      <c r="C19" s="2054"/>
      <c r="D19" s="2054"/>
      <c r="E19" s="2054"/>
      <c r="F19" s="2054"/>
      <c r="G19" s="2054"/>
      <c r="H19" s="2052"/>
      <c r="I19" s="30"/>
      <c r="J19" s="99"/>
      <c r="K19" s="40"/>
      <c r="L19" s="38"/>
      <c r="M19" s="112" t="s">
        <v>315</v>
      </c>
      <c r="P19" s="27"/>
      <c r="Q19" s="27"/>
      <c r="R19" s="27"/>
      <c r="S19" s="31"/>
      <c r="T19" s="2053" t="s">
        <v>2066</v>
      </c>
      <c r="U19" s="2051"/>
      <c r="V19" s="2051"/>
      <c r="W19" s="2052"/>
      <c r="X19" s="2068" t="s">
        <v>2067</v>
      </c>
      <c r="Y19" s="2069"/>
      <c r="Z19" s="2066">
        <v>60050</v>
      </c>
      <c r="AA19" s="206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50" t="s">
        <v>2074</v>
      </c>
      <c r="B21" s="2051"/>
      <c r="C21" s="2051"/>
      <c r="D21" s="2051"/>
      <c r="E21" s="2051"/>
      <c r="F21" s="2051"/>
      <c r="G21" s="2051"/>
      <c r="H21" s="2052"/>
      <c r="I21" s="2076" t="s">
        <v>678</v>
      </c>
      <c r="J21" s="2039"/>
      <c r="K21" s="2039"/>
      <c r="L21" s="2039"/>
      <c r="M21" s="2039"/>
      <c r="N21" s="2039"/>
      <c r="O21" s="2039"/>
      <c r="P21" s="2039"/>
      <c r="Q21" s="2039"/>
      <c r="R21" s="2039"/>
      <c r="S21" s="2040"/>
      <c r="T21" s="2018" t="s">
        <v>2068</v>
      </c>
      <c r="U21" s="2019"/>
      <c r="V21" s="2019"/>
      <c r="W21" s="2019"/>
      <c r="X21" s="2032" t="s">
        <v>2069</v>
      </c>
      <c r="Y21" s="2033"/>
      <c r="Z21" s="2033"/>
      <c r="AA21" s="2034"/>
    </row>
    <row r="22" spans="1:27" ht="13.5" customHeight="1" x14ac:dyDescent="0.2">
      <c r="A22" s="87" t="s">
        <v>531</v>
      </c>
      <c r="B22" s="59"/>
      <c r="C22" s="59"/>
      <c r="D22" s="59"/>
      <c r="E22" s="59"/>
      <c r="F22" s="59"/>
      <c r="G22" s="59"/>
      <c r="H22" s="60"/>
      <c r="I22" s="2077" t="s">
        <v>1429</v>
      </c>
      <c r="J22" s="2078"/>
      <c r="K22" s="2078"/>
      <c r="L22" s="2078"/>
      <c r="M22" s="2078"/>
      <c r="N22" s="2078"/>
      <c r="O22" s="2078"/>
      <c r="P22" s="2078"/>
      <c r="Q22" s="2078"/>
      <c r="R22" s="2078"/>
      <c r="S22" s="2079"/>
      <c r="T22" s="85" t="s">
        <v>1516</v>
      </c>
      <c r="U22" s="51"/>
      <c r="V22" s="72"/>
      <c r="W22" s="51"/>
      <c r="X22" s="160" t="s">
        <v>1318</v>
      </c>
      <c r="Z22" s="45"/>
      <c r="AA22" s="46"/>
    </row>
    <row r="23" spans="1:27" ht="13.5" customHeight="1" x14ac:dyDescent="0.2">
      <c r="A23" s="2073" t="s">
        <v>2075</v>
      </c>
      <c r="B23" s="2074"/>
      <c r="C23" s="2074"/>
      <c r="D23" s="2074"/>
      <c r="E23" s="2074"/>
      <c r="F23" s="2074"/>
      <c r="G23" s="2074"/>
      <c r="H23" s="2075"/>
      <c r="T23" s="2013" t="s">
        <v>2070</v>
      </c>
      <c r="U23" s="2014"/>
      <c r="V23" s="2014"/>
      <c r="W23" s="2014"/>
      <c r="X23" s="2029">
        <v>44530</v>
      </c>
      <c r="Y23" s="2030"/>
      <c r="Z23" s="2030"/>
      <c r="AA23" s="2031"/>
    </row>
    <row r="24" spans="1:27" ht="14.1" customHeight="1" x14ac:dyDescent="0.2">
      <c r="A24" s="88" t="s">
        <v>677</v>
      </c>
      <c r="B24" s="49"/>
      <c r="C24" s="49"/>
      <c r="D24" s="49"/>
      <c r="E24" s="49"/>
      <c r="F24" s="49"/>
      <c r="G24" s="49"/>
      <c r="H24" s="61"/>
      <c r="J24" s="2115">
        <f>IF(B5="x",IF(AUDITCHECK!D29="AFR form Incomplete.","",IF(AUDITCHECK!D29="Deficit reduction plan is required.","School District must complete a deficit reduction plan in the 2019-2020 Budget",)),"")</f>
        <v>0</v>
      </c>
      <c r="K24" s="2115"/>
      <c r="L24" s="2115"/>
      <c r="M24" s="2115"/>
      <c r="N24" s="2115"/>
      <c r="O24" s="2115"/>
      <c r="P24" s="2115"/>
      <c r="Q24" s="2115"/>
      <c r="R24" s="2115"/>
      <c r="S24" s="2116"/>
      <c r="T24" s="105" t="s">
        <v>531</v>
      </c>
      <c r="U24" s="106"/>
      <c r="V24" s="106"/>
      <c r="W24" s="106"/>
      <c r="X24" s="107"/>
      <c r="Y24" s="107"/>
      <c r="Z24" s="107"/>
      <c r="AA24" s="108"/>
    </row>
    <row r="25" spans="1:27" ht="14.1" customHeight="1" x14ac:dyDescent="0.2">
      <c r="A25" s="2050">
        <v>60097</v>
      </c>
      <c r="B25" s="2051"/>
      <c r="C25" s="2051"/>
      <c r="D25" s="2051"/>
      <c r="E25" s="2051"/>
      <c r="F25" s="2051"/>
      <c r="G25" s="2051"/>
      <c r="H25" s="2052"/>
      <c r="I25" s="113"/>
      <c r="J25" s="2117"/>
      <c r="K25" s="2117"/>
      <c r="L25" s="2117"/>
      <c r="M25" s="2117"/>
      <c r="N25" s="2117"/>
      <c r="O25" s="2117"/>
      <c r="P25" s="2117"/>
      <c r="Q25" s="2117"/>
      <c r="R25" s="2117"/>
      <c r="S25" s="2118"/>
      <c r="T25" s="2010" t="s">
        <v>2071</v>
      </c>
      <c r="U25" s="2011"/>
      <c r="V25" s="2011"/>
      <c r="W25" s="2011"/>
      <c r="X25" s="2011"/>
      <c r="Y25" s="2011"/>
      <c r="Z25" s="2011"/>
      <c r="AA25" s="201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08" t="s">
        <v>1511</v>
      </c>
      <c r="J27" s="2081"/>
      <c r="K27" s="2081"/>
      <c r="L27" s="2081"/>
      <c r="M27" s="2081"/>
      <c r="N27" s="2081"/>
      <c r="O27" s="2081"/>
      <c r="P27" s="2081"/>
      <c r="Q27" s="2081"/>
      <c r="R27" s="2081"/>
      <c r="S27" s="208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2072</v>
      </c>
      <c r="M29" s="40" t="s">
        <v>99</v>
      </c>
      <c r="N29" s="32" t="s">
        <v>1523</v>
      </c>
      <c r="O29" s="32"/>
      <c r="P29" s="32"/>
      <c r="Q29" s="32"/>
      <c r="R29" s="32"/>
      <c r="S29" s="123"/>
      <c r="T29" s="6"/>
      <c r="U29" s="6"/>
      <c r="V29" s="6"/>
      <c r="W29" s="6"/>
      <c r="X29" s="6"/>
      <c r="Y29" s="6"/>
      <c r="Z29" s="6"/>
      <c r="AA29" s="132"/>
    </row>
    <row r="30" spans="1:27" ht="13.5" customHeight="1" x14ac:dyDescent="0.2">
      <c r="A30" s="153"/>
      <c r="B30" s="136" t="s">
        <v>2072</v>
      </c>
      <c r="C30" s="124" t="s">
        <v>1164</v>
      </c>
      <c r="D30" s="28"/>
      <c r="E30" s="28"/>
      <c r="F30" s="140"/>
      <c r="G30" s="114"/>
      <c r="H30" s="114"/>
      <c r="I30" s="54"/>
      <c r="J30" s="102"/>
      <c r="K30" s="28" t="s">
        <v>576</v>
      </c>
      <c r="L30" s="148" t="s">
        <v>2072</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4"/>
      <c r="Q35" s="2051"/>
      <c r="R35" s="205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3" t="s">
        <v>2076</v>
      </c>
      <c r="B38" s="2083"/>
      <c r="C38" s="2083"/>
      <c r="D38" s="2083"/>
      <c r="E38" s="2083"/>
      <c r="F38" s="2051"/>
      <c r="G38" s="2051"/>
      <c r="H38" s="2052"/>
      <c r="I38" s="2102"/>
      <c r="J38" s="2022"/>
      <c r="K38" s="2022"/>
      <c r="L38" s="2022"/>
      <c r="M38" s="2022"/>
      <c r="N38" s="2022"/>
      <c r="O38" s="2022"/>
      <c r="P38" s="2023"/>
      <c r="Q38" s="2023"/>
      <c r="R38" s="2023"/>
      <c r="S38" s="2024"/>
      <c r="T38" s="2021"/>
      <c r="U38" s="2022"/>
      <c r="V38" s="2022"/>
      <c r="W38" s="2022"/>
      <c r="X38" s="2023"/>
      <c r="Y38" s="2023"/>
      <c r="Z38" s="2023"/>
      <c r="AA38" s="2024"/>
    </row>
    <row r="39" spans="1:27" ht="12" customHeight="1" x14ac:dyDescent="0.2">
      <c r="A39" s="2106" t="s">
        <v>531</v>
      </c>
      <c r="B39" s="2107"/>
      <c r="C39" s="72"/>
      <c r="D39" s="69"/>
      <c r="E39" s="69"/>
      <c r="F39" s="79"/>
      <c r="G39" s="69"/>
      <c r="H39" s="56"/>
      <c r="I39" s="2106" t="s">
        <v>531</v>
      </c>
      <c r="J39" s="2107"/>
      <c r="K39" s="2107"/>
      <c r="L39" s="2107"/>
      <c r="M39" s="2107"/>
      <c r="N39" s="67"/>
      <c r="O39" s="72"/>
      <c r="P39" s="72"/>
      <c r="Q39" s="78"/>
      <c r="R39" s="72"/>
      <c r="S39" s="56"/>
      <c r="T39" s="72" t="s">
        <v>531</v>
      </c>
      <c r="U39" s="51"/>
      <c r="V39" s="72"/>
      <c r="W39" s="50"/>
      <c r="X39" s="78"/>
      <c r="Y39" s="45"/>
      <c r="Z39" s="45"/>
      <c r="AA39" s="46"/>
    </row>
    <row r="40" spans="1:27" ht="13.5" customHeight="1" x14ac:dyDescent="0.2">
      <c r="A40" s="2109" t="s">
        <v>2075</v>
      </c>
      <c r="B40" s="2110"/>
      <c r="C40" s="2111"/>
      <c r="D40" s="2111"/>
      <c r="E40" s="2111"/>
      <c r="F40" s="2112"/>
      <c r="G40" s="2112"/>
      <c r="H40" s="2113"/>
      <c r="I40" s="2025"/>
      <c r="J40" s="2027"/>
      <c r="K40" s="2027"/>
      <c r="L40" s="2027"/>
      <c r="M40" s="2027"/>
      <c r="N40" s="2027"/>
      <c r="O40" s="2027"/>
      <c r="P40" s="2027"/>
      <c r="Q40" s="2027"/>
      <c r="R40" s="2027"/>
      <c r="S40" s="2028"/>
      <c r="T40" s="2025"/>
      <c r="U40" s="2026"/>
      <c r="V40" s="2027"/>
      <c r="W40" s="2027"/>
      <c r="X40" s="2027"/>
      <c r="Y40" s="2027"/>
      <c r="Z40" s="2027"/>
      <c r="AA40" s="202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99" t="s">
        <v>2077</v>
      </c>
      <c r="B42" s="2100"/>
      <c r="C42" s="2101"/>
      <c r="D42" s="2114" t="s">
        <v>2078</v>
      </c>
      <c r="E42" s="2100"/>
      <c r="F42" s="2100"/>
      <c r="G42" s="2100"/>
      <c r="H42" s="2101"/>
      <c r="I42" s="2020"/>
      <c r="J42" s="2016"/>
      <c r="K42" s="2016"/>
      <c r="L42" s="2016"/>
      <c r="M42" s="2016"/>
      <c r="N42" s="2016"/>
      <c r="O42" s="2017"/>
      <c r="P42" s="2015"/>
      <c r="Q42" s="2016"/>
      <c r="R42" s="2016"/>
      <c r="S42" s="2017"/>
      <c r="T42" s="2020"/>
      <c r="U42" s="2016"/>
      <c r="V42" s="2016"/>
      <c r="W42" s="2017"/>
      <c r="X42" s="2015"/>
      <c r="Y42" s="2016"/>
      <c r="Z42" s="2016"/>
      <c r="AA42" s="201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03"/>
      <c r="B44" s="2104"/>
      <c r="C44" s="2104"/>
      <c r="D44" s="2104"/>
      <c r="E44" s="2104"/>
      <c r="F44" s="2104"/>
      <c r="G44" s="2104"/>
      <c r="H44" s="2105"/>
      <c r="I44" s="2095"/>
      <c r="J44" s="2097"/>
      <c r="K44" s="2097"/>
      <c r="L44" s="2097"/>
      <c r="M44" s="2097"/>
      <c r="N44" s="2097"/>
      <c r="O44" s="2097"/>
      <c r="P44" s="2097"/>
      <c r="Q44" s="2097"/>
      <c r="R44" s="2097"/>
      <c r="S44" s="2098"/>
      <c r="T44" s="2095"/>
      <c r="U44" s="2096"/>
      <c r="V44" s="2096"/>
      <c r="W44" s="2096"/>
      <c r="X44" s="2096"/>
      <c r="Y44" s="2096"/>
      <c r="Z44" s="2097"/>
      <c r="AA44" s="209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J12" sqref="J1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2" t="s">
        <v>1065</v>
      </c>
      <c r="B35" s="2122"/>
      <c r="C35" s="2122"/>
      <c r="D35" s="2122"/>
      <c r="E35" s="212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9" t="s">
        <v>691</v>
      </c>
      <c r="B40" s="2119"/>
      <c r="C40" s="2119"/>
      <c r="D40" s="2119"/>
      <c r="E40" s="2119"/>
    </row>
    <row r="41" spans="1:5" x14ac:dyDescent="0.2">
      <c r="A41" s="2120" t="s">
        <v>1608</v>
      </c>
      <c r="B41" s="2120"/>
      <c r="C41" s="2120"/>
      <c r="D41" s="2120"/>
      <c r="E41" s="2120"/>
    </row>
    <row r="42" spans="1:5" ht="12.75" customHeight="1" x14ac:dyDescent="0.2">
      <c r="A42" s="2121" t="s">
        <v>1022</v>
      </c>
      <c r="B42" s="2121"/>
      <c r="C42" s="2121"/>
      <c r="D42" s="2121"/>
      <c r="E42" s="2121"/>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3" colorId="8" zoomScale="110" zoomScaleNormal="110" workbookViewId="0">
      <selection activeCell="J12" sqref="J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3" t="s">
        <v>1168</v>
      </c>
      <c r="B2" s="2123"/>
      <c r="C2" s="2123"/>
      <c r="D2" s="2123"/>
      <c r="E2" s="2123"/>
      <c r="F2" s="2123"/>
      <c r="G2" s="2123"/>
      <c r="H2" s="2123"/>
      <c r="I2" s="2123"/>
      <c r="J2" s="212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7" t="s">
        <v>1633</v>
      </c>
      <c r="B35" s="2138"/>
      <c r="C35" s="2138"/>
      <c r="D35" s="2138"/>
      <c r="E35" s="2139"/>
      <c r="F35" s="2139"/>
      <c r="G35" s="2139"/>
      <c r="H35" s="2139"/>
      <c r="I35" s="213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7" t="s">
        <v>313</v>
      </c>
      <c r="B47" s="2140"/>
      <c r="C47" s="2140"/>
      <c r="D47" s="2140"/>
      <c r="E47" s="2141"/>
      <c r="F47" s="2141"/>
      <c r="G47" s="2141"/>
      <c r="H47" s="2141"/>
      <c r="I47" s="214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2072</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4"/>
      <c r="C57" s="2145"/>
      <c r="D57" s="2145"/>
      <c r="E57" s="2145"/>
      <c r="F57" s="2145"/>
      <c r="G57" s="2145"/>
      <c r="H57" s="2145"/>
      <c r="I57" s="2145"/>
      <c r="J57" s="2146"/>
    </row>
    <row r="58" spans="1:10" s="181" customFormat="1" x14ac:dyDescent="0.2">
      <c r="A58" s="253"/>
      <c r="B58" s="2147"/>
      <c r="C58" s="2148"/>
      <c r="D58" s="2148"/>
      <c r="E58" s="2148"/>
      <c r="F58" s="2148"/>
      <c r="G58" s="2148"/>
      <c r="H58" s="2148"/>
      <c r="I58" s="2148"/>
      <c r="J58" s="2149"/>
    </row>
    <row r="59" spans="1:10" s="181" customFormat="1" x14ac:dyDescent="0.2">
      <c r="A59" s="253"/>
      <c r="B59" s="2147"/>
      <c r="C59" s="2148"/>
      <c r="D59" s="2148"/>
      <c r="E59" s="2148"/>
      <c r="F59" s="2148"/>
      <c r="G59" s="2148"/>
      <c r="H59" s="2148"/>
      <c r="I59" s="2148"/>
      <c r="J59" s="2149"/>
    </row>
    <row r="60" spans="1:10" s="181" customFormat="1" x14ac:dyDescent="0.2">
      <c r="A60" s="253"/>
      <c r="B60" s="2147"/>
      <c r="C60" s="2148"/>
      <c r="D60" s="2148"/>
      <c r="E60" s="2148"/>
      <c r="F60" s="2148"/>
      <c r="G60" s="2148"/>
      <c r="H60" s="2148"/>
      <c r="I60" s="2148"/>
      <c r="J60" s="2149"/>
    </row>
    <row r="61" spans="1:10" s="181" customFormat="1" x14ac:dyDescent="0.2">
      <c r="A61" s="253"/>
      <c r="B61" s="2147"/>
      <c r="C61" s="2148"/>
      <c r="D61" s="2148"/>
      <c r="E61" s="2148"/>
      <c r="F61" s="2148"/>
      <c r="G61" s="2148"/>
      <c r="H61" s="2148"/>
      <c r="I61" s="2148"/>
      <c r="J61" s="2149"/>
    </row>
    <row r="62" spans="1:10" s="181" customFormat="1" x14ac:dyDescent="0.2">
      <c r="A62" s="253"/>
      <c r="B62" s="2147"/>
      <c r="C62" s="2148"/>
      <c r="D62" s="2148"/>
      <c r="E62" s="2148"/>
      <c r="F62" s="2148"/>
      <c r="G62" s="2148"/>
      <c r="H62" s="2148"/>
      <c r="I62" s="2148"/>
      <c r="J62" s="2149"/>
    </row>
    <row r="63" spans="1:10" s="181" customFormat="1" x14ac:dyDescent="0.2">
      <c r="A63" s="253"/>
      <c r="B63" s="2147"/>
      <c r="C63" s="2148"/>
      <c r="D63" s="2148"/>
      <c r="E63" s="2148"/>
      <c r="F63" s="2148"/>
      <c r="G63" s="2148"/>
      <c r="H63" s="2148"/>
      <c r="I63" s="2148"/>
      <c r="J63" s="2149"/>
    </row>
    <row r="64" spans="1:10" s="181" customFormat="1" x14ac:dyDescent="0.2">
      <c r="A64" s="253"/>
      <c r="B64" s="2147"/>
      <c r="C64" s="2148"/>
      <c r="D64" s="2148"/>
      <c r="E64" s="2148"/>
      <c r="F64" s="2148"/>
      <c r="G64" s="2148"/>
      <c r="H64" s="2148"/>
      <c r="I64" s="2148"/>
      <c r="J64" s="2149"/>
    </row>
    <row r="65" spans="1:10" s="181" customFormat="1" x14ac:dyDescent="0.2">
      <c r="A65" s="253"/>
      <c r="B65" s="2147"/>
      <c r="C65" s="2148"/>
      <c r="D65" s="2148"/>
      <c r="E65" s="2148"/>
      <c r="F65" s="2148"/>
      <c r="G65" s="2148"/>
      <c r="H65" s="2148"/>
      <c r="I65" s="2148"/>
      <c r="J65" s="2149"/>
    </row>
    <row r="66" spans="1:10" s="181" customFormat="1" x14ac:dyDescent="0.2">
      <c r="A66" s="253"/>
      <c r="B66" s="2147"/>
      <c r="C66" s="2148"/>
      <c r="D66" s="2148"/>
      <c r="E66" s="2148"/>
      <c r="F66" s="2148"/>
      <c r="G66" s="2148"/>
      <c r="H66" s="2148"/>
      <c r="I66" s="2148"/>
      <c r="J66" s="2149"/>
    </row>
    <row r="67" spans="1:10" s="181" customFormat="1" ht="9" customHeight="1" x14ac:dyDescent="0.2">
      <c r="A67" s="254"/>
      <c r="B67" s="2150"/>
      <c r="C67" s="2151"/>
      <c r="D67" s="2151"/>
      <c r="E67" s="2151"/>
      <c r="F67" s="2151"/>
      <c r="G67" s="2151"/>
      <c r="H67" s="2151"/>
      <c r="I67" s="2151"/>
      <c r="J67" s="215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7" t="s">
        <v>1323</v>
      </c>
      <c r="B70" s="2140"/>
      <c r="C70" s="2140"/>
      <c r="D70" s="2140"/>
      <c r="E70" s="2141"/>
      <c r="F70" s="2141"/>
      <c r="G70" s="2141"/>
      <c r="H70" s="2141"/>
      <c r="I70" s="214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2" t="s">
        <v>1320</v>
      </c>
      <c r="B83" s="2142"/>
      <c r="C83" s="2142"/>
      <c r="D83" s="214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4"/>
      <c r="C102" s="2125"/>
      <c r="D102" s="2125"/>
      <c r="E102" s="2125"/>
      <c r="F102" s="2125"/>
      <c r="G102" s="2125"/>
      <c r="H102" s="2125"/>
      <c r="I102" s="2126"/>
    </row>
    <row r="103" spans="1:9" s="181" customFormat="1" ht="11.25" customHeight="1" x14ac:dyDescent="0.2">
      <c r="A103" s="316"/>
      <c r="B103" s="2127"/>
      <c r="C103" s="2128"/>
      <c r="D103" s="2128"/>
      <c r="E103" s="2128"/>
      <c r="F103" s="2128"/>
      <c r="G103" s="2128"/>
      <c r="H103" s="2128"/>
      <c r="I103" s="2129"/>
    </row>
    <row r="104" spans="1:9" s="181" customFormat="1" ht="11.25" customHeight="1" x14ac:dyDescent="0.2">
      <c r="A104" s="316"/>
      <c r="B104" s="2127"/>
      <c r="C104" s="2128"/>
      <c r="D104" s="2128"/>
      <c r="E104" s="2128"/>
      <c r="F104" s="2128"/>
      <c r="G104" s="2128"/>
      <c r="H104" s="2128"/>
      <c r="I104" s="2129"/>
    </row>
    <row r="105" spans="1:9" s="181" customFormat="1" x14ac:dyDescent="0.2">
      <c r="A105" s="316"/>
      <c r="B105" s="2127"/>
      <c r="C105" s="2128"/>
      <c r="D105" s="2128"/>
      <c r="E105" s="2128"/>
      <c r="F105" s="2128"/>
      <c r="G105" s="2128"/>
      <c r="H105" s="2128"/>
      <c r="I105" s="2129"/>
    </row>
    <row r="106" spans="1:9" s="181" customFormat="1" ht="11.25" customHeight="1" x14ac:dyDescent="0.2">
      <c r="A106" s="316"/>
      <c r="B106" s="2127"/>
      <c r="C106" s="2128"/>
      <c r="D106" s="2128"/>
      <c r="E106" s="2128"/>
      <c r="F106" s="2128"/>
      <c r="G106" s="2128"/>
      <c r="H106" s="2128"/>
      <c r="I106" s="2129"/>
    </row>
    <row r="107" spans="1:9" s="181" customFormat="1" ht="11.25" customHeight="1" x14ac:dyDescent="0.2">
      <c r="A107" s="316"/>
      <c r="B107" s="2127"/>
      <c r="C107" s="2128"/>
      <c r="D107" s="2128"/>
      <c r="E107" s="2128"/>
      <c r="F107" s="2128"/>
      <c r="G107" s="2128"/>
      <c r="H107" s="2128"/>
      <c r="I107" s="2129"/>
    </row>
    <row r="108" spans="1:9" s="181" customFormat="1" ht="11.25" customHeight="1" x14ac:dyDescent="0.2">
      <c r="A108" s="316"/>
      <c r="B108" s="2127"/>
      <c r="C108" s="2128"/>
      <c r="D108" s="2128"/>
      <c r="E108" s="2128"/>
      <c r="F108" s="2128"/>
      <c r="G108" s="2128"/>
      <c r="H108" s="2128"/>
      <c r="I108" s="2129"/>
    </row>
    <row r="109" spans="1:9" s="181" customFormat="1" ht="11.25" customHeight="1" x14ac:dyDescent="0.2">
      <c r="A109" s="316"/>
      <c r="B109" s="2127"/>
      <c r="C109" s="2128"/>
      <c r="D109" s="2128"/>
      <c r="E109" s="2128"/>
      <c r="F109" s="2128"/>
      <c r="G109" s="2128"/>
      <c r="H109" s="2128"/>
      <c r="I109" s="2129"/>
    </row>
    <row r="110" spans="1:9" s="181" customFormat="1" ht="11.25" customHeight="1" x14ac:dyDescent="0.2">
      <c r="A110" s="316"/>
      <c r="B110" s="2127"/>
      <c r="C110" s="2128"/>
      <c r="D110" s="2128"/>
      <c r="E110" s="2128"/>
      <c r="F110" s="2128"/>
      <c r="G110" s="2128"/>
      <c r="H110" s="2128"/>
      <c r="I110" s="2129"/>
    </row>
    <row r="111" spans="1:9" s="181" customFormat="1" ht="11.25" customHeight="1" x14ac:dyDescent="0.2">
      <c r="A111" s="316"/>
      <c r="B111" s="2127"/>
      <c r="C111" s="2128"/>
      <c r="D111" s="2128"/>
      <c r="E111" s="2128"/>
      <c r="F111" s="2128"/>
      <c r="G111" s="2128"/>
      <c r="H111" s="2128"/>
      <c r="I111" s="2129"/>
    </row>
    <row r="112" spans="1:9" s="181" customFormat="1" ht="11.25" customHeight="1" x14ac:dyDescent="0.2">
      <c r="A112" s="316"/>
      <c r="B112" s="2130"/>
      <c r="C112" s="2131"/>
      <c r="D112" s="2131"/>
      <c r="E112" s="2131"/>
      <c r="F112" s="2131"/>
      <c r="G112" s="2131"/>
      <c r="H112" s="2131"/>
      <c r="I112" s="213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3" t="s">
        <v>2079</v>
      </c>
      <c r="D114" s="213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4" t="s">
        <v>1330</v>
      </c>
      <c r="D117" s="2135"/>
      <c r="E117" s="2136"/>
      <c r="F117" s="2136"/>
      <c r="G117" s="2136"/>
      <c r="H117" s="2136"/>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J12" sqref="J1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3" t="s">
        <v>386</v>
      </c>
      <c r="B1" s="2153"/>
      <c r="C1" s="2153"/>
      <c r="D1" s="2153"/>
      <c r="E1" s="2153"/>
      <c r="F1" s="2153"/>
      <c r="G1" s="2153"/>
      <c r="H1" s="2153"/>
      <c r="I1" s="2153"/>
      <c r="J1" s="2153"/>
      <c r="K1" s="2153"/>
      <c r="L1" s="2153"/>
      <c r="M1" s="215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74225285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2.9148E-2</v>
      </c>
      <c r="E10" s="356" t="s">
        <v>1005</v>
      </c>
      <c r="F10" s="355">
        <v>4.6860000000000001E-3</v>
      </c>
      <c r="G10" s="356" t="s">
        <v>1005</v>
      </c>
      <c r="H10" s="355">
        <v>5.3889999999999997E-3</v>
      </c>
      <c r="I10" s="356" t="s">
        <v>1006</v>
      </c>
      <c r="J10" s="1705">
        <f>ROUND(D10+F10+H10,5)</f>
        <v>3.9219999999999998E-2</v>
      </c>
      <c r="K10" s="222"/>
      <c r="L10" s="355">
        <v>0</v>
      </c>
      <c r="M10" s="222"/>
    </row>
    <row r="11" spans="1:14" ht="7.5" customHeight="1" x14ac:dyDescent="0.2">
      <c r="B11" s="222"/>
      <c r="C11" s="222"/>
      <c r="D11" s="2163" t="str">
        <f>IF(SUM(J10)&lt;=0.0999999,"","Enter the Tax Rates by moving the decimal two places to the left.")</f>
        <v/>
      </c>
      <c r="E11" s="2164"/>
      <c r="F11" s="2164"/>
      <c r="G11" s="2164"/>
      <c r="H11" s="2164"/>
      <c r="I11" s="2164"/>
      <c r="J11" s="216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5543520</v>
      </c>
      <c r="E16" s="356"/>
      <c r="F16" s="1706">
        <f>SUM('Acct Summary 7-8'!C17,'Acct Summary 7-8'!D17,'Acct Summary 7-8'!F17)</f>
        <v>5659749</v>
      </c>
      <c r="G16" s="356"/>
      <c r="H16" s="1706">
        <f>SUM(D16-F16)</f>
        <v>-116229</v>
      </c>
      <c r="I16" s="222"/>
      <c r="J16" s="1706">
        <f>SUM('Acct Summary 7-8'!C81,'Acct Summary 7-8'!D81,'Acct Summary 7-8'!F81,'Acct Summary 7-8'!I81)</f>
        <v>4103477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2080</v>
      </c>
      <c r="C31" s="367" t="s">
        <v>586</v>
      </c>
      <c r="D31" s="237" t="s">
        <v>1072</v>
      </c>
      <c r="E31" s="222"/>
      <c r="F31" s="222"/>
      <c r="G31" s="363"/>
      <c r="H31" s="1708">
        <f>IF(B31="X",(J7*0.069),IF(B32="X",(J7*0.138),"Enter x in a.or b."))</f>
        <v>5121544.665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4"/>
      <c r="C54" s="2155"/>
      <c r="D54" s="2155"/>
      <c r="E54" s="2155"/>
      <c r="F54" s="2155"/>
      <c r="G54" s="2155"/>
      <c r="H54" s="2155"/>
      <c r="I54" s="2155"/>
      <c r="J54" s="2155"/>
      <c r="K54" s="2155"/>
      <c r="L54" s="2156"/>
      <c r="M54" s="380"/>
    </row>
    <row r="55" spans="1:13" ht="12.75" customHeight="1" x14ac:dyDescent="0.2">
      <c r="B55" s="2157"/>
      <c r="C55" s="2158"/>
      <c r="D55" s="2158"/>
      <c r="E55" s="2158"/>
      <c r="F55" s="2158"/>
      <c r="G55" s="2158"/>
      <c r="H55" s="2158"/>
      <c r="I55" s="2158"/>
      <c r="J55" s="2158"/>
      <c r="K55" s="2158"/>
      <c r="L55" s="2159"/>
      <c r="M55" s="380"/>
    </row>
    <row r="56" spans="1:13" ht="12.75" customHeight="1" x14ac:dyDescent="0.2">
      <c r="B56" s="2157"/>
      <c r="C56" s="2158"/>
      <c r="D56" s="2158"/>
      <c r="E56" s="2158"/>
      <c r="F56" s="2158"/>
      <c r="G56" s="2158"/>
      <c r="H56" s="2158"/>
      <c r="I56" s="2158"/>
      <c r="J56" s="2158"/>
      <c r="K56" s="2158"/>
      <c r="L56" s="2159"/>
      <c r="M56" s="222"/>
    </row>
    <row r="57" spans="1:13" ht="12.75" customHeight="1" x14ac:dyDescent="0.2">
      <c r="B57" s="2157"/>
      <c r="C57" s="2158"/>
      <c r="D57" s="2158"/>
      <c r="E57" s="2158"/>
      <c r="F57" s="2158"/>
      <c r="G57" s="2158"/>
      <c r="H57" s="2158"/>
      <c r="I57" s="2158"/>
      <c r="J57" s="2158"/>
      <c r="K57" s="2158"/>
      <c r="L57" s="2159"/>
      <c r="M57" s="222"/>
    </row>
    <row r="58" spans="1:13" x14ac:dyDescent="0.2">
      <c r="B58" s="2160"/>
      <c r="C58" s="2161"/>
      <c r="D58" s="2161"/>
      <c r="E58" s="2161"/>
      <c r="F58" s="2161"/>
      <c r="G58" s="2161"/>
      <c r="H58" s="2161"/>
      <c r="I58" s="2161"/>
      <c r="J58" s="2161"/>
      <c r="K58" s="2161"/>
      <c r="L58" s="216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5"/>
      <c r="D61" s="216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4" zoomScale="110" zoomScaleNormal="110" workbookViewId="0">
      <selection activeCell="J12" sqref="J1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8"/>
      <c r="B1" s="2169"/>
      <c r="C1" s="2169"/>
      <c r="D1" s="384"/>
      <c r="E1" s="384"/>
      <c r="F1" s="384"/>
      <c r="G1" s="384"/>
      <c r="H1" s="384"/>
      <c r="I1" s="384"/>
      <c r="J1" s="384"/>
      <c r="K1" s="384"/>
      <c r="L1" s="384"/>
      <c r="M1" s="384"/>
      <c r="N1" s="384"/>
      <c r="O1" s="2168"/>
      <c r="P1" s="2169"/>
      <c r="Q1" s="2169"/>
    </row>
    <row r="2" spans="1:18" ht="15" x14ac:dyDescent="0.2">
      <c r="A2" s="2172" t="s">
        <v>556</v>
      </c>
      <c r="B2" s="2172"/>
      <c r="C2" s="2172"/>
      <c r="D2" s="2172"/>
      <c r="E2" s="2172"/>
      <c r="F2" s="2172"/>
      <c r="G2" s="2172"/>
      <c r="H2" s="2172"/>
      <c r="I2" s="2172"/>
      <c r="J2" s="2172"/>
      <c r="K2" s="2172"/>
      <c r="L2" s="2172"/>
      <c r="M2" s="2172"/>
      <c r="N2" s="2172"/>
      <c r="O2" s="2172"/>
      <c r="P2" s="2172"/>
      <c r="Q2" s="2172"/>
      <c r="R2" s="2172"/>
    </row>
    <row r="3" spans="1:18" ht="12.75" x14ac:dyDescent="0.2">
      <c r="A3" s="2173" t="s">
        <v>1413</v>
      </c>
      <c r="B3" s="2173"/>
      <c r="C3" s="2173"/>
      <c r="D3" s="2173"/>
      <c r="E3" s="2173"/>
      <c r="F3" s="2173"/>
      <c r="G3" s="2173"/>
      <c r="H3" s="2173"/>
      <c r="I3" s="2173"/>
      <c r="J3" s="2173"/>
      <c r="K3" s="2173"/>
      <c r="L3" s="2173"/>
      <c r="M3" s="2173"/>
      <c r="N3" s="2173"/>
      <c r="O3" s="2173"/>
      <c r="P3" s="2173"/>
      <c r="Q3" s="2173"/>
      <c r="R3" s="2173"/>
    </row>
    <row r="4" spans="1:18" x14ac:dyDescent="0.2">
      <c r="A4" s="2174" t="s">
        <v>1554</v>
      </c>
      <c r="B4" s="2174"/>
      <c r="C4" s="2174"/>
      <c r="D4" s="2174"/>
      <c r="E4" s="2174"/>
      <c r="F4" s="2174"/>
      <c r="G4" s="2174"/>
      <c r="H4" s="2174"/>
      <c r="I4" s="2174"/>
      <c r="J4" s="2174"/>
      <c r="K4" s="2174"/>
      <c r="L4" s="2174"/>
      <c r="M4" s="2174"/>
      <c r="N4" s="2174"/>
      <c r="O4" s="2174"/>
      <c r="P4" s="2174"/>
      <c r="Q4" s="2174"/>
      <c r="R4" s="217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Harrison SD 36</v>
      </c>
      <c r="E7" s="391"/>
      <c r="G7" s="252"/>
      <c r="H7" s="387"/>
      <c r="I7" s="387"/>
      <c r="J7" s="387"/>
      <c r="K7" s="387"/>
      <c r="L7" s="329"/>
      <c r="M7" s="329"/>
      <c r="N7" s="329"/>
      <c r="O7" s="329"/>
      <c r="P7" s="329"/>
    </row>
    <row r="8" spans="1:18" ht="12.75" x14ac:dyDescent="0.2">
      <c r="A8" s="329"/>
      <c r="B8" s="329"/>
      <c r="C8" s="389" t="s">
        <v>1125</v>
      </c>
      <c r="D8" s="392">
        <f>COVER!A13</f>
        <v>44063036002</v>
      </c>
      <c r="E8" s="393"/>
      <c r="G8" s="329"/>
      <c r="H8" s="329"/>
      <c r="I8" s="329"/>
      <c r="J8" s="329"/>
      <c r="K8" s="329"/>
      <c r="L8" s="329"/>
      <c r="M8" s="329"/>
      <c r="N8" s="329"/>
      <c r="O8" s="329"/>
      <c r="P8" s="329"/>
    </row>
    <row r="9" spans="1:18" ht="12.75" x14ac:dyDescent="0.2">
      <c r="A9" s="329"/>
      <c r="B9" s="329"/>
      <c r="C9" s="389" t="s">
        <v>713</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4103477</v>
      </c>
      <c r="I12" s="404"/>
      <c r="J12" s="404"/>
      <c r="K12" s="405">
        <f>TRUNC((H12/H13*100000),5)/100000</f>
        <v>0.74022949309999997</v>
      </c>
      <c r="L12" s="406"/>
      <c r="M12" s="360" t="s">
        <v>1144</v>
      </c>
      <c r="N12" s="360"/>
      <c r="O12" s="407">
        <v>0.35</v>
      </c>
      <c r="P12" s="218"/>
      <c r="Q12" s="218"/>
    </row>
    <row r="13" spans="1:18" s="408" customFormat="1" ht="12.75" x14ac:dyDescent="0.2">
      <c r="A13" s="218"/>
      <c r="B13" s="401"/>
      <c r="C13" s="2170" t="s">
        <v>1324</v>
      </c>
      <c r="D13" s="2171"/>
      <c r="E13" s="218"/>
      <c r="F13" s="409" t="s">
        <v>793</v>
      </c>
      <c r="G13" s="402"/>
      <c r="H13" s="403">
        <f>SUM('Acct Summary 7-8'!C8+'Acct Summary 7-8'!D8+'Acct Summary 7-8'!F8+'Acct Summary 7-8'!I8)+H14</f>
        <v>5543520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5659749</v>
      </c>
      <c r="I17" s="404"/>
      <c r="J17" s="416"/>
      <c r="K17" s="405">
        <f>TRUNC((H17/H18*100000),5)/100000</f>
        <v>1.0209666421000001</v>
      </c>
      <c r="L17" s="406"/>
      <c r="M17" s="417" t="s">
        <v>1171</v>
      </c>
      <c r="O17" s="418" t="str">
        <f>IF(AND(O16="2", J20 &gt; 2),"1",IF(AND(O16 = "1", J20 &gt; 2),"2",IF(AND(O16="1", J20 &gt;1),"1","0")))</f>
        <v>0</v>
      </c>
      <c r="P17" s="218"/>
    </row>
    <row r="18" spans="1:18" s="408" customFormat="1" ht="11.25" x14ac:dyDescent="0.2">
      <c r="A18" s="218"/>
      <c r="B18" s="401"/>
      <c r="C18" s="2170" t="s">
        <v>1317</v>
      </c>
      <c r="D18" s="2171"/>
      <c r="E18" s="218"/>
      <c r="F18" s="419" t="s">
        <v>794</v>
      </c>
      <c r="G18" s="402"/>
      <c r="H18" s="403">
        <f>SUM('Acct Summary 7-8'!C8+'Acct Summary 7-8'!D8+'Acct Summary 7-8'!F8+'Acct Summary 7-8'!I8)+H19</f>
        <v>5543520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30.535623599999997</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7" t="s">
        <v>1412</v>
      </c>
      <c r="D24" s="2167"/>
      <c r="E24" s="218"/>
      <c r="F24" s="218" t="s">
        <v>445</v>
      </c>
      <c r="G24" s="402"/>
      <c r="H24" s="403">
        <f>SUM('Assets-Liab 5-6'!C4+'Assets-Liab 5-6'!D4+'Assets-Liab 5-6'!F4+'Assets-Liab 5-6'!I4+'Assets-Liab 5-6'!C5+'Assets-Liab 5-6'!D5+'Assets-Liab 5-6'!F5+'Assets-Liab 5-6'!I5)</f>
        <v>4110583</v>
      </c>
      <c r="I24" s="422"/>
      <c r="J24" s="422"/>
      <c r="K24" s="423">
        <f>TRUNC(((H24/H25*100000)/100000),2)</f>
        <v>261.45999999999998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15721.525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2474448.3260499998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5121544.665</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15" activePane="bottomLeft" state="frozen"/>
      <selection activeCell="J12" sqref="J12"/>
      <selection pane="bottomLeft" activeCell="J12" sqref="J12"/>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7" t="s">
        <v>973</v>
      </c>
      <c r="B3" s="2178"/>
      <c r="C3" s="1532"/>
      <c r="D3" s="1533"/>
      <c r="E3" s="1533"/>
      <c r="F3" s="1533"/>
      <c r="G3" s="1533"/>
      <c r="H3" s="1533"/>
      <c r="I3" s="1533"/>
      <c r="J3" s="1533"/>
      <c r="K3" s="1533"/>
      <c r="L3" s="1533"/>
      <c r="M3" s="1534"/>
      <c r="N3" s="1535"/>
    </row>
    <row r="4" spans="1:14" ht="13.5" customHeight="1" x14ac:dyDescent="0.2">
      <c r="A4" s="463" t="s">
        <v>1651</v>
      </c>
      <c r="B4" s="464"/>
      <c r="C4" s="1911">
        <v>3140706</v>
      </c>
      <c r="D4" s="1912">
        <v>324454</v>
      </c>
      <c r="E4" s="1912">
        <v>1336</v>
      </c>
      <c r="F4" s="1912">
        <v>206562</v>
      </c>
      <c r="G4" s="1912">
        <v>134463</v>
      </c>
      <c r="H4" s="1912">
        <v>156685</v>
      </c>
      <c r="I4" s="1912">
        <v>438861</v>
      </c>
      <c r="J4" s="1913">
        <v>148151</v>
      </c>
      <c r="K4" s="1992">
        <v>0</v>
      </c>
      <c r="L4" s="1912">
        <v>8137</v>
      </c>
      <c r="M4" s="467"/>
      <c r="N4" s="468"/>
    </row>
    <row r="5" spans="1:14" x14ac:dyDescent="0.2">
      <c r="A5" s="463" t="s">
        <v>992</v>
      </c>
      <c r="B5" s="469">
        <v>120</v>
      </c>
      <c r="C5" s="1911"/>
      <c r="D5" s="1912"/>
      <c r="E5" s="1912"/>
      <c r="F5" s="1912"/>
      <c r="G5" s="1912"/>
      <c r="H5" s="1912"/>
      <c r="I5" s="1912"/>
      <c r="J5" s="1913"/>
      <c r="K5" s="1914"/>
      <c r="L5" s="470"/>
      <c r="M5" s="467"/>
      <c r="N5" s="468"/>
    </row>
    <row r="6" spans="1:14" ht="13.5" customHeight="1" x14ac:dyDescent="0.2">
      <c r="A6" s="471" t="s">
        <v>417</v>
      </c>
      <c r="B6" s="469">
        <v>130</v>
      </c>
      <c r="C6" s="1911">
        <v>0</v>
      </c>
      <c r="D6" s="1912">
        <v>0</v>
      </c>
      <c r="E6" s="1912">
        <v>0</v>
      </c>
      <c r="F6" s="1912">
        <v>0</v>
      </c>
      <c r="G6" s="1914">
        <v>0</v>
      </c>
      <c r="H6" s="1914">
        <v>0</v>
      </c>
      <c r="I6" s="1912">
        <v>0</v>
      </c>
      <c r="J6" s="1915">
        <v>0</v>
      </c>
      <c r="K6" s="1914">
        <v>0</v>
      </c>
      <c r="L6" s="472"/>
      <c r="M6" s="467"/>
      <c r="N6" s="468"/>
    </row>
    <row r="7" spans="1:14" ht="13.5" customHeight="1" x14ac:dyDescent="0.2">
      <c r="A7" s="471" t="s">
        <v>418</v>
      </c>
      <c r="B7" s="469">
        <v>140</v>
      </c>
      <c r="C7" s="1916">
        <v>0</v>
      </c>
      <c r="D7" s="1913">
        <v>0</v>
      </c>
      <c r="E7" s="1916">
        <v>0</v>
      </c>
      <c r="F7" s="1913">
        <v>0</v>
      </c>
      <c r="G7" s="1913">
        <v>0</v>
      </c>
      <c r="H7" s="1913">
        <v>0</v>
      </c>
      <c r="I7" s="1913">
        <v>0</v>
      </c>
      <c r="J7" s="1913">
        <v>0</v>
      </c>
      <c r="K7" s="1913">
        <v>0</v>
      </c>
      <c r="L7" s="473"/>
      <c r="M7" s="467"/>
      <c r="N7" s="468"/>
    </row>
    <row r="8" spans="1:14" ht="13.5" customHeight="1" x14ac:dyDescent="0.2">
      <c r="A8" s="471" t="s">
        <v>269</v>
      </c>
      <c r="B8" s="469">
        <v>150</v>
      </c>
      <c r="C8" s="1916">
        <v>0</v>
      </c>
      <c r="D8" s="1913">
        <v>0</v>
      </c>
      <c r="E8" s="1916">
        <v>0</v>
      </c>
      <c r="F8" s="1913">
        <v>0</v>
      </c>
      <c r="G8" s="1917">
        <v>0</v>
      </c>
      <c r="H8" s="1913">
        <v>0</v>
      </c>
      <c r="I8" s="1915">
        <v>0</v>
      </c>
      <c r="J8" s="1915">
        <v>0</v>
      </c>
      <c r="K8" s="1918">
        <v>0</v>
      </c>
      <c r="L8" s="476"/>
      <c r="M8" s="467"/>
      <c r="N8" s="468"/>
    </row>
    <row r="9" spans="1:14" ht="13.5" customHeight="1" x14ac:dyDescent="0.2">
      <c r="A9" s="471" t="s">
        <v>270</v>
      </c>
      <c r="B9" s="469">
        <v>160</v>
      </c>
      <c r="C9" s="1916">
        <v>0</v>
      </c>
      <c r="D9" s="1913">
        <v>0</v>
      </c>
      <c r="E9" s="1916">
        <v>0</v>
      </c>
      <c r="F9" s="1913">
        <v>0</v>
      </c>
      <c r="G9" s="1913">
        <v>0</v>
      </c>
      <c r="H9" s="1917">
        <v>0</v>
      </c>
      <c r="I9" s="1913">
        <v>0</v>
      </c>
      <c r="J9" s="1913">
        <v>0</v>
      </c>
      <c r="K9" s="1913">
        <v>0</v>
      </c>
      <c r="L9" s="466"/>
      <c r="M9" s="467"/>
      <c r="N9" s="468"/>
    </row>
    <row r="10" spans="1:14" ht="13.5" customHeight="1" x14ac:dyDescent="0.2">
      <c r="A10" s="471" t="s">
        <v>991</v>
      </c>
      <c r="B10" s="469">
        <v>170</v>
      </c>
      <c r="C10" s="1911">
        <v>0</v>
      </c>
      <c r="D10" s="1912">
        <v>0</v>
      </c>
      <c r="E10" s="1913">
        <v>0</v>
      </c>
      <c r="F10" s="1912">
        <v>0</v>
      </c>
      <c r="G10" s="1917">
        <v>0</v>
      </c>
      <c r="H10" s="1919">
        <v>0</v>
      </c>
      <c r="I10" s="1913">
        <v>0</v>
      </c>
      <c r="J10" s="1913">
        <v>0</v>
      </c>
      <c r="K10" s="1919">
        <v>0</v>
      </c>
      <c r="L10" s="477"/>
      <c r="M10" s="468"/>
      <c r="N10" s="468"/>
    </row>
    <row r="11" spans="1:14" ht="13.5" customHeight="1" x14ac:dyDescent="0.2">
      <c r="A11" s="471" t="s">
        <v>271</v>
      </c>
      <c r="B11" s="469">
        <v>180</v>
      </c>
      <c r="C11" s="1916">
        <v>0</v>
      </c>
      <c r="D11" s="1913">
        <v>0</v>
      </c>
      <c r="E11" s="1913">
        <v>0</v>
      </c>
      <c r="F11" s="1913">
        <v>0</v>
      </c>
      <c r="G11" s="1913">
        <v>0</v>
      </c>
      <c r="H11" s="1913">
        <v>0</v>
      </c>
      <c r="I11" s="1917">
        <v>0</v>
      </c>
      <c r="J11" s="1917">
        <v>0</v>
      </c>
      <c r="K11" s="1913">
        <v>0</v>
      </c>
      <c r="L11" s="466"/>
      <c r="M11" s="468"/>
      <c r="N11" s="468"/>
    </row>
    <row r="12" spans="1:14" ht="13.5" customHeight="1" x14ac:dyDescent="0.2">
      <c r="A12" s="471" t="s">
        <v>419</v>
      </c>
      <c r="B12" s="469">
        <v>190</v>
      </c>
      <c r="C12" s="1911">
        <v>0</v>
      </c>
      <c r="D12" s="1912">
        <v>0</v>
      </c>
      <c r="E12" s="1912">
        <v>0</v>
      </c>
      <c r="F12" s="1912">
        <v>0</v>
      </c>
      <c r="G12" s="1912">
        <v>0</v>
      </c>
      <c r="H12" s="1912">
        <v>0</v>
      </c>
      <c r="I12" s="1912">
        <v>0</v>
      </c>
      <c r="J12" s="1913">
        <v>0</v>
      </c>
      <c r="K12" s="1912">
        <v>0</v>
      </c>
      <c r="L12" s="465"/>
      <c r="M12" s="468"/>
      <c r="N12" s="468"/>
    </row>
    <row r="13" spans="1:14" ht="13.5" customHeight="1" thickBot="1" x14ac:dyDescent="0.25">
      <c r="A13" s="1709" t="s">
        <v>644</v>
      </c>
      <c r="B13" s="1682"/>
      <c r="C13" s="1710">
        <f>SUM(C4:C12)</f>
        <v>3140706</v>
      </c>
      <c r="D13" s="1710">
        <f t="shared" ref="D13:L13" si="0">SUM(D4:D12)</f>
        <v>324454</v>
      </c>
      <c r="E13" s="1710">
        <f t="shared" si="0"/>
        <v>1336</v>
      </c>
      <c r="F13" s="1710">
        <f t="shared" si="0"/>
        <v>206562</v>
      </c>
      <c r="G13" s="1710">
        <f t="shared" si="0"/>
        <v>134463</v>
      </c>
      <c r="H13" s="1710">
        <f t="shared" si="0"/>
        <v>156685</v>
      </c>
      <c r="I13" s="1710">
        <f t="shared" si="0"/>
        <v>438861</v>
      </c>
      <c r="J13" s="1710">
        <f t="shared" si="0"/>
        <v>148151</v>
      </c>
      <c r="K13" s="1710">
        <f t="shared" si="0"/>
        <v>0</v>
      </c>
      <c r="L13" s="1710">
        <f t="shared" si="0"/>
        <v>8137</v>
      </c>
      <c r="M13" s="467"/>
      <c r="N13" s="468"/>
    </row>
    <row r="14" spans="1:14" ht="18" customHeight="1" thickTop="1" x14ac:dyDescent="0.2">
      <c r="A14" s="2179" t="s">
        <v>147</v>
      </c>
      <c r="B14" s="2180"/>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3">
        <v>23655</v>
      </c>
      <c r="N16" s="480"/>
    </row>
    <row r="17" spans="1:14" s="481" customFormat="1" ht="12.75" customHeight="1" x14ac:dyDescent="0.2">
      <c r="A17" s="478" t="s">
        <v>1403</v>
      </c>
      <c r="B17" s="479">
        <v>230</v>
      </c>
      <c r="C17" s="473"/>
      <c r="D17" s="473"/>
      <c r="E17" s="473"/>
      <c r="F17" s="473"/>
      <c r="G17" s="473"/>
      <c r="H17" s="473"/>
      <c r="I17" s="473"/>
      <c r="J17" s="473"/>
      <c r="K17" s="473"/>
      <c r="L17" s="473"/>
      <c r="M17" s="1913">
        <v>6838381</v>
      </c>
      <c r="N17" s="480"/>
    </row>
    <row r="18" spans="1:14" s="481" customFormat="1" ht="12.75" customHeight="1" x14ac:dyDescent="0.2">
      <c r="A18" s="478" t="s">
        <v>1404</v>
      </c>
      <c r="B18" s="479">
        <v>240</v>
      </c>
      <c r="C18" s="473"/>
      <c r="D18" s="473"/>
      <c r="E18" s="473"/>
      <c r="F18" s="473"/>
      <c r="G18" s="473"/>
      <c r="H18" s="473"/>
      <c r="I18" s="473"/>
      <c r="J18" s="473"/>
      <c r="K18" s="473"/>
      <c r="L18" s="473"/>
      <c r="M18" s="1913">
        <v>28405</v>
      </c>
      <c r="N18" s="480"/>
    </row>
    <row r="19" spans="1:14" s="481" customFormat="1" ht="12.75" customHeight="1" x14ac:dyDescent="0.2">
      <c r="A19" s="478" t="s">
        <v>1405</v>
      </c>
      <c r="B19" s="479">
        <v>250</v>
      </c>
      <c r="C19" s="473"/>
      <c r="D19" s="473"/>
      <c r="E19" s="473"/>
      <c r="F19" s="473"/>
      <c r="G19" s="473"/>
      <c r="H19" s="473"/>
      <c r="I19" s="473"/>
      <c r="J19" s="473"/>
      <c r="K19" s="473"/>
      <c r="L19" s="473"/>
      <c r="M19" s="1913">
        <v>995281</v>
      </c>
      <c r="N19" s="480"/>
    </row>
    <row r="20" spans="1:14" s="481" customFormat="1" ht="12.75" customHeight="1" x14ac:dyDescent="0.2">
      <c r="A20" s="478" t="s">
        <v>1406</v>
      </c>
      <c r="B20" s="479">
        <v>260</v>
      </c>
      <c r="C20" s="473"/>
      <c r="D20" s="473"/>
      <c r="E20" s="473"/>
      <c r="F20" s="473"/>
      <c r="G20" s="473"/>
      <c r="H20" s="473"/>
      <c r="I20" s="473"/>
      <c r="J20" s="473"/>
      <c r="K20" s="473"/>
      <c r="L20" s="473"/>
      <c r="M20" s="1913">
        <v>7343406</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3">
        <f>+E39</f>
        <v>1336</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0</v>
      </c>
    </row>
    <row r="23" spans="1:14" ht="13.5" customHeight="1" thickBot="1" x14ac:dyDescent="0.25">
      <c r="A23" s="1709" t="s">
        <v>643</v>
      </c>
      <c r="B23" s="1714"/>
      <c r="C23" s="467"/>
      <c r="D23" s="467"/>
      <c r="E23" s="467"/>
      <c r="F23" s="467"/>
      <c r="G23" s="467"/>
      <c r="H23" s="467"/>
      <c r="I23" s="467"/>
      <c r="J23" s="467"/>
      <c r="K23" s="467"/>
      <c r="L23" s="467"/>
      <c r="M23" s="1661">
        <f>SUM(M15:M22)</f>
        <v>15229128</v>
      </c>
      <c r="N23" s="1661">
        <f>SUM(N21:N22)</f>
        <v>1336</v>
      </c>
    </row>
    <row r="24" spans="1:14" ht="18" customHeight="1" thickTop="1" x14ac:dyDescent="0.2">
      <c r="A24" s="2181" t="s">
        <v>598</v>
      </c>
      <c r="B24" s="2182"/>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8">
        <v>0</v>
      </c>
      <c r="I25" s="467"/>
      <c r="J25" s="474">
        <v>0</v>
      </c>
      <c r="K25" s="474">
        <v>0</v>
      </c>
      <c r="L25" s="467"/>
      <c r="M25" s="467"/>
      <c r="N25" s="467"/>
    </row>
    <row r="26" spans="1:14" x14ac:dyDescent="0.2">
      <c r="A26" s="471" t="s">
        <v>646</v>
      </c>
      <c r="B26" s="469">
        <v>420</v>
      </c>
      <c r="C26" s="1913">
        <v>0</v>
      </c>
      <c r="D26" s="1913">
        <v>0</v>
      </c>
      <c r="E26" s="1913">
        <v>0</v>
      </c>
      <c r="F26" s="1913">
        <v>0</v>
      </c>
      <c r="G26" s="1913">
        <v>0</v>
      </c>
      <c r="H26" s="1913">
        <v>0</v>
      </c>
      <c r="I26" s="1913">
        <v>0</v>
      </c>
      <c r="J26" s="1915">
        <v>0</v>
      </c>
      <c r="K26" s="1913">
        <v>0</v>
      </c>
      <c r="L26" s="467"/>
      <c r="M26" s="467"/>
      <c r="N26" s="467"/>
    </row>
    <row r="27" spans="1:14" ht="13.5" customHeight="1" x14ac:dyDescent="0.2">
      <c r="A27" s="471" t="s">
        <v>647</v>
      </c>
      <c r="B27" s="469">
        <v>430</v>
      </c>
      <c r="C27" s="1913">
        <v>0</v>
      </c>
      <c r="D27" s="1913">
        <v>0</v>
      </c>
      <c r="E27" s="1913">
        <v>0</v>
      </c>
      <c r="F27" s="1913">
        <v>0</v>
      </c>
      <c r="G27" s="1913">
        <v>0</v>
      </c>
      <c r="H27" s="1913">
        <v>0</v>
      </c>
      <c r="I27" s="1913">
        <v>0</v>
      </c>
      <c r="J27" s="1913">
        <v>0</v>
      </c>
      <c r="K27" s="1913">
        <v>0</v>
      </c>
      <c r="L27" s="467"/>
      <c r="M27" s="467"/>
      <c r="N27" s="467"/>
    </row>
    <row r="28" spans="1:14" ht="13.5" customHeight="1" x14ac:dyDescent="0.2">
      <c r="A28" s="471" t="s">
        <v>648</v>
      </c>
      <c r="B28" s="469">
        <v>440</v>
      </c>
      <c r="C28" s="1913">
        <v>0</v>
      </c>
      <c r="D28" s="1913">
        <v>0</v>
      </c>
      <c r="E28" s="1915">
        <v>0</v>
      </c>
      <c r="F28" s="1913">
        <v>0</v>
      </c>
      <c r="G28" s="1915">
        <v>0</v>
      </c>
      <c r="H28" s="1915">
        <v>0</v>
      </c>
      <c r="I28" s="1913">
        <v>0</v>
      </c>
      <c r="J28" s="1913">
        <v>0</v>
      </c>
      <c r="K28" s="1918">
        <v>0</v>
      </c>
      <c r="L28" s="467"/>
      <c r="M28" s="467"/>
      <c r="N28" s="467"/>
    </row>
    <row r="29" spans="1:14" ht="13.5" customHeight="1" x14ac:dyDescent="0.2">
      <c r="A29" s="471" t="s">
        <v>649</v>
      </c>
      <c r="B29" s="469">
        <v>460</v>
      </c>
      <c r="C29" s="1920">
        <v>0</v>
      </c>
      <c r="D29" s="1921">
        <v>0</v>
      </c>
      <c r="E29" s="1915">
        <v>0</v>
      </c>
      <c r="F29" s="1913">
        <v>0</v>
      </c>
      <c r="G29" s="1915">
        <v>0</v>
      </c>
      <c r="H29" s="1915">
        <v>0</v>
      </c>
      <c r="I29" s="1915">
        <v>0</v>
      </c>
      <c r="J29" s="1915">
        <v>0</v>
      </c>
      <c r="K29" s="1913">
        <v>0</v>
      </c>
      <c r="L29" s="467"/>
      <c r="M29" s="467"/>
      <c r="N29" s="467"/>
    </row>
    <row r="30" spans="1:14" ht="13.5" customHeight="1" x14ac:dyDescent="0.2">
      <c r="A30" s="471" t="s">
        <v>650</v>
      </c>
      <c r="B30" s="469">
        <v>470</v>
      </c>
      <c r="C30" s="1913">
        <v>0</v>
      </c>
      <c r="D30" s="1915">
        <v>0</v>
      </c>
      <c r="E30" s="1913">
        <v>0</v>
      </c>
      <c r="F30" s="1913">
        <v>0</v>
      </c>
      <c r="G30" s="1913">
        <v>0</v>
      </c>
      <c r="H30" s="1913">
        <v>0</v>
      </c>
      <c r="I30" s="1913">
        <v>0</v>
      </c>
      <c r="J30" s="1913">
        <v>0</v>
      </c>
      <c r="K30" s="474">
        <v>0</v>
      </c>
      <c r="L30" s="467"/>
      <c r="M30" s="467"/>
      <c r="N30" s="467"/>
    </row>
    <row r="31" spans="1:14" ht="13.5" customHeight="1" x14ac:dyDescent="0.2">
      <c r="A31" s="471" t="s">
        <v>651</v>
      </c>
      <c r="B31" s="469">
        <v>480</v>
      </c>
      <c r="C31" s="1912">
        <v>7106</v>
      </c>
      <c r="D31" s="1913">
        <v>0</v>
      </c>
      <c r="E31" s="1913">
        <v>0</v>
      </c>
      <c r="F31" s="1912">
        <v>0</v>
      </c>
      <c r="G31" s="1913">
        <v>0</v>
      </c>
      <c r="H31" s="1913">
        <v>0</v>
      </c>
      <c r="I31" s="1913">
        <v>0</v>
      </c>
      <c r="J31" s="1913">
        <v>0</v>
      </c>
      <c r="K31" s="1913">
        <v>0</v>
      </c>
      <c r="L31" s="467"/>
      <c r="M31" s="467"/>
      <c r="N31" s="467"/>
    </row>
    <row r="32" spans="1:14" ht="13.5" customHeight="1" x14ac:dyDescent="0.2">
      <c r="A32" s="484" t="s">
        <v>652</v>
      </c>
      <c r="B32" s="485">
        <v>490</v>
      </c>
      <c r="C32" s="1922">
        <v>0</v>
      </c>
      <c r="D32" s="1922">
        <v>0</v>
      </c>
      <c r="E32" s="1915">
        <v>0</v>
      </c>
      <c r="F32" s="1915">
        <v>0</v>
      </c>
      <c r="G32" s="1915">
        <v>0</v>
      </c>
      <c r="H32" s="1915">
        <v>0</v>
      </c>
      <c r="I32" s="1915">
        <v>0</v>
      </c>
      <c r="J32" s="1915">
        <v>0</v>
      </c>
      <c r="K32" s="1918">
        <v>0</v>
      </c>
      <c r="L32" s="467"/>
      <c r="M32" s="467"/>
      <c r="N32" s="467"/>
    </row>
    <row r="33" spans="1:14" ht="13.5" customHeight="1" x14ac:dyDescent="0.2">
      <c r="A33" s="486" t="s">
        <v>303</v>
      </c>
      <c r="B33" s="485">
        <v>493</v>
      </c>
      <c r="C33" s="1913">
        <v>0</v>
      </c>
      <c r="D33" s="1913">
        <v>0</v>
      </c>
      <c r="E33" s="1913">
        <v>0</v>
      </c>
      <c r="F33" s="1913">
        <v>0</v>
      </c>
      <c r="G33" s="1913">
        <v>0</v>
      </c>
      <c r="H33" s="1913">
        <v>0</v>
      </c>
      <c r="I33" s="1913">
        <v>0</v>
      </c>
      <c r="J33" s="1913">
        <v>0</v>
      </c>
      <c r="K33" s="1913">
        <v>0</v>
      </c>
      <c r="L33" s="1913">
        <v>8137</v>
      </c>
      <c r="M33" s="467"/>
      <c r="N33" s="468"/>
    </row>
    <row r="34" spans="1:14" ht="13.5" customHeight="1" thickBot="1" x14ac:dyDescent="0.25">
      <c r="A34" s="1711" t="s">
        <v>654</v>
      </c>
      <c r="B34" s="1712"/>
      <c r="C34" s="1713">
        <f>SUM(C25:C33)</f>
        <v>7106</v>
      </c>
      <c r="D34" s="1713">
        <f t="shared" ref="D34:K34" si="1">SUM(D25:D33)</f>
        <v>0</v>
      </c>
      <c r="E34" s="1713">
        <f t="shared" si="1"/>
        <v>0</v>
      </c>
      <c r="F34" s="1713">
        <f t="shared" si="1"/>
        <v>0</v>
      </c>
      <c r="G34" s="1713">
        <f t="shared" si="1"/>
        <v>0</v>
      </c>
      <c r="H34" s="1713">
        <f t="shared" si="1"/>
        <v>0</v>
      </c>
      <c r="I34" s="1713">
        <f t="shared" si="1"/>
        <v>0</v>
      </c>
      <c r="J34" s="1713">
        <f t="shared" si="1"/>
        <v>0</v>
      </c>
      <c r="K34" s="1713">
        <f t="shared" si="1"/>
        <v>0</v>
      </c>
      <c r="L34" s="1694">
        <f>SUM(L33)</f>
        <v>8137</v>
      </c>
      <c r="M34" s="467"/>
      <c r="N34" s="476"/>
    </row>
    <row r="35" spans="1:14" ht="18" customHeight="1" thickTop="1" x14ac:dyDescent="0.2">
      <c r="A35" s="2183" t="s">
        <v>529</v>
      </c>
      <c r="B35" s="2184"/>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0</v>
      </c>
    </row>
    <row r="37" spans="1:14" ht="13.5" thickBot="1" x14ac:dyDescent="0.25">
      <c r="A37" s="1709" t="s">
        <v>653</v>
      </c>
      <c r="B37" s="1714"/>
      <c r="C37" s="473"/>
      <c r="D37" s="473"/>
      <c r="E37" s="473"/>
      <c r="F37" s="473"/>
      <c r="G37" s="473"/>
      <c r="H37" s="473"/>
      <c r="I37" s="473"/>
      <c r="J37" s="473"/>
      <c r="K37" s="473"/>
      <c r="L37" s="476"/>
      <c r="M37" s="467"/>
      <c r="N37" s="1661">
        <f>SUM(N36:N36)</f>
        <v>0</v>
      </c>
    </row>
    <row r="38" spans="1:14" s="329" customFormat="1" ht="13.5" customHeight="1" thickTop="1" x14ac:dyDescent="0.2">
      <c r="A38" s="489" t="s">
        <v>420</v>
      </c>
      <c r="B38" s="479">
        <v>714</v>
      </c>
      <c r="C38" s="1912"/>
      <c r="D38" s="1912"/>
      <c r="E38" s="1912"/>
      <c r="F38" s="1912"/>
      <c r="G38" s="1912">
        <v>49516</v>
      </c>
      <c r="H38" s="1912"/>
      <c r="I38" s="1912"/>
      <c r="J38" s="1913"/>
      <c r="K38" s="1912"/>
      <c r="L38" s="477"/>
      <c r="M38" s="490"/>
      <c r="N38" s="490"/>
    </row>
    <row r="39" spans="1:14" s="329" customFormat="1" ht="13.5" customHeight="1" x14ac:dyDescent="0.2">
      <c r="A39" s="489" t="s">
        <v>342</v>
      </c>
      <c r="B39" s="479">
        <v>730</v>
      </c>
      <c r="C39" s="1912">
        <v>3133600</v>
      </c>
      <c r="D39" s="1912">
        <v>324454</v>
      </c>
      <c r="E39" s="1912">
        <v>1336</v>
      </c>
      <c r="F39" s="1912">
        <v>206562</v>
      </c>
      <c r="G39" s="1912">
        <v>84947</v>
      </c>
      <c r="H39" s="1912">
        <v>156685</v>
      </c>
      <c r="I39" s="1912">
        <v>438861</v>
      </c>
      <c r="J39" s="1913">
        <v>148151</v>
      </c>
      <c r="K39" s="1912">
        <v>0</v>
      </c>
      <c r="L39" s="1912">
        <v>0</v>
      </c>
      <c r="M39" s="490"/>
      <c r="N39" s="490"/>
    </row>
    <row r="40" spans="1:14" s="329" customFormat="1" ht="13.5" customHeight="1" x14ac:dyDescent="0.2">
      <c r="A40" s="491" t="s">
        <v>148</v>
      </c>
      <c r="B40" s="492"/>
      <c r="C40" s="493"/>
      <c r="D40" s="493"/>
      <c r="E40" s="493"/>
      <c r="F40" s="493"/>
      <c r="G40" s="493"/>
      <c r="H40" s="493"/>
      <c r="I40" s="493"/>
      <c r="J40" s="493"/>
      <c r="K40" s="493"/>
      <c r="L40" s="493"/>
      <c r="M40" s="1923">
        <v>15229128</v>
      </c>
      <c r="N40" s="490"/>
    </row>
    <row r="41" spans="1:14" ht="13.5" customHeight="1" thickBot="1" x14ac:dyDescent="0.25">
      <c r="A41" s="1709" t="s">
        <v>655</v>
      </c>
      <c r="B41" s="1679"/>
      <c r="C41" s="1661">
        <f>(SUM(C34,C37,C38,C39))</f>
        <v>3140706</v>
      </c>
      <c r="D41" s="1661">
        <f t="shared" ref="D41:L41" si="2">SUM(D34,D37,D38:D39)</f>
        <v>324454</v>
      </c>
      <c r="E41" s="1661">
        <f t="shared" si="2"/>
        <v>1336</v>
      </c>
      <c r="F41" s="1661">
        <f t="shared" si="2"/>
        <v>206562</v>
      </c>
      <c r="G41" s="1661">
        <f t="shared" si="2"/>
        <v>134463</v>
      </c>
      <c r="H41" s="1661">
        <f t="shared" si="2"/>
        <v>156685</v>
      </c>
      <c r="I41" s="1661">
        <f t="shared" si="2"/>
        <v>438861</v>
      </c>
      <c r="J41" s="1661">
        <f t="shared" si="2"/>
        <v>148151</v>
      </c>
      <c r="K41" s="1661">
        <f t="shared" si="2"/>
        <v>0</v>
      </c>
      <c r="L41" s="1661">
        <f t="shared" si="2"/>
        <v>8137</v>
      </c>
      <c r="M41" s="1661">
        <f>SUM(M40)</f>
        <v>15229128</v>
      </c>
      <c r="N41" s="1661">
        <f>SUM(N37)</f>
        <v>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3" activePane="bottomLeft" state="frozen"/>
      <selection activeCell="J12" sqref="J12"/>
      <selection pane="bottomLeft" activeCell="J12" sqref="J12"/>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3"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4"/>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5" t="s">
        <v>1175</v>
      </c>
      <c r="B3" s="2206"/>
      <c r="C3" s="1546"/>
      <c r="D3" s="1547"/>
      <c r="E3" s="1547"/>
      <c r="F3" s="1547"/>
      <c r="G3" s="1547"/>
      <c r="H3" s="1547"/>
      <c r="I3" s="1547"/>
      <c r="J3" s="1547"/>
      <c r="K3" s="1548"/>
      <c r="L3" s="499"/>
    </row>
    <row r="4" spans="1:13" ht="15.75" customHeight="1" x14ac:dyDescent="0.2">
      <c r="A4" s="1901" t="s">
        <v>1499</v>
      </c>
      <c r="B4" s="1902">
        <v>1000</v>
      </c>
      <c r="C4" s="1715">
        <f>'Revenues 9-14'!C109</f>
        <v>2437714</v>
      </c>
      <c r="D4" s="1715">
        <f>'Revenues 9-14'!D109</f>
        <v>339480</v>
      </c>
      <c r="E4" s="1715">
        <f>'Revenues 9-14'!E109</f>
        <v>0</v>
      </c>
      <c r="F4" s="1715">
        <f>'Revenues 9-14'!F109</f>
        <v>389729</v>
      </c>
      <c r="G4" s="1715">
        <f>'Revenues 9-14'!G109</f>
        <v>78226</v>
      </c>
      <c r="H4" s="1715">
        <f>'Revenues 9-14'!H109</f>
        <v>0</v>
      </c>
      <c r="I4" s="1715">
        <f>'Revenues 9-14'!I109</f>
        <v>14011</v>
      </c>
      <c r="J4" s="1715">
        <f>'Revenues 9-14'!J109</f>
        <v>52058</v>
      </c>
      <c r="K4" s="1715">
        <f>'Revenues 9-14'!K109</f>
        <v>0</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1643828</v>
      </c>
      <c r="D6" s="1716">
        <f>'Revenues 9-14'!D170</f>
        <v>0</v>
      </c>
      <c r="E6" s="1716">
        <f>'Revenues 9-14'!E170</f>
        <v>0</v>
      </c>
      <c r="F6" s="1716">
        <f>'Revenues 9-14'!F170</f>
        <v>315772</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402986</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4484528</v>
      </c>
      <c r="D8" s="1661">
        <f t="shared" ref="D8:K8" si="0">SUM(D4:D7)</f>
        <v>339480</v>
      </c>
      <c r="E8" s="1661">
        <f t="shared" si="0"/>
        <v>0</v>
      </c>
      <c r="F8" s="1661">
        <f t="shared" si="0"/>
        <v>705501</v>
      </c>
      <c r="G8" s="1661">
        <f t="shared" si="0"/>
        <v>78226</v>
      </c>
      <c r="H8" s="1661">
        <f t="shared" si="0"/>
        <v>0</v>
      </c>
      <c r="I8" s="1661">
        <f t="shared" si="0"/>
        <v>14011</v>
      </c>
      <c r="J8" s="1661">
        <f t="shared" si="0"/>
        <v>52058</v>
      </c>
      <c r="K8" s="1661">
        <f t="shared" si="0"/>
        <v>0</v>
      </c>
      <c r="L8" s="347"/>
    </row>
    <row r="9" spans="1:13" ht="15.75" thickTop="1" x14ac:dyDescent="0.2">
      <c r="A9" s="507" t="s">
        <v>1653</v>
      </c>
      <c r="B9" s="508">
        <v>3998</v>
      </c>
      <c r="C9" s="477">
        <v>1420688</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5905216</v>
      </c>
      <c r="D10" s="1661">
        <f t="shared" ref="D10:K10" si="1">SUM(D8:D9)</f>
        <v>339480</v>
      </c>
      <c r="E10" s="1661">
        <f t="shared" si="1"/>
        <v>0</v>
      </c>
      <c r="F10" s="1661">
        <f t="shared" si="1"/>
        <v>705501</v>
      </c>
      <c r="G10" s="1661">
        <f t="shared" si="1"/>
        <v>78226</v>
      </c>
      <c r="H10" s="1661">
        <f t="shared" si="1"/>
        <v>0</v>
      </c>
      <c r="I10" s="1661">
        <f t="shared" si="1"/>
        <v>14011</v>
      </c>
      <c r="J10" s="1661">
        <f t="shared" si="1"/>
        <v>52058</v>
      </c>
      <c r="K10" s="1661">
        <f t="shared" si="1"/>
        <v>0</v>
      </c>
      <c r="L10" s="511"/>
    </row>
    <row r="11" spans="1:13" s="512" customFormat="1" ht="16.7" customHeight="1" thickTop="1" x14ac:dyDescent="0.2">
      <c r="A11" s="2179" t="s">
        <v>1176</v>
      </c>
      <c r="B11" s="2180"/>
      <c r="C11" s="1543"/>
      <c r="D11" s="1544"/>
      <c r="E11" s="1544"/>
      <c r="F11" s="1544"/>
      <c r="G11" s="1544"/>
      <c r="H11" s="1544"/>
      <c r="I11" s="1544"/>
      <c r="J11" s="1544"/>
      <c r="K11" s="1545"/>
      <c r="L11" s="511"/>
    </row>
    <row r="12" spans="1:13" ht="15.75" customHeight="1" x14ac:dyDescent="0.2">
      <c r="A12" s="1549" t="s">
        <v>456</v>
      </c>
      <c r="B12" s="1551">
        <v>1000</v>
      </c>
      <c r="C12" s="1715">
        <f>'Expenditures 15-22'!K33</f>
        <v>2399243</v>
      </c>
      <c r="D12" s="513" t="s">
        <v>1169</v>
      </c>
      <c r="E12" s="467" t="s">
        <v>1169</v>
      </c>
      <c r="F12" s="467" t="s">
        <v>1169</v>
      </c>
      <c r="G12" s="1715">
        <f>'Expenditures 15-22'!K229</f>
        <v>38166</v>
      </c>
      <c r="H12" s="514"/>
      <c r="I12" s="467" t="s">
        <v>1169</v>
      </c>
      <c r="J12" s="467" t="s">
        <v>1169</v>
      </c>
      <c r="K12" s="514" t="s">
        <v>1169</v>
      </c>
      <c r="L12" s="347"/>
    </row>
    <row r="13" spans="1:13" ht="15.75" customHeight="1" x14ac:dyDescent="0.2">
      <c r="A13" s="1549" t="s">
        <v>457</v>
      </c>
      <c r="B13" s="1551">
        <v>2000</v>
      </c>
      <c r="C13" s="1716">
        <f>'Expenditures 15-22'!K74</f>
        <v>1471222</v>
      </c>
      <c r="D13" s="1716">
        <f>'Expenditures 15-22'!K129</f>
        <v>638535</v>
      </c>
      <c r="E13" s="468" t="s">
        <v>1169</v>
      </c>
      <c r="F13" s="1716">
        <f>'Expenditures 15-22'!K184</f>
        <v>695479</v>
      </c>
      <c r="G13" s="1716">
        <f>'Expenditures 15-22'!K279</f>
        <v>51292</v>
      </c>
      <c r="H13" s="1716">
        <f>'Expenditures 15-22'!K303</f>
        <v>1521468</v>
      </c>
      <c r="I13" s="467" t="s">
        <v>1169</v>
      </c>
      <c r="J13" s="1716">
        <f>'Expenditures 15-22'!K330</f>
        <v>56433</v>
      </c>
      <c r="K13" s="1720">
        <f>'Expenditures 15-22'!K352</f>
        <v>0</v>
      </c>
      <c r="L13" s="347"/>
    </row>
    <row r="14" spans="1:13" ht="15.75" customHeight="1" x14ac:dyDescent="0.2">
      <c r="A14" s="1549" t="s">
        <v>449</v>
      </c>
      <c r="B14" s="1551">
        <v>3000</v>
      </c>
      <c r="C14" s="1716">
        <f>'Expenditures 15-22'!K75</f>
        <v>0</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455270</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0</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4325735</v>
      </c>
      <c r="D17" s="1661">
        <f t="shared" si="2"/>
        <v>638535</v>
      </c>
      <c r="E17" s="1661">
        <f t="shared" si="2"/>
        <v>0</v>
      </c>
      <c r="F17" s="1661">
        <f t="shared" si="2"/>
        <v>695479</v>
      </c>
      <c r="G17" s="1661">
        <f t="shared" si="2"/>
        <v>89458</v>
      </c>
      <c r="H17" s="1661">
        <f t="shared" si="2"/>
        <v>1521468</v>
      </c>
      <c r="I17" s="467"/>
      <c r="J17" s="1661">
        <f>SUM(J12:J16)</f>
        <v>56433</v>
      </c>
      <c r="K17" s="1661">
        <f>SUM(K12:K16)</f>
        <v>0</v>
      </c>
      <c r="L17" s="347"/>
    </row>
    <row r="18" spans="1:12" ht="15" customHeight="1" thickTop="1" x14ac:dyDescent="0.2">
      <c r="A18" s="1717" t="s">
        <v>1654</v>
      </c>
      <c r="B18" s="1718">
        <v>4180</v>
      </c>
      <c r="C18" s="1715">
        <f t="shared" ref="C18:H18" si="3">C9</f>
        <v>1420688</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5746423</v>
      </c>
      <c r="D19" s="1661">
        <f t="shared" si="4"/>
        <v>638535</v>
      </c>
      <c r="E19" s="1661">
        <f t="shared" si="4"/>
        <v>0</v>
      </c>
      <c r="F19" s="1661">
        <f t="shared" si="4"/>
        <v>695479</v>
      </c>
      <c r="G19" s="1661">
        <f t="shared" si="4"/>
        <v>89458</v>
      </c>
      <c r="H19" s="1661">
        <f t="shared" si="4"/>
        <v>1521468</v>
      </c>
      <c r="I19" s="467"/>
      <c r="J19" s="1661">
        <f>SUM(J17:J18)</f>
        <v>56433</v>
      </c>
      <c r="K19" s="1661">
        <f>SUM(K17:K18)</f>
        <v>0</v>
      </c>
      <c r="L19" s="347"/>
    </row>
    <row r="20" spans="1:12" ht="16.5" thickTop="1" thickBot="1" x14ac:dyDescent="0.25">
      <c r="A20" s="2195" t="s">
        <v>1655</v>
      </c>
      <c r="B20" s="2196"/>
      <c r="C20" s="1719">
        <f>C8-C17</f>
        <v>158793</v>
      </c>
      <c r="D20" s="1719">
        <f t="shared" ref="D20:K20" si="5">D8-D17</f>
        <v>-299055</v>
      </c>
      <c r="E20" s="1719">
        <f t="shared" si="5"/>
        <v>0</v>
      </c>
      <c r="F20" s="1719">
        <f t="shared" si="5"/>
        <v>10022</v>
      </c>
      <c r="G20" s="1719">
        <f t="shared" si="5"/>
        <v>-11232</v>
      </c>
      <c r="H20" s="1719">
        <f t="shared" si="5"/>
        <v>-1521468</v>
      </c>
      <c r="I20" s="1719">
        <f t="shared" si="5"/>
        <v>14011</v>
      </c>
      <c r="J20" s="1719">
        <f t="shared" si="5"/>
        <v>-4375</v>
      </c>
      <c r="K20" s="1719">
        <f t="shared" si="5"/>
        <v>0</v>
      </c>
      <c r="L20" s="347"/>
    </row>
    <row r="21" spans="1:12" ht="16.7" customHeight="1" thickTop="1" x14ac:dyDescent="0.2">
      <c r="A21" s="2207" t="s">
        <v>595</v>
      </c>
      <c r="B21" s="2208"/>
      <c r="C21" s="1543"/>
      <c r="D21" s="1544"/>
      <c r="E21" s="1544"/>
      <c r="F21" s="1544"/>
      <c r="G21" s="1544"/>
      <c r="H21" s="1544"/>
      <c r="I21" s="1544"/>
      <c r="J21" s="1544"/>
      <c r="K21" s="1545"/>
      <c r="L21" s="517"/>
    </row>
    <row r="22" spans="1:12" ht="15.75" customHeight="1" collapsed="1" x14ac:dyDescent="0.2">
      <c r="A22" s="2203" t="s">
        <v>596</v>
      </c>
      <c r="B22" s="2204"/>
      <c r="C22" s="473"/>
      <c r="D22" s="473"/>
      <c r="E22" s="473"/>
      <c r="F22" s="473"/>
      <c r="G22" s="473"/>
      <c r="H22" s="473"/>
      <c r="I22" s="473"/>
      <c r="J22" s="473"/>
      <c r="K22" s="473"/>
      <c r="L22" s="347"/>
    </row>
    <row r="23" spans="1:12" s="481" customFormat="1" ht="15.75" customHeight="1" x14ac:dyDescent="0.2">
      <c r="A23" s="2199" t="s">
        <v>293</v>
      </c>
      <c r="B23" s="2200"/>
      <c r="C23" s="476"/>
      <c r="D23" s="473"/>
      <c r="E23" s="473"/>
      <c r="F23" s="473"/>
      <c r="G23" s="473"/>
      <c r="H23" s="473"/>
      <c r="I23" s="473"/>
      <c r="J23" s="473"/>
      <c r="K23" s="473"/>
      <c r="L23" s="517"/>
    </row>
    <row r="24" spans="1:12" s="481" customFormat="1" ht="13.5" customHeight="1" x14ac:dyDescent="0.2">
      <c r="A24" s="1462" t="s">
        <v>1656</v>
      </c>
      <c r="B24" s="518">
        <v>7110</v>
      </c>
      <c r="C24" s="1923"/>
      <c r="D24" s="473"/>
      <c r="E24" s="473"/>
      <c r="F24" s="473"/>
      <c r="G24" s="473"/>
      <c r="H24" s="473"/>
      <c r="I24" s="473"/>
      <c r="J24" s="473"/>
      <c r="K24" s="473"/>
      <c r="L24" s="517"/>
    </row>
    <row r="25" spans="1:12" s="481" customFormat="1" ht="13.5" customHeight="1" x14ac:dyDescent="0.2">
      <c r="A25" s="1462" t="s">
        <v>1657</v>
      </c>
      <c r="B25" s="518">
        <v>7110</v>
      </c>
      <c r="C25" s="1923">
        <v>0</v>
      </c>
      <c r="D25" s="1923">
        <v>0</v>
      </c>
      <c r="E25" s="1923">
        <v>0</v>
      </c>
      <c r="F25" s="1923">
        <v>0</v>
      </c>
      <c r="G25" s="1923">
        <v>0</v>
      </c>
      <c r="H25" s="1923">
        <v>0</v>
      </c>
      <c r="I25" s="473"/>
      <c r="J25" s="1923">
        <v>0</v>
      </c>
      <c r="K25" s="1923">
        <v>0</v>
      </c>
      <c r="L25" s="517"/>
    </row>
    <row r="26" spans="1:12" s="481" customFormat="1" ht="13.5" customHeight="1" x14ac:dyDescent="0.2">
      <c r="A26" s="1462" t="s">
        <v>184</v>
      </c>
      <c r="B26" s="479">
        <v>7120</v>
      </c>
      <c r="C26" s="1923">
        <v>0</v>
      </c>
      <c r="D26" s="1923">
        <v>0</v>
      </c>
      <c r="E26" s="1923">
        <v>0</v>
      </c>
      <c r="F26" s="1923">
        <v>0</v>
      </c>
      <c r="G26" s="1923">
        <v>0</v>
      </c>
      <c r="H26" s="1923">
        <v>0</v>
      </c>
      <c r="I26" s="473"/>
      <c r="J26" s="1923">
        <v>0</v>
      </c>
      <c r="K26" s="1923">
        <v>0</v>
      </c>
      <c r="L26" s="517"/>
    </row>
    <row r="27" spans="1:12" s="481" customFormat="1" ht="13.5" customHeight="1" x14ac:dyDescent="0.2">
      <c r="A27" s="1462" t="s">
        <v>185</v>
      </c>
      <c r="B27" s="479">
        <v>7130</v>
      </c>
      <c r="C27" s="1923">
        <v>0</v>
      </c>
      <c r="D27" s="1923">
        <v>770000</v>
      </c>
      <c r="E27" s="519"/>
      <c r="F27" s="1923">
        <v>0</v>
      </c>
      <c r="G27" s="476"/>
      <c r="H27" s="476"/>
      <c r="I27" s="476"/>
      <c r="J27" s="476"/>
      <c r="K27" s="476"/>
      <c r="L27" s="517"/>
    </row>
    <row r="28" spans="1:12" s="481" customFormat="1" ht="13.5" customHeight="1" x14ac:dyDescent="0.2">
      <c r="A28" s="1462" t="s">
        <v>1398</v>
      </c>
      <c r="B28" s="479">
        <v>7140</v>
      </c>
      <c r="C28" s="1923">
        <v>0</v>
      </c>
      <c r="D28" s="1923">
        <v>0</v>
      </c>
      <c r="E28" s="1923">
        <v>0</v>
      </c>
      <c r="F28" s="1923">
        <v>0</v>
      </c>
      <c r="G28" s="1923">
        <v>0</v>
      </c>
      <c r="H28" s="1923">
        <v>0</v>
      </c>
      <c r="I28" s="1923">
        <v>0</v>
      </c>
      <c r="J28" s="1923">
        <v>0</v>
      </c>
      <c r="K28" s="1923">
        <v>0</v>
      </c>
      <c r="L28" s="517"/>
    </row>
    <row r="29" spans="1:12" s="481" customFormat="1" ht="13.5" customHeight="1" x14ac:dyDescent="0.2">
      <c r="A29" s="1462" t="s">
        <v>294</v>
      </c>
      <c r="B29" s="479">
        <v>7150</v>
      </c>
      <c r="C29" s="472"/>
      <c r="D29" s="1923">
        <v>0</v>
      </c>
      <c r="E29" s="472"/>
      <c r="F29" s="472"/>
      <c r="G29" s="472"/>
      <c r="H29" s="472"/>
      <c r="I29" s="472"/>
      <c r="J29" s="472"/>
      <c r="K29" s="472"/>
      <c r="L29" s="517"/>
    </row>
    <row r="30" spans="1:12" s="481" customFormat="1" ht="26.25" x14ac:dyDescent="0.2">
      <c r="A30" s="1462" t="s">
        <v>1794</v>
      </c>
      <c r="B30" s="520">
        <v>7160</v>
      </c>
      <c r="C30" s="473"/>
      <c r="D30" s="1923">
        <v>0</v>
      </c>
      <c r="E30" s="473"/>
      <c r="F30" s="473"/>
      <c r="G30" s="473"/>
      <c r="H30" s="473"/>
      <c r="I30" s="473"/>
      <c r="J30" s="473"/>
      <c r="K30" s="473"/>
      <c r="L30" s="517"/>
    </row>
    <row r="31" spans="1:12" s="481" customFormat="1" ht="26.25" x14ac:dyDescent="0.2">
      <c r="A31" s="1462" t="s">
        <v>1798</v>
      </c>
      <c r="B31" s="520">
        <v>7170</v>
      </c>
      <c r="C31" s="473"/>
      <c r="D31" s="473"/>
      <c r="E31" s="1924">
        <v>0</v>
      </c>
      <c r="F31" s="473"/>
      <c r="G31" s="473"/>
      <c r="H31" s="473"/>
      <c r="I31" s="473"/>
      <c r="J31" s="473"/>
      <c r="K31" s="473"/>
      <c r="L31" s="517"/>
    </row>
    <row r="32" spans="1:12" s="481" customFormat="1" ht="15.75" customHeight="1" x14ac:dyDescent="0.2">
      <c r="A32" s="2201" t="s">
        <v>981</v>
      </c>
      <c r="B32" s="2202"/>
      <c r="C32" s="473"/>
      <c r="D32" s="473"/>
      <c r="E32" s="472"/>
      <c r="F32" s="473"/>
      <c r="G32" s="473"/>
      <c r="H32" s="473"/>
      <c r="I32" s="473"/>
      <c r="J32" s="473"/>
      <c r="K32" s="473"/>
      <c r="L32" s="517"/>
    </row>
    <row r="33" spans="1:12" s="481" customFormat="1" x14ac:dyDescent="0.2">
      <c r="A33" s="1462" t="s">
        <v>412</v>
      </c>
      <c r="B33" s="518">
        <v>7210</v>
      </c>
      <c r="C33" s="1923">
        <v>0</v>
      </c>
      <c r="D33" s="1923">
        <v>0</v>
      </c>
      <c r="E33" s="1923">
        <v>0</v>
      </c>
      <c r="F33" s="1923">
        <v>0</v>
      </c>
      <c r="G33" s="473"/>
      <c r="H33" s="1923">
        <v>0</v>
      </c>
      <c r="I33" s="1923">
        <v>0</v>
      </c>
      <c r="J33" s="1923">
        <v>0</v>
      </c>
      <c r="K33" s="1923">
        <v>0</v>
      </c>
      <c r="L33" s="517"/>
    </row>
    <row r="34" spans="1:12" s="481" customFormat="1" x14ac:dyDescent="0.2">
      <c r="A34" s="1462" t="s">
        <v>1001</v>
      </c>
      <c r="B34" s="518">
        <v>7220</v>
      </c>
      <c r="C34" s="1923">
        <v>0</v>
      </c>
      <c r="D34" s="1923">
        <v>0</v>
      </c>
      <c r="E34" s="1923">
        <v>0</v>
      </c>
      <c r="F34" s="1923">
        <v>0</v>
      </c>
      <c r="G34" s="473"/>
      <c r="H34" s="474">
        <v>0</v>
      </c>
      <c r="I34" s="474">
        <v>0</v>
      </c>
      <c r="J34" s="474">
        <v>0</v>
      </c>
      <c r="K34" s="474">
        <v>0</v>
      </c>
      <c r="L34" s="517"/>
    </row>
    <row r="35" spans="1:12" s="481" customFormat="1" x14ac:dyDescent="0.2">
      <c r="A35" s="1462" t="s">
        <v>990</v>
      </c>
      <c r="B35" s="518">
        <v>7230</v>
      </c>
      <c r="C35" s="1923">
        <v>0</v>
      </c>
      <c r="D35" s="1923">
        <v>0</v>
      </c>
      <c r="E35" s="1923">
        <v>0</v>
      </c>
      <c r="F35" s="1923">
        <v>0</v>
      </c>
      <c r="G35" s="476"/>
      <c r="H35" s="1923">
        <v>0</v>
      </c>
      <c r="I35" s="1923">
        <v>0</v>
      </c>
      <c r="J35" s="1923">
        <v>0</v>
      </c>
      <c r="K35" s="1923">
        <v>0</v>
      </c>
      <c r="L35" s="517"/>
    </row>
    <row r="36" spans="1:12" s="481" customFormat="1" ht="15" x14ac:dyDescent="0.2">
      <c r="A36" s="1462" t="s">
        <v>1658</v>
      </c>
      <c r="B36" s="518">
        <v>7300</v>
      </c>
      <c r="C36" s="1923">
        <v>0</v>
      </c>
      <c r="D36" s="1923">
        <v>0</v>
      </c>
      <c r="E36" s="1923">
        <v>0</v>
      </c>
      <c r="F36" s="1923">
        <v>0</v>
      </c>
      <c r="G36" s="1923">
        <v>0</v>
      </c>
      <c r="H36" s="1923">
        <v>0</v>
      </c>
      <c r="I36" s="472"/>
      <c r="J36" s="1923">
        <v>0</v>
      </c>
      <c r="K36" s="1923">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750000</v>
      </c>
      <c r="I41" s="473"/>
      <c r="J41" s="473"/>
      <c r="K41" s="476"/>
      <c r="L41" s="517"/>
    </row>
    <row r="42" spans="1:12" s="481" customFormat="1" ht="13.5" customHeight="1" x14ac:dyDescent="0.2">
      <c r="A42" s="1462" t="s">
        <v>641</v>
      </c>
      <c r="B42" s="479">
        <v>7900</v>
      </c>
      <c r="C42" s="1923">
        <v>0</v>
      </c>
      <c r="D42" s="1923">
        <v>0</v>
      </c>
      <c r="E42" s="1923">
        <v>0</v>
      </c>
      <c r="F42" s="1923">
        <v>0</v>
      </c>
      <c r="G42" s="1923">
        <v>0</v>
      </c>
      <c r="H42" s="1923">
        <v>0</v>
      </c>
      <c r="I42" s="476"/>
      <c r="J42" s="476"/>
      <c r="K42" s="1923">
        <v>0</v>
      </c>
      <c r="L42" s="517"/>
    </row>
    <row r="43" spans="1:12" s="481" customFormat="1" ht="13.5" customHeight="1" x14ac:dyDescent="0.2">
      <c r="A43" s="1462" t="s">
        <v>373</v>
      </c>
      <c r="B43" s="479">
        <v>7990</v>
      </c>
      <c r="C43" s="1923">
        <v>0</v>
      </c>
      <c r="D43" s="1923">
        <v>0</v>
      </c>
      <c r="E43" s="1923">
        <v>0</v>
      </c>
      <c r="F43" s="1923">
        <v>0</v>
      </c>
      <c r="G43" s="1923">
        <v>0</v>
      </c>
      <c r="H43" s="1923">
        <v>0</v>
      </c>
      <c r="I43" s="1923">
        <v>0</v>
      </c>
      <c r="J43" s="1923">
        <v>0</v>
      </c>
      <c r="K43" s="1923">
        <v>0</v>
      </c>
      <c r="L43" s="517"/>
    </row>
    <row r="44" spans="1:12" s="481" customFormat="1" ht="13.5" customHeight="1" thickBot="1" x14ac:dyDescent="0.25">
      <c r="A44" s="2209" t="s">
        <v>374</v>
      </c>
      <c r="B44" s="2210"/>
      <c r="C44" s="1676">
        <f>SUM(C24:C43)</f>
        <v>0</v>
      </c>
      <c r="D44" s="1676">
        <f t="shared" ref="D44:K44" si="6">SUM(D24:D43)</f>
        <v>770000</v>
      </c>
      <c r="E44" s="1676">
        <f t="shared" si="6"/>
        <v>0</v>
      </c>
      <c r="F44" s="1676">
        <f t="shared" si="6"/>
        <v>0</v>
      </c>
      <c r="G44" s="1676">
        <f t="shared" si="6"/>
        <v>0</v>
      </c>
      <c r="H44" s="1676">
        <f t="shared" si="6"/>
        <v>750000</v>
      </c>
      <c r="I44" s="1676">
        <f t="shared" si="6"/>
        <v>0</v>
      </c>
      <c r="J44" s="1676">
        <f t="shared" si="6"/>
        <v>0</v>
      </c>
      <c r="K44" s="1676">
        <f t="shared" si="6"/>
        <v>0</v>
      </c>
      <c r="L44" s="517"/>
    </row>
    <row r="45" spans="1:12" ht="15.75" customHeight="1" thickTop="1" x14ac:dyDescent="0.2">
      <c r="A45" s="2203" t="s">
        <v>108</v>
      </c>
      <c r="B45" s="2204"/>
      <c r="C45" s="521"/>
      <c r="D45" s="521"/>
      <c r="E45" s="521"/>
      <c r="F45" s="521"/>
      <c r="G45" s="521"/>
      <c r="H45" s="521"/>
      <c r="I45" s="521"/>
      <c r="J45" s="521"/>
      <c r="K45" s="521"/>
      <c r="L45" s="347"/>
    </row>
    <row r="46" spans="1:12" s="481" customFormat="1" ht="15.75" customHeight="1" x14ac:dyDescent="0.2">
      <c r="A46" s="2211" t="s">
        <v>109</v>
      </c>
      <c r="B46" s="2212"/>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3">
        <v>770000</v>
      </c>
      <c r="D49" s="1923">
        <v>0</v>
      </c>
      <c r="E49" s="476"/>
      <c r="F49" s="1923">
        <v>0</v>
      </c>
      <c r="G49" s="476"/>
      <c r="H49" s="476"/>
      <c r="I49" s="473"/>
      <c r="J49" s="476"/>
      <c r="K49" s="473"/>
      <c r="L49" s="517"/>
    </row>
    <row r="50" spans="1:12" s="481" customFormat="1" x14ac:dyDescent="0.2">
      <c r="A50" s="1463" t="s">
        <v>1398</v>
      </c>
      <c r="B50" s="479">
        <v>8140</v>
      </c>
      <c r="C50" s="1923">
        <v>0</v>
      </c>
      <c r="D50" s="1923">
        <v>0</v>
      </c>
      <c r="E50" s="1923">
        <v>0</v>
      </c>
      <c r="F50" s="1923">
        <v>0</v>
      </c>
      <c r="G50" s="1923">
        <v>0</v>
      </c>
      <c r="H50" s="1923">
        <v>0</v>
      </c>
      <c r="I50" s="473"/>
      <c r="J50" s="1923">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5">
        <v>0</v>
      </c>
      <c r="D54" s="1925">
        <v>0</v>
      </c>
      <c r="E54" s="473"/>
      <c r="F54" s="473"/>
      <c r="G54" s="473"/>
      <c r="H54" s="1929">
        <v>0</v>
      </c>
      <c r="I54" s="473"/>
      <c r="J54" s="473"/>
      <c r="K54" s="472"/>
      <c r="L54" s="517"/>
    </row>
    <row r="55" spans="1:12" s="481" customFormat="1" ht="14.25" thickTop="1" thickBot="1" x14ac:dyDescent="0.25">
      <c r="A55" s="1464" t="s">
        <v>693</v>
      </c>
      <c r="B55" s="479">
        <v>8420</v>
      </c>
      <c r="C55" s="1926">
        <v>0</v>
      </c>
      <c r="D55" s="1926">
        <v>0</v>
      </c>
      <c r="E55" s="473"/>
      <c r="F55" s="473"/>
      <c r="G55" s="473"/>
      <c r="H55" s="1929">
        <v>0</v>
      </c>
      <c r="I55" s="473"/>
      <c r="J55" s="473"/>
      <c r="K55" s="473"/>
      <c r="L55" s="517"/>
    </row>
    <row r="56" spans="1:12" s="481" customFormat="1" ht="14.25" thickTop="1" thickBot="1" x14ac:dyDescent="0.25">
      <c r="A56" s="1463" t="s">
        <v>581</v>
      </c>
      <c r="B56" s="479">
        <v>8430</v>
      </c>
      <c r="C56" s="1926">
        <v>0</v>
      </c>
      <c r="D56" s="1926">
        <v>0</v>
      </c>
      <c r="E56" s="473"/>
      <c r="F56" s="473"/>
      <c r="G56" s="473"/>
      <c r="H56" s="1929">
        <v>0</v>
      </c>
      <c r="I56" s="473"/>
      <c r="J56" s="473"/>
      <c r="K56" s="473"/>
      <c r="L56" s="517"/>
    </row>
    <row r="57" spans="1:12" s="481" customFormat="1" ht="14.25" thickTop="1" thickBot="1" x14ac:dyDescent="0.25">
      <c r="A57" s="1464" t="s">
        <v>578</v>
      </c>
      <c r="B57" s="479">
        <v>8440</v>
      </c>
      <c r="C57" s="1926">
        <v>0</v>
      </c>
      <c r="D57" s="1926">
        <v>0</v>
      </c>
      <c r="E57" s="473"/>
      <c r="F57" s="473"/>
      <c r="G57" s="473"/>
      <c r="H57" s="1929">
        <v>0</v>
      </c>
      <c r="I57" s="473"/>
      <c r="J57" s="473"/>
      <c r="K57" s="473"/>
      <c r="L57" s="517"/>
    </row>
    <row r="58" spans="1:12" s="481" customFormat="1" ht="14.25" thickTop="1" thickBot="1" x14ac:dyDescent="0.25">
      <c r="A58" s="1463" t="s">
        <v>579</v>
      </c>
      <c r="B58" s="479">
        <v>8510</v>
      </c>
      <c r="C58" s="1926">
        <v>0</v>
      </c>
      <c r="D58" s="1926">
        <v>0</v>
      </c>
      <c r="E58" s="473"/>
      <c r="F58" s="473"/>
      <c r="G58" s="473"/>
      <c r="H58" s="1929">
        <v>0</v>
      </c>
      <c r="I58" s="473"/>
      <c r="J58" s="473"/>
      <c r="K58" s="473"/>
      <c r="L58" s="517"/>
    </row>
    <row r="59" spans="1:12" s="481" customFormat="1" ht="14.25" thickTop="1" thickBot="1" x14ac:dyDescent="0.25">
      <c r="A59" s="1465" t="s">
        <v>694</v>
      </c>
      <c r="B59" s="479">
        <v>8520</v>
      </c>
      <c r="C59" s="1926">
        <v>0</v>
      </c>
      <c r="D59" s="1926">
        <v>0</v>
      </c>
      <c r="E59" s="473"/>
      <c r="F59" s="473"/>
      <c r="G59" s="473"/>
      <c r="H59" s="1929">
        <v>0</v>
      </c>
      <c r="I59" s="473"/>
      <c r="J59" s="473"/>
      <c r="K59" s="473"/>
      <c r="L59" s="517"/>
    </row>
    <row r="60" spans="1:12" s="481" customFormat="1" ht="14.25" thickTop="1" thickBot="1" x14ac:dyDescent="0.25">
      <c r="A60" s="1463" t="s">
        <v>580</v>
      </c>
      <c r="B60" s="479">
        <v>8530</v>
      </c>
      <c r="C60" s="1926">
        <v>0</v>
      </c>
      <c r="D60" s="1926">
        <v>0</v>
      </c>
      <c r="E60" s="473"/>
      <c r="F60" s="473"/>
      <c r="G60" s="473"/>
      <c r="H60" s="1929">
        <v>0</v>
      </c>
      <c r="I60" s="473"/>
      <c r="J60" s="473"/>
      <c r="K60" s="473"/>
      <c r="L60" s="517"/>
    </row>
    <row r="61" spans="1:12" s="481" customFormat="1" ht="14.25" thickTop="1" thickBot="1" x14ac:dyDescent="0.25">
      <c r="A61" s="1464" t="s">
        <v>743</v>
      </c>
      <c r="B61" s="479">
        <v>8540</v>
      </c>
      <c r="C61" s="1926">
        <v>0</v>
      </c>
      <c r="D61" s="1926">
        <v>0</v>
      </c>
      <c r="E61" s="473"/>
      <c r="F61" s="473"/>
      <c r="G61" s="473"/>
      <c r="H61" s="1929">
        <v>0</v>
      </c>
      <c r="I61" s="473"/>
      <c r="J61" s="473"/>
      <c r="K61" s="473"/>
      <c r="L61" s="517"/>
    </row>
    <row r="62" spans="1:12" s="481" customFormat="1" ht="13.5" customHeight="1" thickTop="1" thickBot="1" x14ac:dyDescent="0.25">
      <c r="A62" s="1463" t="s">
        <v>744</v>
      </c>
      <c r="B62" s="479">
        <v>8610</v>
      </c>
      <c r="C62" s="1926">
        <v>0</v>
      </c>
      <c r="D62" s="1926">
        <v>0</v>
      </c>
      <c r="E62" s="473"/>
      <c r="F62" s="473"/>
      <c r="G62" s="473"/>
      <c r="H62" s="473"/>
      <c r="I62" s="473"/>
      <c r="J62" s="473"/>
      <c r="K62" s="473"/>
      <c r="L62" s="517"/>
    </row>
    <row r="63" spans="1:12" s="481" customFormat="1" ht="14.25" thickTop="1" thickBot="1" x14ac:dyDescent="0.25">
      <c r="A63" s="1464" t="s">
        <v>695</v>
      </c>
      <c r="B63" s="479">
        <v>8620</v>
      </c>
      <c r="C63" s="1926">
        <v>0</v>
      </c>
      <c r="D63" s="1926">
        <v>0</v>
      </c>
      <c r="E63" s="473"/>
      <c r="F63" s="473"/>
      <c r="G63" s="473"/>
      <c r="H63" s="473"/>
      <c r="I63" s="473"/>
      <c r="J63" s="473"/>
      <c r="K63" s="473"/>
      <c r="L63" s="517"/>
    </row>
    <row r="64" spans="1:12" s="481" customFormat="1" ht="13.5" customHeight="1" thickTop="1" thickBot="1" x14ac:dyDescent="0.25">
      <c r="A64" s="1463" t="s">
        <v>745</v>
      </c>
      <c r="B64" s="479">
        <v>8630</v>
      </c>
      <c r="C64" s="1926">
        <v>0</v>
      </c>
      <c r="D64" s="1926">
        <v>0</v>
      </c>
      <c r="E64" s="473"/>
      <c r="F64" s="473"/>
      <c r="G64" s="473"/>
      <c r="H64" s="473"/>
      <c r="I64" s="473"/>
      <c r="J64" s="473"/>
      <c r="K64" s="473"/>
      <c r="L64" s="517"/>
    </row>
    <row r="65" spans="1:12" s="481" customFormat="1" ht="14.25" thickTop="1" thickBot="1" x14ac:dyDescent="0.25">
      <c r="A65" s="1464" t="s">
        <v>746</v>
      </c>
      <c r="B65" s="479">
        <v>8640</v>
      </c>
      <c r="C65" s="1926">
        <v>0</v>
      </c>
      <c r="D65" s="1926">
        <v>0</v>
      </c>
      <c r="E65" s="473"/>
      <c r="F65" s="473"/>
      <c r="G65" s="473"/>
      <c r="H65" s="473"/>
      <c r="I65" s="473"/>
      <c r="J65" s="473"/>
      <c r="K65" s="473"/>
      <c r="L65" s="517"/>
    </row>
    <row r="66" spans="1:12" s="481" customFormat="1" ht="14.25" thickTop="1" thickBot="1" x14ac:dyDescent="0.25">
      <c r="A66" s="1463" t="s">
        <v>747</v>
      </c>
      <c r="B66" s="479">
        <v>8710</v>
      </c>
      <c r="C66" s="1926">
        <v>0</v>
      </c>
      <c r="D66" s="1926">
        <v>0</v>
      </c>
      <c r="E66" s="473"/>
      <c r="F66" s="473"/>
      <c r="G66" s="473"/>
      <c r="H66" s="473"/>
      <c r="I66" s="473"/>
      <c r="J66" s="473"/>
      <c r="K66" s="473"/>
      <c r="L66" s="517"/>
    </row>
    <row r="67" spans="1:12" s="481" customFormat="1" ht="14.25" thickTop="1" thickBot="1" x14ac:dyDescent="0.25">
      <c r="A67" s="1464" t="s">
        <v>696</v>
      </c>
      <c r="B67" s="479">
        <v>8720</v>
      </c>
      <c r="C67" s="1926">
        <v>0</v>
      </c>
      <c r="D67" s="1926">
        <v>0</v>
      </c>
      <c r="E67" s="473"/>
      <c r="F67" s="473"/>
      <c r="G67" s="473"/>
      <c r="H67" s="473"/>
      <c r="I67" s="473"/>
      <c r="J67" s="473"/>
      <c r="K67" s="473"/>
      <c r="L67" s="517"/>
    </row>
    <row r="68" spans="1:12" s="481" customFormat="1" ht="14.25" thickTop="1" thickBot="1" x14ac:dyDescent="0.25">
      <c r="A68" s="1465" t="s">
        <v>748</v>
      </c>
      <c r="B68" s="479">
        <v>8730</v>
      </c>
      <c r="C68" s="1926">
        <v>0</v>
      </c>
      <c r="D68" s="1926">
        <v>0</v>
      </c>
      <c r="E68" s="473"/>
      <c r="F68" s="473"/>
      <c r="G68" s="473"/>
      <c r="H68" s="473"/>
      <c r="I68" s="473"/>
      <c r="J68" s="473"/>
      <c r="K68" s="473"/>
      <c r="L68" s="517"/>
    </row>
    <row r="69" spans="1:12" s="481" customFormat="1" ht="14.25" thickTop="1" thickBot="1" x14ac:dyDescent="0.25">
      <c r="A69" s="1464" t="s">
        <v>749</v>
      </c>
      <c r="B69" s="479">
        <v>8740</v>
      </c>
      <c r="C69" s="1926">
        <v>0</v>
      </c>
      <c r="D69" s="1926">
        <v>0</v>
      </c>
      <c r="E69" s="473"/>
      <c r="F69" s="473"/>
      <c r="G69" s="473"/>
      <c r="H69" s="473"/>
      <c r="I69" s="473"/>
      <c r="J69" s="473"/>
      <c r="K69" s="473"/>
      <c r="L69" s="517"/>
    </row>
    <row r="70" spans="1:12" s="481" customFormat="1" ht="14.25" thickTop="1" thickBot="1" x14ac:dyDescent="0.25">
      <c r="A70" s="1463" t="s">
        <v>750</v>
      </c>
      <c r="B70" s="479">
        <v>8810</v>
      </c>
      <c r="C70" s="1926">
        <v>0</v>
      </c>
      <c r="D70" s="1926">
        <v>0</v>
      </c>
      <c r="E70" s="473"/>
      <c r="F70" s="473"/>
      <c r="G70" s="473"/>
      <c r="H70" s="473"/>
      <c r="I70" s="473"/>
      <c r="J70" s="473"/>
      <c r="K70" s="473"/>
      <c r="L70" s="517"/>
    </row>
    <row r="71" spans="1:12" s="481" customFormat="1" ht="14.25" thickTop="1" thickBot="1" x14ac:dyDescent="0.25">
      <c r="A71" s="1463" t="s">
        <v>754</v>
      </c>
      <c r="B71" s="479">
        <v>8820</v>
      </c>
      <c r="C71" s="1926">
        <v>0</v>
      </c>
      <c r="D71" s="1926">
        <v>0</v>
      </c>
      <c r="E71" s="473"/>
      <c r="F71" s="473"/>
      <c r="G71" s="473"/>
      <c r="H71" s="473"/>
      <c r="I71" s="473"/>
      <c r="J71" s="473"/>
      <c r="K71" s="473"/>
      <c r="L71" s="517"/>
    </row>
    <row r="72" spans="1:12" s="481" customFormat="1" ht="14.25" thickTop="1" thickBot="1" x14ac:dyDescent="0.25">
      <c r="A72" s="1463" t="s">
        <v>751</v>
      </c>
      <c r="B72" s="479">
        <v>8830</v>
      </c>
      <c r="C72" s="1926">
        <v>0</v>
      </c>
      <c r="D72" s="1926">
        <v>0</v>
      </c>
      <c r="E72" s="473"/>
      <c r="F72" s="473"/>
      <c r="G72" s="473"/>
      <c r="H72" s="473"/>
      <c r="I72" s="473"/>
      <c r="J72" s="473"/>
      <c r="K72" s="473"/>
      <c r="L72" s="517"/>
    </row>
    <row r="73" spans="1:12" s="481" customFormat="1" ht="14.25" thickTop="1" thickBot="1" x14ac:dyDescent="0.25">
      <c r="A73" s="1463" t="s">
        <v>752</v>
      </c>
      <c r="B73" s="479">
        <v>8840</v>
      </c>
      <c r="C73" s="1926">
        <v>0</v>
      </c>
      <c r="D73" s="1926">
        <v>750000</v>
      </c>
      <c r="E73" s="473"/>
      <c r="F73" s="473"/>
      <c r="G73" s="473"/>
      <c r="H73" s="473"/>
      <c r="I73" s="473"/>
      <c r="J73" s="473"/>
      <c r="K73" s="476"/>
      <c r="L73" s="517"/>
    </row>
    <row r="74" spans="1:12" s="481" customFormat="1" ht="14.25" thickTop="1" thickBot="1" x14ac:dyDescent="0.25">
      <c r="A74" s="1463" t="s">
        <v>375</v>
      </c>
      <c r="B74" s="479">
        <v>8910</v>
      </c>
      <c r="C74" s="1926">
        <v>0</v>
      </c>
      <c r="D74" s="1926">
        <v>0</v>
      </c>
      <c r="E74" s="476"/>
      <c r="F74" s="1929">
        <v>0</v>
      </c>
      <c r="G74" s="1929">
        <v>0</v>
      </c>
      <c r="H74" s="1929">
        <v>0</v>
      </c>
      <c r="I74" s="476"/>
      <c r="J74" s="476"/>
      <c r="K74" s="1929">
        <v>0</v>
      </c>
      <c r="L74" s="517"/>
    </row>
    <row r="75" spans="1:12" s="481" customFormat="1" ht="14.25" thickTop="1" thickBot="1" x14ac:dyDescent="0.25">
      <c r="A75" s="1466" t="s">
        <v>439</v>
      </c>
      <c r="B75" s="479">
        <v>8990</v>
      </c>
      <c r="C75" s="1926">
        <v>0</v>
      </c>
      <c r="D75" s="1926">
        <v>0</v>
      </c>
      <c r="E75" s="1929">
        <v>0</v>
      </c>
      <c r="F75" s="1930">
        <v>0</v>
      </c>
      <c r="G75" s="1930">
        <v>0</v>
      </c>
      <c r="H75" s="1930">
        <v>0</v>
      </c>
      <c r="I75" s="1929">
        <v>0</v>
      </c>
      <c r="J75" s="1929">
        <v>0</v>
      </c>
      <c r="K75" s="1930">
        <v>0</v>
      </c>
      <c r="L75" s="517"/>
    </row>
    <row r="76" spans="1:12" s="481" customFormat="1" ht="14.25" thickTop="1" thickBot="1" x14ac:dyDescent="0.25">
      <c r="A76" s="2185" t="s">
        <v>440</v>
      </c>
      <c r="B76" s="2186"/>
      <c r="C76" s="1676">
        <f t="shared" ref="C76:K76" si="7">SUM(C47:C75)</f>
        <v>770000</v>
      </c>
      <c r="D76" s="1676">
        <f t="shared" si="7"/>
        <v>750000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87" t="s">
        <v>1177</v>
      </c>
      <c r="B77" s="2188"/>
      <c r="C77" s="1676">
        <f t="shared" ref="C77:K77" si="8">C44-C76</f>
        <v>-770000</v>
      </c>
      <c r="D77" s="1676">
        <f t="shared" si="8"/>
        <v>20000</v>
      </c>
      <c r="E77" s="1676">
        <f t="shared" si="8"/>
        <v>0</v>
      </c>
      <c r="F77" s="1676">
        <f t="shared" si="8"/>
        <v>0</v>
      </c>
      <c r="G77" s="1676">
        <f t="shared" si="8"/>
        <v>0</v>
      </c>
      <c r="H77" s="1676">
        <f t="shared" si="8"/>
        <v>750000</v>
      </c>
      <c r="I77" s="1676">
        <f t="shared" si="8"/>
        <v>0</v>
      </c>
      <c r="J77" s="1676">
        <f t="shared" si="8"/>
        <v>0</v>
      </c>
      <c r="K77" s="1676">
        <f t="shared" si="8"/>
        <v>0</v>
      </c>
      <c r="L77" s="347"/>
    </row>
    <row r="78" spans="1:12" ht="21.75" customHeight="1" thickTop="1" thickBot="1" x14ac:dyDescent="0.25">
      <c r="A78" s="2191" t="s">
        <v>597</v>
      </c>
      <c r="B78" s="2192"/>
      <c r="C78" s="1675">
        <f t="shared" ref="C78:K78" si="9">C20+C77</f>
        <v>-611207</v>
      </c>
      <c r="D78" s="1675">
        <f t="shared" si="9"/>
        <v>-279055</v>
      </c>
      <c r="E78" s="1675">
        <f t="shared" si="9"/>
        <v>0</v>
      </c>
      <c r="F78" s="1675">
        <f t="shared" si="9"/>
        <v>10022</v>
      </c>
      <c r="G78" s="1675">
        <f t="shared" si="9"/>
        <v>-11232</v>
      </c>
      <c r="H78" s="1675">
        <f t="shared" si="9"/>
        <v>-771468</v>
      </c>
      <c r="I78" s="1675">
        <f t="shared" si="9"/>
        <v>14011</v>
      </c>
      <c r="J78" s="1675">
        <f t="shared" si="9"/>
        <v>-4375</v>
      </c>
      <c r="K78" s="1675">
        <f t="shared" si="9"/>
        <v>0</v>
      </c>
      <c r="L78" s="524"/>
    </row>
    <row r="79" spans="1:12" ht="13.5" thickTop="1" x14ac:dyDescent="0.2">
      <c r="A79" s="1467" t="s">
        <v>1949</v>
      </c>
      <c r="B79" s="525"/>
      <c r="C79" s="474">
        <v>3744807</v>
      </c>
      <c r="D79" s="1931">
        <v>603509</v>
      </c>
      <c r="E79" s="1931">
        <v>1336</v>
      </c>
      <c r="F79" s="1931">
        <v>196540</v>
      </c>
      <c r="G79" s="1931">
        <v>145695</v>
      </c>
      <c r="H79" s="1931">
        <v>928153</v>
      </c>
      <c r="I79" s="1931">
        <v>424850</v>
      </c>
      <c r="J79" s="1931">
        <v>152526</v>
      </c>
      <c r="K79" s="1931">
        <v>0</v>
      </c>
      <c r="L79" s="347"/>
    </row>
    <row r="80" spans="1:12" x14ac:dyDescent="0.2">
      <c r="A80" s="2197" t="s">
        <v>1795</v>
      </c>
      <c r="B80" s="2198"/>
      <c r="C80" s="466"/>
      <c r="D80" s="466"/>
      <c r="E80" s="466"/>
      <c r="F80" s="466"/>
      <c r="G80" s="466"/>
      <c r="H80" s="466"/>
      <c r="I80" s="466"/>
      <c r="J80" s="466"/>
      <c r="K80" s="466"/>
      <c r="L80" s="347"/>
    </row>
    <row r="81" spans="1:12" ht="13.5" thickBot="1" x14ac:dyDescent="0.25">
      <c r="A81" s="2189" t="s">
        <v>1950</v>
      </c>
      <c r="B81" s="2190"/>
      <c r="C81" s="1661">
        <f>(SUM(C78:C80))</f>
        <v>3133600</v>
      </c>
      <c r="D81" s="1661">
        <f>SUM(D78:D80)</f>
        <v>324454</v>
      </c>
      <c r="E81" s="1661">
        <f t="shared" ref="E81:K81" si="10">SUM(E78:E80)</f>
        <v>1336</v>
      </c>
      <c r="F81" s="1661">
        <f t="shared" si="10"/>
        <v>206562</v>
      </c>
      <c r="G81" s="1661">
        <f t="shared" si="10"/>
        <v>134463</v>
      </c>
      <c r="H81" s="1661">
        <f t="shared" si="10"/>
        <v>156685</v>
      </c>
      <c r="I81" s="1661">
        <f t="shared" si="10"/>
        <v>438861</v>
      </c>
      <c r="J81" s="1661">
        <f t="shared" si="10"/>
        <v>148151</v>
      </c>
      <c r="K81" s="1661">
        <f t="shared" si="10"/>
        <v>0</v>
      </c>
      <c r="L81" s="347"/>
    </row>
    <row r="82" spans="1:12" ht="0.75" customHeight="1" thickTop="1" thickBot="1" x14ac:dyDescent="0.25">
      <c r="A82" s="526" t="s">
        <v>343</v>
      </c>
      <c r="B82" s="527"/>
      <c r="C82" s="528">
        <f>(C81-C79)</f>
        <v>-611207</v>
      </c>
      <c r="D82" s="528">
        <f t="shared" ref="D82:K82" si="11">(D81-D79)</f>
        <v>-279055</v>
      </c>
      <c r="E82" s="528">
        <f t="shared" si="11"/>
        <v>0</v>
      </c>
      <c r="F82" s="528">
        <f t="shared" si="11"/>
        <v>10022</v>
      </c>
      <c r="G82" s="528">
        <f t="shared" si="11"/>
        <v>-11232</v>
      </c>
      <c r="H82" s="528">
        <f t="shared" si="11"/>
        <v>-771468</v>
      </c>
      <c r="I82" s="528">
        <f t="shared" si="11"/>
        <v>14011</v>
      </c>
      <c r="J82" s="528">
        <f t="shared" si="11"/>
        <v>-4375</v>
      </c>
      <c r="K82" s="528">
        <f t="shared" si="11"/>
        <v>0</v>
      </c>
    </row>
    <row r="83" spans="1:12" ht="14.25" hidden="1" thickTop="1" thickBot="1" x14ac:dyDescent="0.25">
      <c r="A83" s="529" t="s">
        <v>344</v>
      </c>
      <c r="B83" s="464"/>
      <c r="C83" s="530">
        <f>C82/C81</f>
        <v>-0.19504946387541486</v>
      </c>
      <c r="D83" s="530">
        <f t="shared" ref="D83:K83" si="12">D82/D81</f>
        <v>-0.86007569640072246</v>
      </c>
      <c r="E83" s="530">
        <f t="shared" si="12"/>
        <v>0</v>
      </c>
      <c r="F83" s="530">
        <f t="shared" si="12"/>
        <v>4.8518120467462553E-2</v>
      </c>
      <c r="G83" s="530">
        <f t="shared" si="12"/>
        <v>-8.3532272818544875E-2</v>
      </c>
      <c r="H83" s="530">
        <f t="shared" si="12"/>
        <v>-4.9236876535724541</v>
      </c>
      <c r="I83" s="530">
        <f t="shared" si="12"/>
        <v>3.1925826172751734E-2</v>
      </c>
      <c r="J83" s="530">
        <f t="shared" si="12"/>
        <v>-2.9530681534380463E-2</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activeCell="N22" sqref="N22"/>
      <selection pane="bottomLeft" activeCell="C5" sqref="C5"/>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3" t="s">
        <v>1802</v>
      </c>
      <c r="B1" s="452"/>
      <c r="C1" s="453" t="s">
        <v>425</v>
      </c>
      <c r="D1" s="453" t="s">
        <v>426</v>
      </c>
      <c r="E1" s="453" t="s">
        <v>427</v>
      </c>
      <c r="F1" s="453" t="s">
        <v>428</v>
      </c>
      <c r="G1" s="453" t="s">
        <v>429</v>
      </c>
      <c r="H1" s="453" t="s">
        <v>430</v>
      </c>
      <c r="I1" s="453" t="s">
        <v>431</v>
      </c>
      <c r="J1" s="453" t="s">
        <v>432</v>
      </c>
      <c r="K1" s="453" t="s">
        <v>756</v>
      </c>
    </row>
    <row r="2" spans="1:12" ht="36" x14ac:dyDescent="0.2">
      <c r="A2" s="2194"/>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2091669</v>
      </c>
      <c r="D5" s="477">
        <v>332725</v>
      </c>
      <c r="E5" s="1927">
        <v>0</v>
      </c>
      <c r="F5" s="1935">
        <v>386893</v>
      </c>
      <c r="G5" s="1933">
        <v>25673</v>
      </c>
      <c r="H5" s="1933">
        <v>0</v>
      </c>
      <c r="I5" s="1933">
        <v>14011</v>
      </c>
      <c r="J5" s="1937">
        <v>48980</v>
      </c>
      <c r="K5" s="1936">
        <v>0</v>
      </c>
    </row>
    <row r="6" spans="1:12" ht="15" x14ac:dyDescent="0.2">
      <c r="A6" s="463" t="s">
        <v>1662</v>
      </c>
      <c r="B6" s="469">
        <v>1130</v>
      </c>
      <c r="C6" s="1927">
        <v>0</v>
      </c>
      <c r="D6" s="1927">
        <v>0</v>
      </c>
      <c r="E6" s="472"/>
      <c r="F6" s="472"/>
      <c r="G6" s="467"/>
      <c r="H6" s="467"/>
      <c r="I6" s="467"/>
      <c r="J6" s="467"/>
      <c r="K6" s="467"/>
    </row>
    <row r="7" spans="1:12" x14ac:dyDescent="0.2">
      <c r="A7" s="463" t="s">
        <v>110</v>
      </c>
      <c r="B7" s="538">
        <v>1140</v>
      </c>
      <c r="C7" s="1927">
        <v>241985</v>
      </c>
      <c r="D7" s="1927">
        <v>0</v>
      </c>
      <c r="E7" s="467"/>
      <c r="F7" s="1934">
        <v>0</v>
      </c>
      <c r="G7" s="1934">
        <v>0</v>
      </c>
      <c r="H7" s="1934">
        <v>0</v>
      </c>
      <c r="I7" s="467"/>
      <c r="J7" s="467"/>
      <c r="K7" s="467"/>
    </row>
    <row r="8" spans="1:12" x14ac:dyDescent="0.2">
      <c r="A8" s="463" t="s">
        <v>413</v>
      </c>
      <c r="B8" s="469">
        <v>1150</v>
      </c>
      <c r="C8" s="472"/>
      <c r="D8" s="472"/>
      <c r="E8" s="473"/>
      <c r="F8" s="473"/>
      <c r="G8" s="477">
        <v>50536</v>
      </c>
      <c r="H8" s="467"/>
      <c r="I8" s="467"/>
      <c r="J8" s="467"/>
      <c r="K8" s="467"/>
    </row>
    <row r="9" spans="1:12" x14ac:dyDescent="0.2">
      <c r="A9" s="471" t="s">
        <v>111</v>
      </c>
      <c r="B9" s="469">
        <v>1160</v>
      </c>
      <c r="C9" s="467"/>
      <c r="D9" s="1928">
        <v>0</v>
      </c>
      <c r="E9" s="1934">
        <v>0</v>
      </c>
      <c r="F9" s="468"/>
      <c r="G9" s="472"/>
      <c r="H9" s="1934">
        <v>0</v>
      </c>
      <c r="I9" s="467"/>
      <c r="J9" s="467"/>
      <c r="K9" s="467"/>
    </row>
    <row r="10" spans="1:12" x14ac:dyDescent="0.2">
      <c r="A10" s="471" t="s">
        <v>112</v>
      </c>
      <c r="B10" s="469">
        <v>1170</v>
      </c>
      <c r="C10" s="1928">
        <v>0</v>
      </c>
      <c r="D10" s="519"/>
      <c r="E10" s="519"/>
      <c r="F10" s="468"/>
      <c r="G10" s="467"/>
      <c r="H10" s="467"/>
      <c r="I10" s="467"/>
      <c r="J10" s="467"/>
      <c r="K10" s="467"/>
    </row>
    <row r="11" spans="1:12" x14ac:dyDescent="0.2">
      <c r="A11" s="471" t="s">
        <v>414</v>
      </c>
      <c r="B11" s="539">
        <v>1190</v>
      </c>
      <c r="C11" s="1932">
        <v>0</v>
      </c>
      <c r="D11" s="1927">
        <v>0</v>
      </c>
      <c r="E11" s="1933">
        <v>0</v>
      </c>
      <c r="F11" s="1933">
        <v>0</v>
      </c>
      <c r="G11" s="1933">
        <v>0</v>
      </c>
      <c r="H11" s="1933">
        <v>0</v>
      </c>
      <c r="I11" s="1933">
        <v>0</v>
      </c>
      <c r="J11" s="1937">
        <v>0</v>
      </c>
      <c r="K11" s="1936">
        <v>0</v>
      </c>
      <c r="L11" s="540"/>
    </row>
    <row r="12" spans="1:12" ht="12.75" customHeight="1" thickBot="1" x14ac:dyDescent="0.25">
      <c r="A12" s="1678" t="s">
        <v>29</v>
      </c>
      <c r="B12" s="1679"/>
      <c r="C12" s="1680">
        <f t="shared" ref="C12:K12" si="0">SUM(C5:C11)</f>
        <v>2333654</v>
      </c>
      <c r="D12" s="1680">
        <f t="shared" si="0"/>
        <v>332725</v>
      </c>
      <c r="E12" s="1680">
        <f t="shared" si="0"/>
        <v>0</v>
      </c>
      <c r="F12" s="1680">
        <f t="shared" si="0"/>
        <v>386893</v>
      </c>
      <c r="G12" s="1680">
        <f t="shared" si="0"/>
        <v>76209</v>
      </c>
      <c r="H12" s="1680">
        <f t="shared" si="0"/>
        <v>0</v>
      </c>
      <c r="I12" s="1680">
        <f t="shared" si="0"/>
        <v>14011</v>
      </c>
      <c r="J12" s="1680">
        <f t="shared" si="0"/>
        <v>48980</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1">
        <v>0</v>
      </c>
      <c r="D14" s="1936">
        <v>0</v>
      </c>
      <c r="E14" s="1936">
        <v>0</v>
      </c>
      <c r="F14" s="1936">
        <v>0</v>
      </c>
      <c r="G14" s="1936">
        <v>0</v>
      </c>
      <c r="H14" s="1936">
        <v>0</v>
      </c>
      <c r="I14" s="1936">
        <v>0</v>
      </c>
      <c r="J14" s="1937">
        <v>0</v>
      </c>
      <c r="K14" s="1936">
        <v>0</v>
      </c>
    </row>
    <row r="15" spans="1:12" ht="12.75" customHeight="1" x14ac:dyDescent="0.2">
      <c r="A15" s="463" t="s">
        <v>95</v>
      </c>
      <c r="B15" s="469">
        <v>1220</v>
      </c>
      <c r="C15" s="1941">
        <v>0</v>
      </c>
      <c r="D15" s="1936">
        <v>0</v>
      </c>
      <c r="E15" s="1936">
        <v>0</v>
      </c>
      <c r="F15" s="1936">
        <v>0</v>
      </c>
      <c r="G15" s="1936">
        <v>0</v>
      </c>
      <c r="H15" s="1936">
        <v>0</v>
      </c>
      <c r="I15" s="1936">
        <v>0</v>
      </c>
      <c r="J15" s="1937">
        <v>0</v>
      </c>
      <c r="K15" s="1936">
        <v>0</v>
      </c>
    </row>
    <row r="16" spans="1:12" ht="15" customHeight="1" x14ac:dyDescent="0.2">
      <c r="A16" s="463" t="s">
        <v>1663</v>
      </c>
      <c r="B16" s="538">
        <v>1230</v>
      </c>
      <c r="C16" s="1941">
        <v>30382</v>
      </c>
      <c r="D16" s="1936">
        <v>0</v>
      </c>
      <c r="E16" s="1936">
        <v>0</v>
      </c>
      <c r="F16" s="1936">
        <v>0</v>
      </c>
      <c r="G16" s="1936">
        <v>2017</v>
      </c>
      <c r="H16" s="1936">
        <v>0</v>
      </c>
      <c r="I16" s="1936">
        <v>0</v>
      </c>
      <c r="J16" s="1937">
        <v>0</v>
      </c>
      <c r="K16" s="1936">
        <v>0</v>
      </c>
    </row>
    <row r="17" spans="1:11" ht="12.75" customHeight="1" x14ac:dyDescent="0.2">
      <c r="A17" s="463" t="s">
        <v>807</v>
      </c>
      <c r="B17" s="469">
        <v>1290</v>
      </c>
      <c r="C17" s="1941">
        <v>0</v>
      </c>
      <c r="D17" s="1936">
        <v>0</v>
      </c>
      <c r="E17" s="1936">
        <v>0</v>
      </c>
      <c r="F17" s="1936">
        <v>0</v>
      </c>
      <c r="G17" s="1936">
        <v>0</v>
      </c>
      <c r="H17" s="1936">
        <v>0</v>
      </c>
      <c r="I17" s="1936">
        <v>0</v>
      </c>
      <c r="J17" s="1937">
        <v>0</v>
      </c>
      <c r="K17" s="1936">
        <v>0</v>
      </c>
    </row>
    <row r="18" spans="1:11" ht="12.75" customHeight="1" thickBot="1" x14ac:dyDescent="0.25">
      <c r="A18" s="1681" t="s">
        <v>537</v>
      </c>
      <c r="B18" s="1682"/>
      <c r="C18" s="1683">
        <f>SUM(C14:C17)</f>
        <v>30382</v>
      </c>
      <c r="D18" s="1683">
        <f t="shared" ref="D18:K18" si="1">SUM(D14:D17)</f>
        <v>0</v>
      </c>
      <c r="E18" s="1683">
        <f t="shared" si="1"/>
        <v>0</v>
      </c>
      <c r="F18" s="1683">
        <f t="shared" si="1"/>
        <v>0</v>
      </c>
      <c r="G18" s="1683">
        <f t="shared" si="1"/>
        <v>2017</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6">
        <v>0</v>
      </c>
      <c r="D20" s="467"/>
      <c r="E20" s="467"/>
      <c r="F20" s="467"/>
      <c r="G20" s="467"/>
      <c r="H20" s="467"/>
      <c r="I20" s="467"/>
      <c r="J20" s="467"/>
      <c r="K20" s="467"/>
    </row>
    <row r="21" spans="1:11" ht="12.75" customHeight="1" x14ac:dyDescent="0.2">
      <c r="A21" s="463" t="s">
        <v>832</v>
      </c>
      <c r="B21" s="469">
        <v>1312</v>
      </c>
      <c r="C21" s="1941">
        <v>0</v>
      </c>
      <c r="D21" s="467"/>
      <c r="E21" s="467"/>
      <c r="F21" s="467"/>
      <c r="G21" s="467"/>
      <c r="H21" s="467"/>
      <c r="I21" s="467"/>
      <c r="J21" s="467"/>
      <c r="K21" s="467"/>
    </row>
    <row r="22" spans="1:11" ht="12.75" customHeight="1" x14ac:dyDescent="0.2">
      <c r="A22" s="463" t="s">
        <v>1074</v>
      </c>
      <c r="B22" s="469">
        <v>1313</v>
      </c>
      <c r="C22" s="1941">
        <v>0</v>
      </c>
      <c r="D22" s="467"/>
      <c r="E22" s="467"/>
      <c r="F22" s="467"/>
      <c r="G22" s="467"/>
      <c r="H22" s="467"/>
      <c r="I22" s="467"/>
      <c r="J22" s="467"/>
      <c r="K22" s="467"/>
    </row>
    <row r="23" spans="1:11" ht="12.75" customHeight="1" x14ac:dyDescent="0.2">
      <c r="A23" s="463" t="s">
        <v>1075</v>
      </c>
      <c r="B23" s="469">
        <v>1314</v>
      </c>
      <c r="C23" s="1940">
        <v>0</v>
      </c>
      <c r="D23" s="467"/>
      <c r="E23" s="467"/>
      <c r="F23" s="467"/>
      <c r="G23" s="467"/>
      <c r="H23" s="467"/>
      <c r="I23" s="467"/>
      <c r="J23" s="467"/>
      <c r="K23" s="467"/>
    </row>
    <row r="24" spans="1:11" ht="12.75" customHeight="1" x14ac:dyDescent="0.2">
      <c r="A24" s="463" t="s">
        <v>1027</v>
      </c>
      <c r="B24" s="469">
        <v>1321</v>
      </c>
      <c r="C24" s="1941">
        <v>0</v>
      </c>
      <c r="D24" s="467"/>
      <c r="E24" s="467"/>
      <c r="F24" s="467"/>
      <c r="G24" s="467"/>
      <c r="H24" s="467"/>
      <c r="I24" s="467"/>
      <c r="J24" s="467"/>
      <c r="K24" s="467"/>
    </row>
    <row r="25" spans="1:11" ht="12.75" customHeight="1" x14ac:dyDescent="0.2">
      <c r="A25" s="463" t="s">
        <v>833</v>
      </c>
      <c r="B25" s="469">
        <v>1322</v>
      </c>
      <c r="C25" s="1941">
        <v>0</v>
      </c>
      <c r="D25" s="467"/>
      <c r="E25" s="467"/>
      <c r="F25" s="467"/>
      <c r="G25" s="467"/>
      <c r="H25" s="467"/>
      <c r="I25" s="467"/>
      <c r="J25" s="467"/>
      <c r="K25" s="467"/>
    </row>
    <row r="26" spans="1:11" ht="12.75" customHeight="1" x14ac:dyDescent="0.2">
      <c r="A26" s="463" t="s">
        <v>1101</v>
      </c>
      <c r="B26" s="469">
        <v>1323</v>
      </c>
      <c r="C26" s="1941">
        <v>0</v>
      </c>
      <c r="D26" s="467"/>
      <c r="E26" s="467"/>
      <c r="F26" s="467"/>
      <c r="G26" s="467"/>
      <c r="H26" s="467"/>
      <c r="I26" s="467"/>
      <c r="J26" s="467"/>
      <c r="K26" s="467"/>
    </row>
    <row r="27" spans="1:11" ht="12.75" customHeight="1" x14ac:dyDescent="0.2">
      <c r="A27" s="463" t="s">
        <v>1023</v>
      </c>
      <c r="B27" s="469">
        <v>1324</v>
      </c>
      <c r="C27" s="1940">
        <v>0</v>
      </c>
      <c r="D27" s="467"/>
      <c r="E27" s="467"/>
      <c r="F27" s="467"/>
      <c r="G27" s="467"/>
      <c r="H27" s="467"/>
      <c r="I27" s="467"/>
      <c r="J27" s="467"/>
      <c r="K27" s="467"/>
    </row>
    <row r="28" spans="1:11" ht="12.75" customHeight="1" x14ac:dyDescent="0.2">
      <c r="A28" s="463" t="s">
        <v>1024</v>
      </c>
      <c r="B28" s="469">
        <v>1331</v>
      </c>
      <c r="C28" s="1941">
        <v>0</v>
      </c>
      <c r="D28" s="467"/>
      <c r="E28" s="467"/>
      <c r="F28" s="467"/>
      <c r="G28" s="467"/>
      <c r="H28" s="467"/>
      <c r="I28" s="467"/>
      <c r="J28" s="467"/>
      <c r="K28" s="467"/>
    </row>
    <row r="29" spans="1:11" ht="12.75" customHeight="1" x14ac:dyDescent="0.2">
      <c r="A29" s="463" t="s">
        <v>834</v>
      </c>
      <c r="B29" s="469">
        <v>1332</v>
      </c>
      <c r="C29" s="1941">
        <v>0</v>
      </c>
      <c r="D29" s="467"/>
      <c r="E29" s="467"/>
      <c r="F29" s="467"/>
      <c r="G29" s="467"/>
      <c r="H29" s="467"/>
      <c r="I29" s="467"/>
      <c r="J29" s="467"/>
      <c r="K29" s="467"/>
    </row>
    <row r="30" spans="1:11" ht="12.75" customHeight="1" x14ac:dyDescent="0.2">
      <c r="A30" s="463" t="s">
        <v>1026</v>
      </c>
      <c r="B30" s="469">
        <v>1333</v>
      </c>
      <c r="C30" s="1941">
        <v>0</v>
      </c>
      <c r="D30" s="467"/>
      <c r="E30" s="467"/>
      <c r="F30" s="467"/>
      <c r="G30" s="467"/>
      <c r="H30" s="467"/>
      <c r="I30" s="467"/>
      <c r="J30" s="467"/>
      <c r="K30" s="467"/>
    </row>
    <row r="31" spans="1:11" ht="12.75" customHeight="1" x14ac:dyDescent="0.2">
      <c r="A31" s="463" t="s">
        <v>1025</v>
      </c>
      <c r="B31" s="469">
        <v>1334</v>
      </c>
      <c r="C31" s="1940">
        <v>0</v>
      </c>
      <c r="D31" s="467"/>
      <c r="E31" s="467"/>
      <c r="F31" s="467"/>
      <c r="G31" s="467"/>
      <c r="H31" s="467"/>
      <c r="I31" s="467"/>
      <c r="J31" s="467"/>
      <c r="K31" s="467"/>
    </row>
    <row r="32" spans="1:11" ht="12.75" customHeight="1" x14ac:dyDescent="0.2">
      <c r="A32" s="463" t="s">
        <v>494</v>
      </c>
      <c r="B32" s="469">
        <v>1341</v>
      </c>
      <c r="C32" s="1941">
        <v>0</v>
      </c>
      <c r="D32" s="467"/>
      <c r="E32" s="467"/>
      <c r="F32" s="467"/>
      <c r="G32" s="467"/>
      <c r="H32" s="467"/>
      <c r="I32" s="467"/>
      <c r="J32" s="467"/>
      <c r="K32" s="467"/>
    </row>
    <row r="33" spans="1:11" ht="12.75" customHeight="1" x14ac:dyDescent="0.2">
      <c r="A33" s="463" t="s">
        <v>835</v>
      </c>
      <c r="B33" s="469">
        <v>1342</v>
      </c>
      <c r="C33" s="1941">
        <v>0</v>
      </c>
      <c r="D33" s="467"/>
      <c r="E33" s="467"/>
      <c r="F33" s="467"/>
      <c r="G33" s="467"/>
      <c r="H33" s="467"/>
      <c r="I33" s="467"/>
      <c r="J33" s="467"/>
      <c r="K33" s="467"/>
    </row>
    <row r="34" spans="1:11" ht="12.75" customHeight="1" x14ac:dyDescent="0.2">
      <c r="A34" s="463" t="s">
        <v>495</v>
      </c>
      <c r="B34" s="469">
        <v>1343</v>
      </c>
      <c r="C34" s="1941">
        <v>0</v>
      </c>
      <c r="D34" s="467"/>
      <c r="E34" s="467"/>
      <c r="F34" s="467"/>
      <c r="G34" s="467"/>
      <c r="H34" s="467"/>
      <c r="I34" s="467"/>
      <c r="J34" s="467"/>
      <c r="K34" s="467"/>
    </row>
    <row r="35" spans="1:11" ht="12.75" customHeight="1" x14ac:dyDescent="0.2">
      <c r="A35" s="463" t="s">
        <v>493</v>
      </c>
      <c r="B35" s="469">
        <v>1344</v>
      </c>
      <c r="C35" s="1940">
        <v>0</v>
      </c>
      <c r="D35" s="467"/>
      <c r="E35" s="467"/>
      <c r="F35" s="467"/>
      <c r="G35" s="467"/>
      <c r="H35" s="467"/>
      <c r="I35" s="467"/>
      <c r="J35" s="467"/>
      <c r="K35" s="467"/>
    </row>
    <row r="36" spans="1:11" ht="12.75" customHeight="1" x14ac:dyDescent="0.2">
      <c r="A36" s="463" t="s">
        <v>831</v>
      </c>
      <c r="B36" s="469">
        <v>1351</v>
      </c>
      <c r="C36" s="1941">
        <v>0</v>
      </c>
      <c r="D36" s="467"/>
      <c r="E36" s="467"/>
      <c r="F36" s="467"/>
      <c r="G36" s="467"/>
      <c r="H36" s="467"/>
      <c r="I36" s="467"/>
      <c r="J36" s="467"/>
      <c r="K36" s="467"/>
    </row>
    <row r="37" spans="1:11" ht="12.75" customHeight="1" x14ac:dyDescent="0.2">
      <c r="A37" s="463" t="s">
        <v>836</v>
      </c>
      <c r="B37" s="469">
        <v>1352</v>
      </c>
      <c r="C37" s="1941">
        <v>0</v>
      </c>
      <c r="D37" s="467"/>
      <c r="E37" s="467"/>
      <c r="F37" s="467"/>
      <c r="G37" s="467"/>
      <c r="H37" s="467"/>
      <c r="I37" s="467"/>
      <c r="J37" s="467"/>
      <c r="K37" s="467"/>
    </row>
    <row r="38" spans="1:11" ht="12.75" customHeight="1" x14ac:dyDescent="0.2">
      <c r="A38" s="463" t="s">
        <v>593</v>
      </c>
      <c r="B38" s="469">
        <v>1353</v>
      </c>
      <c r="C38" s="1941">
        <v>0</v>
      </c>
      <c r="D38" s="467"/>
      <c r="E38" s="467"/>
      <c r="F38" s="467"/>
      <c r="G38" s="467"/>
      <c r="H38" s="467"/>
      <c r="I38" s="467"/>
      <c r="J38" s="467"/>
      <c r="K38" s="467"/>
    </row>
    <row r="39" spans="1:11" ht="12.75" customHeight="1" x14ac:dyDescent="0.2">
      <c r="A39" s="1468" t="s">
        <v>594</v>
      </c>
      <c r="B39" s="544">
        <v>1354</v>
      </c>
      <c r="C39" s="1940">
        <v>0</v>
      </c>
      <c r="D39" s="467"/>
      <c r="E39" s="467"/>
      <c r="F39" s="467"/>
      <c r="G39" s="467"/>
      <c r="H39" s="467"/>
      <c r="I39" s="467"/>
      <c r="J39" s="467"/>
      <c r="K39" s="467"/>
    </row>
    <row r="40" spans="1:11" ht="12.75" customHeight="1" thickBot="1" x14ac:dyDescent="0.25">
      <c r="A40" s="1681" t="s">
        <v>538</v>
      </c>
      <c r="B40" s="1682"/>
      <c r="C40" s="1661">
        <f>SUM(C20:C39)</f>
        <v>0</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6">
        <v>0</v>
      </c>
      <c r="G43" s="467"/>
      <c r="H43" s="467"/>
      <c r="I43" s="467"/>
      <c r="J43" s="467"/>
      <c r="K43" s="467"/>
    </row>
    <row r="44" spans="1:11" ht="12.75" customHeight="1" x14ac:dyDescent="0.2">
      <c r="A44" s="463" t="s">
        <v>384</v>
      </c>
      <c r="B44" s="469">
        <v>1413</v>
      </c>
      <c r="C44" s="467"/>
      <c r="D44" s="467"/>
      <c r="E44" s="467"/>
      <c r="F44" s="1936">
        <v>0</v>
      </c>
      <c r="G44" s="467"/>
      <c r="H44" s="467"/>
      <c r="I44" s="467"/>
      <c r="J44" s="467"/>
      <c r="K44" s="467"/>
    </row>
    <row r="45" spans="1:11" ht="12.75" customHeight="1" x14ac:dyDescent="0.2">
      <c r="A45" s="463" t="s">
        <v>240</v>
      </c>
      <c r="B45" s="469">
        <v>1415</v>
      </c>
      <c r="C45" s="467"/>
      <c r="D45" s="467"/>
      <c r="E45" s="467"/>
      <c r="F45" s="1936">
        <v>0</v>
      </c>
      <c r="G45" s="467"/>
      <c r="H45" s="467"/>
      <c r="I45" s="467"/>
      <c r="J45" s="467"/>
      <c r="K45" s="467"/>
    </row>
    <row r="46" spans="1:11" ht="12.75" customHeight="1" x14ac:dyDescent="0.2">
      <c r="A46" s="463" t="s">
        <v>1174</v>
      </c>
      <c r="B46" s="469">
        <v>1416</v>
      </c>
      <c r="C46" s="467"/>
      <c r="D46" s="467"/>
      <c r="E46" s="467"/>
      <c r="F46" s="1937">
        <v>0</v>
      </c>
      <c r="G46" s="467"/>
      <c r="H46" s="467"/>
      <c r="I46" s="467"/>
      <c r="J46" s="467"/>
      <c r="K46" s="467"/>
    </row>
    <row r="47" spans="1:11" ht="12.75" customHeight="1" x14ac:dyDescent="0.2">
      <c r="A47" s="463" t="s">
        <v>57</v>
      </c>
      <c r="B47" s="469">
        <v>1421</v>
      </c>
      <c r="C47" s="467"/>
      <c r="D47" s="467"/>
      <c r="E47" s="467"/>
      <c r="F47" s="1936">
        <v>0</v>
      </c>
      <c r="G47" s="467"/>
      <c r="H47" s="467"/>
      <c r="I47" s="467"/>
      <c r="J47" s="467"/>
      <c r="K47" s="467"/>
    </row>
    <row r="48" spans="1:11" ht="12.75" customHeight="1" x14ac:dyDescent="0.2">
      <c r="A48" s="463" t="s">
        <v>838</v>
      </c>
      <c r="B48" s="469">
        <v>1422</v>
      </c>
      <c r="C48" s="467"/>
      <c r="D48" s="467"/>
      <c r="E48" s="467"/>
      <c r="F48" s="1936">
        <v>0</v>
      </c>
      <c r="G48" s="467"/>
      <c r="H48" s="467"/>
      <c r="I48" s="467"/>
      <c r="J48" s="467"/>
      <c r="K48" s="467"/>
    </row>
    <row r="49" spans="1:11" ht="12.75" customHeight="1" x14ac:dyDescent="0.2">
      <c r="A49" s="463" t="s">
        <v>58</v>
      </c>
      <c r="B49" s="469">
        <v>1423</v>
      </c>
      <c r="C49" s="467"/>
      <c r="D49" s="467"/>
      <c r="E49" s="467"/>
      <c r="F49" s="1936">
        <v>0</v>
      </c>
      <c r="G49" s="467"/>
      <c r="H49" s="467"/>
      <c r="I49" s="467"/>
      <c r="J49" s="467"/>
      <c r="K49" s="467"/>
    </row>
    <row r="50" spans="1:11" ht="12.75" customHeight="1" x14ac:dyDescent="0.2">
      <c r="A50" s="463" t="s">
        <v>59</v>
      </c>
      <c r="B50" s="469">
        <v>1424</v>
      </c>
      <c r="C50" s="467"/>
      <c r="D50" s="467"/>
      <c r="E50" s="467"/>
      <c r="F50" s="1937">
        <v>0</v>
      </c>
      <c r="G50" s="467"/>
      <c r="H50" s="467"/>
      <c r="I50" s="467"/>
      <c r="J50" s="467"/>
      <c r="K50" s="467"/>
    </row>
    <row r="51" spans="1:11" ht="12.75" customHeight="1" x14ac:dyDescent="0.2">
      <c r="A51" s="1469" t="s">
        <v>60</v>
      </c>
      <c r="B51" s="545">
        <v>1431</v>
      </c>
      <c r="C51" s="467"/>
      <c r="D51" s="467"/>
      <c r="E51" s="467"/>
      <c r="F51" s="1936">
        <v>0</v>
      </c>
      <c r="G51" s="467"/>
      <c r="H51" s="467"/>
      <c r="I51" s="467"/>
      <c r="J51" s="467"/>
      <c r="K51" s="467"/>
    </row>
    <row r="52" spans="1:11" ht="12.75" customHeight="1" x14ac:dyDescent="0.2">
      <c r="A52" s="1469" t="s">
        <v>1106</v>
      </c>
      <c r="B52" s="545">
        <v>1432</v>
      </c>
      <c r="C52" s="467"/>
      <c r="D52" s="467"/>
      <c r="E52" s="467"/>
      <c r="F52" s="1936">
        <v>0</v>
      </c>
      <c r="G52" s="467"/>
      <c r="H52" s="467"/>
      <c r="I52" s="467"/>
      <c r="J52" s="467"/>
      <c r="K52" s="467"/>
    </row>
    <row r="53" spans="1:11" ht="12.75" customHeight="1" x14ac:dyDescent="0.2">
      <c r="A53" s="1469" t="s">
        <v>61</v>
      </c>
      <c r="B53" s="545">
        <v>1433</v>
      </c>
      <c r="C53" s="467"/>
      <c r="D53" s="467"/>
      <c r="E53" s="467"/>
      <c r="F53" s="1936">
        <v>0</v>
      </c>
      <c r="G53" s="467"/>
      <c r="H53" s="467"/>
      <c r="I53" s="467"/>
      <c r="J53" s="467"/>
      <c r="K53" s="467"/>
    </row>
    <row r="54" spans="1:11" ht="12.75" customHeight="1" x14ac:dyDescent="0.2">
      <c r="A54" s="1469" t="s">
        <v>62</v>
      </c>
      <c r="B54" s="545">
        <v>1434</v>
      </c>
      <c r="C54" s="467"/>
      <c r="D54" s="467"/>
      <c r="E54" s="467"/>
      <c r="F54" s="1937">
        <v>0</v>
      </c>
      <c r="G54" s="467"/>
      <c r="H54" s="467"/>
      <c r="I54" s="467"/>
      <c r="J54" s="467"/>
      <c r="K54" s="467"/>
    </row>
    <row r="55" spans="1:11" ht="12.75" customHeight="1" x14ac:dyDescent="0.2">
      <c r="A55" s="1469" t="s">
        <v>63</v>
      </c>
      <c r="B55" s="545">
        <v>1441</v>
      </c>
      <c r="C55" s="467"/>
      <c r="D55" s="467"/>
      <c r="E55" s="467"/>
      <c r="F55" s="1936">
        <v>0</v>
      </c>
      <c r="G55" s="467"/>
      <c r="H55" s="467"/>
      <c r="I55" s="467"/>
      <c r="J55" s="467"/>
      <c r="K55" s="467"/>
    </row>
    <row r="56" spans="1:11" ht="12.75" customHeight="1" x14ac:dyDescent="0.2">
      <c r="A56" s="1469" t="s">
        <v>1107</v>
      </c>
      <c r="B56" s="545">
        <v>1442</v>
      </c>
      <c r="C56" s="467"/>
      <c r="D56" s="467"/>
      <c r="E56" s="467"/>
      <c r="F56" s="1936">
        <v>0</v>
      </c>
      <c r="G56" s="467"/>
      <c r="H56" s="467"/>
      <c r="I56" s="467"/>
      <c r="J56" s="467"/>
      <c r="K56" s="467"/>
    </row>
    <row r="57" spans="1:11" ht="12.75" customHeight="1" x14ac:dyDescent="0.2">
      <c r="A57" s="1469" t="s">
        <v>489</v>
      </c>
      <c r="B57" s="545">
        <v>1443</v>
      </c>
      <c r="C57" s="467"/>
      <c r="D57" s="467"/>
      <c r="E57" s="467"/>
      <c r="F57" s="1936">
        <v>0</v>
      </c>
      <c r="G57" s="467"/>
      <c r="H57" s="467"/>
      <c r="I57" s="467"/>
      <c r="J57" s="467"/>
      <c r="K57" s="467"/>
    </row>
    <row r="58" spans="1:11" ht="12.75" customHeight="1" x14ac:dyDescent="0.2">
      <c r="A58" s="1469" t="s">
        <v>65</v>
      </c>
      <c r="B58" s="545">
        <v>1444</v>
      </c>
      <c r="C58" s="467"/>
      <c r="D58" s="467"/>
      <c r="E58" s="467"/>
      <c r="F58" s="1936">
        <v>0</v>
      </c>
      <c r="G58" s="467"/>
      <c r="H58" s="467"/>
      <c r="I58" s="467"/>
      <c r="J58" s="467"/>
      <c r="K58" s="467"/>
    </row>
    <row r="59" spans="1:11" ht="12.75" customHeight="1" x14ac:dyDescent="0.2">
      <c r="A59" s="1469" t="s">
        <v>878</v>
      </c>
      <c r="B59" s="545">
        <v>1451</v>
      </c>
      <c r="C59" s="467"/>
      <c r="D59" s="467"/>
      <c r="E59" s="467"/>
      <c r="F59" s="1936">
        <v>0</v>
      </c>
      <c r="G59" s="467"/>
      <c r="H59" s="467"/>
      <c r="I59" s="467"/>
      <c r="J59" s="467"/>
      <c r="K59" s="467"/>
    </row>
    <row r="60" spans="1:11" ht="12.75" customHeight="1" x14ac:dyDescent="0.2">
      <c r="A60" s="1469" t="s">
        <v>1108</v>
      </c>
      <c r="B60" s="545">
        <v>1452</v>
      </c>
      <c r="C60" s="467"/>
      <c r="D60" s="467"/>
      <c r="E60" s="467"/>
      <c r="F60" s="1936">
        <v>0</v>
      </c>
      <c r="G60" s="467"/>
      <c r="H60" s="467"/>
      <c r="I60" s="467"/>
      <c r="J60" s="467"/>
      <c r="K60" s="467"/>
    </row>
    <row r="61" spans="1:11" ht="12.75" customHeight="1" x14ac:dyDescent="0.2">
      <c r="A61" s="551" t="s">
        <v>879</v>
      </c>
      <c r="B61" s="545">
        <v>1453</v>
      </c>
      <c r="C61" s="467"/>
      <c r="D61" s="467"/>
      <c r="E61" s="467"/>
      <c r="F61" s="1936">
        <v>0</v>
      </c>
      <c r="G61" s="467"/>
      <c r="H61" s="467"/>
      <c r="I61" s="467"/>
      <c r="J61" s="467"/>
      <c r="K61" s="467"/>
    </row>
    <row r="62" spans="1:11" ht="12.75" customHeight="1" x14ac:dyDescent="0.2">
      <c r="A62" s="1470" t="s">
        <v>880</v>
      </c>
      <c r="B62" s="546">
        <v>1454</v>
      </c>
      <c r="C62" s="467"/>
      <c r="D62" s="467"/>
      <c r="E62" s="467"/>
      <c r="F62" s="1937">
        <v>0</v>
      </c>
      <c r="G62" s="467"/>
      <c r="H62" s="467"/>
      <c r="I62" s="467"/>
      <c r="J62" s="467"/>
      <c r="K62" s="467"/>
    </row>
    <row r="63" spans="1:11" ht="12.75" customHeight="1" thickBot="1" x14ac:dyDescent="0.25">
      <c r="A63" s="1681" t="s">
        <v>485</v>
      </c>
      <c r="B63" s="1682"/>
      <c r="C63" s="467"/>
      <c r="D63" s="467"/>
      <c r="E63" s="467"/>
      <c r="F63" s="1661">
        <f>SUM(F42:F62)</f>
        <v>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6">
        <v>9199</v>
      </c>
      <c r="D65" s="1936">
        <v>0</v>
      </c>
      <c r="E65" s="1936">
        <v>0</v>
      </c>
      <c r="F65" s="1937">
        <v>0</v>
      </c>
      <c r="G65" s="1936">
        <v>0</v>
      </c>
      <c r="H65" s="1936">
        <v>0</v>
      </c>
      <c r="I65" s="1936">
        <v>0</v>
      </c>
      <c r="J65" s="1937">
        <v>0</v>
      </c>
      <c r="K65" s="1936">
        <v>0</v>
      </c>
    </row>
    <row r="66" spans="1:11" ht="12.75" customHeight="1" x14ac:dyDescent="0.2">
      <c r="A66" s="463" t="s">
        <v>679</v>
      </c>
      <c r="B66" s="469">
        <v>1520</v>
      </c>
      <c r="C66" s="1936">
        <v>0</v>
      </c>
      <c r="D66" s="1936">
        <v>0</v>
      </c>
      <c r="E66" s="1936">
        <v>0</v>
      </c>
      <c r="F66" s="1936">
        <v>0</v>
      </c>
      <c r="G66" s="1936">
        <v>0</v>
      </c>
      <c r="H66" s="1936">
        <v>0</v>
      </c>
      <c r="I66" s="1936">
        <v>0</v>
      </c>
      <c r="J66" s="1937">
        <v>0</v>
      </c>
      <c r="K66" s="1936">
        <v>0</v>
      </c>
    </row>
    <row r="67" spans="1:11" ht="12.75" customHeight="1" thickBot="1" x14ac:dyDescent="0.25">
      <c r="A67" s="1681" t="s">
        <v>486</v>
      </c>
      <c r="B67" s="1682"/>
      <c r="C67" s="1661">
        <f>SUM(C65:C66)</f>
        <v>9199</v>
      </c>
      <c r="D67" s="1661">
        <f t="shared" ref="D67:K67" si="2">SUM(D65:D66)</f>
        <v>0</v>
      </c>
      <c r="E67" s="1661">
        <f t="shared" si="2"/>
        <v>0</v>
      </c>
      <c r="F67" s="1661">
        <f t="shared" si="2"/>
        <v>0</v>
      </c>
      <c r="G67" s="1661">
        <f t="shared" si="2"/>
        <v>0</v>
      </c>
      <c r="H67" s="1661">
        <f t="shared" si="2"/>
        <v>0</v>
      </c>
      <c r="I67" s="1661">
        <f t="shared" si="2"/>
        <v>0</v>
      </c>
      <c r="J67" s="1661">
        <f t="shared" si="2"/>
        <v>0</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6">
        <v>20005</v>
      </c>
      <c r="D69" s="467"/>
      <c r="E69" s="467"/>
      <c r="F69" s="467"/>
      <c r="G69" s="467"/>
      <c r="H69" s="467"/>
      <c r="I69" s="467"/>
      <c r="J69" s="467"/>
      <c r="K69" s="467"/>
    </row>
    <row r="70" spans="1:11" ht="12.75" customHeight="1" x14ac:dyDescent="0.2">
      <c r="A70" s="463" t="s">
        <v>997</v>
      </c>
      <c r="B70" s="469">
        <v>1612</v>
      </c>
      <c r="C70" s="1941">
        <v>0</v>
      </c>
      <c r="D70" s="467"/>
      <c r="E70" s="467"/>
      <c r="F70" s="467"/>
      <c r="G70" s="467"/>
      <c r="H70" s="467"/>
      <c r="I70" s="467"/>
      <c r="J70" s="467"/>
      <c r="K70" s="467"/>
    </row>
    <row r="71" spans="1:11" ht="12.75" customHeight="1" x14ac:dyDescent="0.2">
      <c r="A71" s="463" t="s">
        <v>273</v>
      </c>
      <c r="B71" s="469">
        <v>1613</v>
      </c>
      <c r="C71" s="1941">
        <v>0</v>
      </c>
      <c r="D71" s="467"/>
      <c r="E71" s="467"/>
      <c r="F71" s="467"/>
      <c r="G71" s="467"/>
      <c r="H71" s="467"/>
      <c r="I71" s="467"/>
      <c r="J71" s="467"/>
      <c r="K71" s="467"/>
    </row>
    <row r="72" spans="1:11" ht="12.75" customHeight="1" x14ac:dyDescent="0.2">
      <c r="A72" s="463" t="s">
        <v>24</v>
      </c>
      <c r="B72" s="469">
        <v>1614</v>
      </c>
      <c r="C72" s="1941">
        <v>0</v>
      </c>
      <c r="D72" s="467"/>
      <c r="E72" s="467"/>
      <c r="F72" s="467"/>
      <c r="G72" s="467"/>
      <c r="H72" s="467"/>
      <c r="I72" s="467"/>
      <c r="J72" s="467"/>
      <c r="K72" s="467"/>
    </row>
    <row r="73" spans="1:11" ht="12.75" customHeight="1" x14ac:dyDescent="0.2">
      <c r="A73" s="463" t="s">
        <v>998</v>
      </c>
      <c r="B73" s="469">
        <v>1620</v>
      </c>
      <c r="C73" s="1941">
        <v>5944</v>
      </c>
      <c r="D73" s="467"/>
      <c r="E73" s="467"/>
      <c r="F73" s="467"/>
      <c r="G73" s="467"/>
      <c r="H73" s="467"/>
      <c r="I73" s="467"/>
      <c r="J73" s="467"/>
      <c r="K73" s="467"/>
    </row>
    <row r="74" spans="1:11" ht="12.75" customHeight="1" x14ac:dyDescent="0.2">
      <c r="A74" s="463" t="s">
        <v>25</v>
      </c>
      <c r="B74" s="469">
        <v>1690</v>
      </c>
      <c r="C74" s="1941">
        <v>0</v>
      </c>
      <c r="D74" s="467"/>
      <c r="E74" s="467"/>
      <c r="F74" s="467"/>
      <c r="G74" s="467"/>
      <c r="H74" s="467"/>
      <c r="I74" s="467"/>
      <c r="J74" s="467"/>
      <c r="K74" s="467"/>
    </row>
    <row r="75" spans="1:11" ht="12.75" customHeight="1" thickBot="1" x14ac:dyDescent="0.25">
      <c r="A75" s="1681" t="s">
        <v>548</v>
      </c>
      <c r="B75" s="1682"/>
      <c r="C75" s="1661">
        <f>SUM(C69:C74)</f>
        <v>25949</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0</v>
      </c>
      <c r="D77" s="1936">
        <v>0</v>
      </c>
      <c r="E77" s="467"/>
      <c r="F77" s="467"/>
      <c r="G77" s="467"/>
      <c r="H77" s="467"/>
      <c r="I77" s="467"/>
      <c r="J77" s="467"/>
      <c r="K77" s="467"/>
    </row>
    <row r="78" spans="1:11" ht="12.75" customHeight="1" x14ac:dyDescent="0.2">
      <c r="A78" s="463" t="s">
        <v>76</v>
      </c>
      <c r="B78" s="469">
        <v>1719</v>
      </c>
      <c r="C78" s="1941">
        <v>2382</v>
      </c>
      <c r="D78" s="1936">
        <v>0</v>
      </c>
      <c r="E78" s="467"/>
      <c r="F78" s="467"/>
      <c r="G78" s="467"/>
      <c r="H78" s="467"/>
      <c r="I78" s="467"/>
      <c r="J78" s="467"/>
      <c r="K78" s="467"/>
    </row>
    <row r="79" spans="1:11" ht="12.75" customHeight="1" x14ac:dyDescent="0.2">
      <c r="A79" s="463" t="s">
        <v>550</v>
      </c>
      <c r="B79" s="469">
        <v>1720</v>
      </c>
      <c r="C79" s="1941">
        <v>2100</v>
      </c>
      <c r="D79" s="1936">
        <v>0</v>
      </c>
      <c r="E79" s="467"/>
      <c r="F79" s="467"/>
      <c r="G79" s="467"/>
      <c r="H79" s="467"/>
      <c r="I79" s="467"/>
      <c r="J79" s="467"/>
      <c r="K79" s="467"/>
    </row>
    <row r="80" spans="1:11" ht="12.75" customHeight="1" x14ac:dyDescent="0.2">
      <c r="A80" s="463" t="s">
        <v>551</v>
      </c>
      <c r="B80" s="469">
        <v>1730</v>
      </c>
      <c r="C80" s="1941">
        <v>0</v>
      </c>
      <c r="D80" s="1936">
        <v>0</v>
      </c>
      <c r="E80" s="467"/>
      <c r="F80" s="467"/>
      <c r="G80" s="467"/>
      <c r="H80" s="467"/>
      <c r="I80" s="467"/>
      <c r="J80" s="467"/>
      <c r="K80" s="467"/>
    </row>
    <row r="81" spans="1:11" ht="12.75" customHeight="1" x14ac:dyDescent="0.2">
      <c r="A81" s="463" t="s">
        <v>26</v>
      </c>
      <c r="B81" s="469">
        <v>1790</v>
      </c>
      <c r="C81" s="1941">
        <v>3465</v>
      </c>
      <c r="D81" s="1936">
        <v>0</v>
      </c>
      <c r="E81" s="467"/>
      <c r="F81" s="467"/>
      <c r="G81" s="467"/>
      <c r="H81" s="467"/>
      <c r="I81" s="467"/>
      <c r="J81" s="467"/>
      <c r="K81" s="467"/>
    </row>
    <row r="82" spans="1:11" ht="12.75" customHeight="1" thickBot="1" x14ac:dyDescent="0.25">
      <c r="A82" s="1681" t="s">
        <v>241</v>
      </c>
      <c r="B82" s="1682"/>
      <c r="C82" s="1680">
        <f>SUM(C77:C81)</f>
        <v>7947</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6">
        <v>17772</v>
      </c>
      <c r="D84" s="467"/>
      <c r="E84" s="467"/>
      <c r="F84" s="467"/>
      <c r="G84" s="467"/>
      <c r="H84" s="467"/>
      <c r="I84" s="467"/>
      <c r="J84" s="467"/>
      <c r="K84" s="467"/>
    </row>
    <row r="85" spans="1:11" ht="12.75" customHeight="1" x14ac:dyDescent="0.2">
      <c r="A85" s="463" t="s">
        <v>553</v>
      </c>
      <c r="B85" s="469">
        <v>1812</v>
      </c>
      <c r="C85" s="1941">
        <v>320</v>
      </c>
      <c r="D85" s="467"/>
      <c r="E85" s="467"/>
      <c r="F85" s="467"/>
      <c r="G85" s="467"/>
      <c r="H85" s="467"/>
      <c r="I85" s="467"/>
      <c r="J85" s="467"/>
      <c r="K85" s="467"/>
    </row>
    <row r="86" spans="1:11" ht="12.75" customHeight="1" x14ac:dyDescent="0.2">
      <c r="A86" s="463" t="s">
        <v>999</v>
      </c>
      <c r="B86" s="469">
        <v>1813</v>
      </c>
      <c r="C86" s="1941">
        <v>0</v>
      </c>
      <c r="D86" s="467"/>
      <c r="E86" s="467"/>
      <c r="F86" s="467"/>
      <c r="G86" s="467"/>
      <c r="H86" s="467"/>
      <c r="I86" s="467"/>
      <c r="J86" s="467"/>
      <c r="K86" s="467"/>
    </row>
    <row r="87" spans="1:11" ht="12.75" customHeight="1" x14ac:dyDescent="0.2">
      <c r="A87" s="463" t="s">
        <v>77</v>
      </c>
      <c r="B87" s="469">
        <v>1819</v>
      </c>
      <c r="C87" s="1941">
        <v>0</v>
      </c>
      <c r="D87" s="467"/>
      <c r="E87" s="467"/>
      <c r="F87" s="467"/>
      <c r="G87" s="467"/>
      <c r="H87" s="467"/>
      <c r="I87" s="467"/>
      <c r="J87" s="467"/>
      <c r="K87" s="467"/>
    </row>
    <row r="88" spans="1:11" ht="12.75" customHeight="1" x14ac:dyDescent="0.2">
      <c r="A88" s="463" t="s">
        <v>554</v>
      </c>
      <c r="B88" s="469">
        <v>1821</v>
      </c>
      <c r="C88" s="1941">
        <v>0</v>
      </c>
      <c r="D88" s="467"/>
      <c r="E88" s="467"/>
      <c r="F88" s="467"/>
      <c r="G88" s="467"/>
      <c r="H88" s="467"/>
      <c r="I88" s="467"/>
      <c r="J88" s="467"/>
      <c r="K88" s="467"/>
    </row>
    <row r="89" spans="1:11" ht="12.75" customHeight="1" x14ac:dyDescent="0.2">
      <c r="A89" s="463" t="s">
        <v>714</v>
      </c>
      <c r="B89" s="469">
        <v>1822</v>
      </c>
      <c r="C89" s="1941">
        <v>0</v>
      </c>
      <c r="D89" s="467"/>
      <c r="E89" s="467"/>
      <c r="F89" s="467"/>
      <c r="G89" s="467"/>
      <c r="H89" s="467"/>
      <c r="I89" s="467"/>
      <c r="J89" s="467"/>
      <c r="K89" s="467"/>
    </row>
    <row r="90" spans="1:11" ht="12.75" customHeight="1" x14ac:dyDescent="0.2">
      <c r="A90" s="463" t="s">
        <v>139</v>
      </c>
      <c r="B90" s="469">
        <v>1823</v>
      </c>
      <c r="C90" s="1941">
        <v>0</v>
      </c>
      <c r="D90" s="467"/>
      <c r="E90" s="467"/>
      <c r="F90" s="467"/>
      <c r="G90" s="467"/>
      <c r="H90" s="467"/>
      <c r="I90" s="467"/>
      <c r="J90" s="467"/>
      <c r="K90" s="467"/>
    </row>
    <row r="91" spans="1:11" ht="12.75" customHeight="1" x14ac:dyDescent="0.2">
      <c r="A91" s="463" t="s">
        <v>27</v>
      </c>
      <c r="B91" s="469">
        <v>1829</v>
      </c>
      <c r="C91" s="1941">
        <v>0</v>
      </c>
      <c r="D91" s="467"/>
      <c r="E91" s="467"/>
      <c r="F91" s="467"/>
      <c r="G91" s="467"/>
      <c r="H91" s="467"/>
      <c r="I91" s="467"/>
      <c r="J91" s="467"/>
      <c r="K91" s="467"/>
    </row>
    <row r="92" spans="1:11" ht="12.75" customHeight="1" x14ac:dyDescent="0.2">
      <c r="A92" s="463" t="s">
        <v>762</v>
      </c>
      <c r="B92" s="469">
        <v>1890</v>
      </c>
      <c r="C92" s="1941">
        <v>1398</v>
      </c>
      <c r="D92" s="467"/>
      <c r="E92" s="467"/>
      <c r="F92" s="467"/>
      <c r="G92" s="467"/>
      <c r="H92" s="467"/>
      <c r="I92" s="467"/>
      <c r="J92" s="467"/>
      <c r="K92" s="467"/>
    </row>
    <row r="93" spans="1:11" ht="12.75" customHeight="1" thickBot="1" x14ac:dyDescent="0.25">
      <c r="A93" s="1681" t="s">
        <v>243</v>
      </c>
      <c r="B93" s="1682"/>
      <c r="C93" s="1661">
        <f>SUM(C84:C92)</f>
        <v>19490</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6">
        <v>0</v>
      </c>
      <c r="D95" s="1941">
        <v>0</v>
      </c>
      <c r="E95" s="514"/>
      <c r="F95" s="514"/>
      <c r="G95" s="514"/>
      <c r="H95" s="514"/>
      <c r="I95" s="514"/>
      <c r="J95" s="514"/>
      <c r="K95" s="514"/>
    </row>
    <row r="96" spans="1:11" ht="12.75" customHeight="1" x14ac:dyDescent="0.2">
      <c r="A96" s="463" t="s">
        <v>391</v>
      </c>
      <c r="B96" s="469">
        <v>1920</v>
      </c>
      <c r="C96" s="1941">
        <v>300</v>
      </c>
      <c r="D96" s="1941">
        <v>0</v>
      </c>
      <c r="E96" s="1939">
        <v>0</v>
      </c>
      <c r="F96" s="474">
        <v>0</v>
      </c>
      <c r="G96" s="474">
        <v>0</v>
      </c>
      <c r="H96" s="474">
        <v>0</v>
      </c>
      <c r="I96" s="474">
        <v>0</v>
      </c>
      <c r="J96" s="474">
        <v>0</v>
      </c>
      <c r="K96" s="474">
        <v>0</v>
      </c>
    </row>
    <row r="97" spans="1:12" ht="12.75" customHeight="1" x14ac:dyDescent="0.2">
      <c r="A97" s="1468" t="s">
        <v>244</v>
      </c>
      <c r="B97" s="547">
        <v>1930</v>
      </c>
      <c r="C97" s="1940">
        <v>0</v>
      </c>
      <c r="D97" s="1937">
        <v>0</v>
      </c>
      <c r="E97" s="1938">
        <v>0</v>
      </c>
      <c r="F97" s="1937">
        <v>0</v>
      </c>
      <c r="G97" s="1943">
        <v>0</v>
      </c>
      <c r="H97" s="1943">
        <v>0</v>
      </c>
      <c r="I97" s="1943">
        <v>0</v>
      </c>
      <c r="J97" s="1943">
        <v>0</v>
      </c>
      <c r="K97" s="1943">
        <v>0</v>
      </c>
    </row>
    <row r="98" spans="1:12" ht="12.75" customHeight="1" x14ac:dyDescent="0.2">
      <c r="A98" s="463" t="s">
        <v>189</v>
      </c>
      <c r="B98" s="469">
        <v>1940</v>
      </c>
      <c r="C98" s="1940">
        <v>0</v>
      </c>
      <c r="D98" s="1936">
        <v>0</v>
      </c>
      <c r="E98" s="505"/>
      <c r="F98" s="1936">
        <v>0</v>
      </c>
      <c r="G98" s="505"/>
      <c r="H98" s="505"/>
      <c r="I98" s="503"/>
      <c r="J98" s="505"/>
      <c r="K98" s="505"/>
    </row>
    <row r="99" spans="1:12" ht="12.75" customHeight="1" x14ac:dyDescent="0.2">
      <c r="A99" s="463" t="s">
        <v>821</v>
      </c>
      <c r="B99" s="469">
        <v>1950</v>
      </c>
      <c r="C99" s="1940">
        <v>0</v>
      </c>
      <c r="D99" s="1936">
        <v>0</v>
      </c>
      <c r="E99" s="1936">
        <v>0</v>
      </c>
      <c r="F99" s="1936">
        <v>0</v>
      </c>
      <c r="G99" s="1942">
        <v>0</v>
      </c>
      <c r="H99" s="1942">
        <v>0</v>
      </c>
      <c r="I99" s="467"/>
      <c r="J99" s="1943">
        <v>0</v>
      </c>
      <c r="K99" s="1942">
        <v>0</v>
      </c>
    </row>
    <row r="100" spans="1:12" ht="12.75" customHeight="1" x14ac:dyDescent="0.2">
      <c r="A100" s="463" t="s">
        <v>245</v>
      </c>
      <c r="B100" s="469">
        <v>1960</v>
      </c>
      <c r="C100" s="1940">
        <v>0</v>
      </c>
      <c r="D100" s="1940">
        <v>0</v>
      </c>
      <c r="E100" s="1940">
        <v>0</v>
      </c>
      <c r="F100" s="1940">
        <v>0</v>
      </c>
      <c r="G100" s="1944">
        <v>0</v>
      </c>
      <c r="H100" s="1944">
        <v>0</v>
      </c>
      <c r="I100" s="1943">
        <v>0</v>
      </c>
      <c r="J100" s="1944">
        <v>0</v>
      </c>
      <c r="K100" s="1943">
        <v>0</v>
      </c>
    </row>
    <row r="101" spans="1:12" ht="12.75" customHeight="1" x14ac:dyDescent="0.2">
      <c r="A101" s="463" t="s">
        <v>246</v>
      </c>
      <c r="B101" s="469">
        <v>1970</v>
      </c>
      <c r="C101" s="1940">
        <v>0</v>
      </c>
      <c r="D101" s="519"/>
      <c r="E101" s="476"/>
      <c r="F101" s="519"/>
      <c r="G101" s="472"/>
      <c r="H101" s="519"/>
      <c r="I101" s="467"/>
      <c r="J101" s="472"/>
      <c r="K101" s="472"/>
    </row>
    <row r="102" spans="1:12" ht="12.75" customHeight="1" x14ac:dyDescent="0.2">
      <c r="A102" s="463" t="s">
        <v>247</v>
      </c>
      <c r="B102" s="469">
        <v>1980</v>
      </c>
      <c r="C102" s="1940">
        <v>0</v>
      </c>
      <c r="D102" s="1940">
        <v>0</v>
      </c>
      <c r="E102" s="1940">
        <v>0</v>
      </c>
      <c r="F102" s="1944">
        <v>0</v>
      </c>
      <c r="G102" s="1944">
        <v>0</v>
      </c>
      <c r="H102" s="1944">
        <v>0</v>
      </c>
      <c r="I102" s="1943">
        <v>0</v>
      </c>
      <c r="J102" s="1944">
        <v>0</v>
      </c>
      <c r="K102" s="1943">
        <v>0</v>
      </c>
    </row>
    <row r="103" spans="1:12" ht="12.75" customHeight="1" x14ac:dyDescent="0.2">
      <c r="A103" s="463" t="s">
        <v>345</v>
      </c>
      <c r="B103" s="469">
        <v>1983</v>
      </c>
      <c r="C103" s="467"/>
      <c r="D103" s="467"/>
      <c r="E103" s="548">
        <v>0</v>
      </c>
      <c r="F103" s="467"/>
      <c r="G103" s="467"/>
      <c r="H103" s="1944">
        <v>0</v>
      </c>
      <c r="I103" s="467"/>
      <c r="J103" s="503"/>
      <c r="K103" s="503"/>
    </row>
    <row r="104" spans="1:12" ht="12.75" customHeight="1" x14ac:dyDescent="0.2">
      <c r="A104" s="463" t="s">
        <v>830</v>
      </c>
      <c r="B104" s="469">
        <v>1991</v>
      </c>
      <c r="C104" s="1940">
        <v>0</v>
      </c>
      <c r="D104" s="1936">
        <v>0</v>
      </c>
      <c r="E104" s="477">
        <v>0</v>
      </c>
      <c r="F104" s="1943">
        <v>0</v>
      </c>
      <c r="G104" s="1943">
        <v>0</v>
      </c>
      <c r="H104" s="1942">
        <v>0</v>
      </c>
      <c r="I104" s="467"/>
      <c r="J104" s="467"/>
      <c r="K104" s="467"/>
    </row>
    <row r="105" spans="1:12" ht="12.75" customHeight="1" x14ac:dyDescent="0.2">
      <c r="A105" s="463" t="s">
        <v>822</v>
      </c>
      <c r="B105" s="469">
        <v>1992</v>
      </c>
      <c r="C105" s="1936">
        <v>0</v>
      </c>
      <c r="D105" s="549"/>
      <c r="E105" s="467"/>
      <c r="F105" s="467"/>
      <c r="G105" s="467"/>
      <c r="H105" s="503"/>
      <c r="I105" s="467"/>
      <c r="J105" s="467"/>
      <c r="K105" s="467"/>
    </row>
    <row r="106" spans="1:12" ht="12.75" customHeight="1" x14ac:dyDescent="0.2">
      <c r="A106" s="463" t="s">
        <v>1430</v>
      </c>
      <c r="B106" s="469">
        <v>1993</v>
      </c>
      <c r="C106" s="1936">
        <v>0</v>
      </c>
      <c r="D106" s="1940">
        <v>0</v>
      </c>
      <c r="E106" s="1937">
        <v>0</v>
      </c>
      <c r="F106" s="1943">
        <v>0</v>
      </c>
      <c r="G106" s="1943">
        <v>0</v>
      </c>
      <c r="H106" s="1943">
        <v>0</v>
      </c>
      <c r="I106" s="514"/>
      <c r="J106" s="1943">
        <v>0</v>
      </c>
      <c r="K106" s="1943">
        <v>0</v>
      </c>
    </row>
    <row r="107" spans="1:12" ht="12.75" customHeight="1" x14ac:dyDescent="0.2">
      <c r="A107" s="463" t="s">
        <v>78</v>
      </c>
      <c r="B107" s="469">
        <v>1999</v>
      </c>
      <c r="C107" s="1941">
        <v>10793</v>
      </c>
      <c r="D107" s="1936">
        <v>6755</v>
      </c>
      <c r="E107" s="1936">
        <v>0</v>
      </c>
      <c r="F107" s="1942">
        <v>2836</v>
      </c>
      <c r="G107" s="1942">
        <v>0</v>
      </c>
      <c r="H107" s="1942">
        <v>0</v>
      </c>
      <c r="I107" s="1942">
        <v>0</v>
      </c>
      <c r="J107" s="1943">
        <v>3078</v>
      </c>
      <c r="K107" s="1942">
        <v>0</v>
      </c>
    </row>
    <row r="108" spans="1:12" ht="12.75" customHeight="1" thickBot="1" x14ac:dyDescent="0.25">
      <c r="A108" s="1681" t="s">
        <v>487</v>
      </c>
      <c r="B108" s="1685"/>
      <c r="C108" s="1680">
        <f>SUM(C95:C107)</f>
        <v>11093</v>
      </c>
      <c r="D108" s="1680">
        <f t="shared" ref="D108:K108" si="3">SUM(D95:D107)</f>
        <v>6755</v>
      </c>
      <c r="E108" s="1680">
        <f t="shared" si="3"/>
        <v>0</v>
      </c>
      <c r="F108" s="1680">
        <f t="shared" si="3"/>
        <v>2836</v>
      </c>
      <c r="G108" s="1680">
        <f t="shared" si="3"/>
        <v>0</v>
      </c>
      <c r="H108" s="1680">
        <f t="shared" si="3"/>
        <v>0</v>
      </c>
      <c r="I108" s="1680">
        <f t="shared" si="3"/>
        <v>0</v>
      </c>
      <c r="J108" s="1680">
        <f t="shared" si="3"/>
        <v>3078</v>
      </c>
      <c r="K108" s="1661">
        <f t="shared" si="3"/>
        <v>0</v>
      </c>
    </row>
    <row r="109" spans="1:12" ht="14.25" thickTop="1" thickBot="1" x14ac:dyDescent="0.25">
      <c r="A109" s="1686" t="s">
        <v>248</v>
      </c>
      <c r="B109" s="1687" t="s">
        <v>570</v>
      </c>
      <c r="C109" s="1688">
        <f t="shared" ref="C109:K109" si="4">SUM(C12,C18,C40,C63,C67,C75,C82,C93,C108,)</f>
        <v>2437714</v>
      </c>
      <c r="D109" s="1688">
        <f t="shared" si="4"/>
        <v>339480</v>
      </c>
      <c r="E109" s="1688">
        <f t="shared" si="4"/>
        <v>0</v>
      </c>
      <c r="F109" s="1688">
        <f t="shared" si="4"/>
        <v>389729</v>
      </c>
      <c r="G109" s="1688">
        <f t="shared" si="4"/>
        <v>78226</v>
      </c>
      <c r="H109" s="1688">
        <f t="shared" si="4"/>
        <v>0</v>
      </c>
      <c r="I109" s="1688">
        <f t="shared" si="4"/>
        <v>14011</v>
      </c>
      <c r="J109" s="1688">
        <f t="shared" si="4"/>
        <v>52058</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5">
        <v>0</v>
      </c>
      <c r="D112" s="1942">
        <v>0</v>
      </c>
      <c r="E112" s="549"/>
      <c r="F112" s="1942">
        <v>0</v>
      </c>
      <c r="G112" s="1942">
        <v>0</v>
      </c>
      <c r="H112" s="549"/>
      <c r="I112" s="467"/>
      <c r="J112" s="467"/>
      <c r="K112" s="467"/>
      <c r="L112" s="540"/>
    </row>
    <row r="113" spans="1:11" ht="12.75" customHeight="1" x14ac:dyDescent="0.2">
      <c r="A113" s="463" t="s">
        <v>28</v>
      </c>
      <c r="B113" s="469">
        <v>2300</v>
      </c>
      <c r="C113" s="1945">
        <v>0</v>
      </c>
      <c r="D113" s="1942">
        <v>0</v>
      </c>
      <c r="E113" s="549"/>
      <c r="F113" s="1942">
        <v>0</v>
      </c>
      <c r="G113" s="1942">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1434213</v>
      </c>
      <c r="D117" s="477">
        <v>0</v>
      </c>
      <c r="E117" s="1942">
        <v>0</v>
      </c>
      <c r="F117" s="477">
        <v>0</v>
      </c>
      <c r="G117" s="477">
        <v>0</v>
      </c>
      <c r="H117" s="1942">
        <v>0</v>
      </c>
      <c r="I117" s="467"/>
      <c r="J117" s="1943">
        <v>0</v>
      </c>
      <c r="K117" s="1942">
        <v>0</v>
      </c>
    </row>
    <row r="118" spans="1:11" ht="12.75" customHeight="1" x14ac:dyDescent="0.2">
      <c r="A118" s="463" t="s">
        <v>1799</v>
      </c>
      <c r="B118" s="550">
        <v>3002</v>
      </c>
      <c r="C118" s="1945">
        <v>0</v>
      </c>
      <c r="D118" s="1942">
        <v>0</v>
      </c>
      <c r="E118" s="1942">
        <v>0</v>
      </c>
      <c r="F118" s="1942">
        <v>0</v>
      </c>
      <c r="G118" s="1942">
        <v>0</v>
      </c>
      <c r="H118" s="1942">
        <v>0</v>
      </c>
      <c r="I118" s="467"/>
      <c r="J118" s="1943">
        <v>0</v>
      </c>
      <c r="K118" s="1942">
        <v>0</v>
      </c>
    </row>
    <row r="119" spans="1:11" ht="12.75" customHeight="1" x14ac:dyDescent="0.2">
      <c r="A119" s="463" t="s">
        <v>1800</v>
      </c>
      <c r="B119" s="550">
        <v>3005</v>
      </c>
      <c r="C119" s="1945">
        <v>0</v>
      </c>
      <c r="D119" s="1942">
        <v>0</v>
      </c>
      <c r="E119" s="1942">
        <v>0</v>
      </c>
      <c r="F119" s="1942">
        <v>0</v>
      </c>
      <c r="G119" s="1942">
        <v>0</v>
      </c>
      <c r="H119" s="1942">
        <v>0</v>
      </c>
      <c r="I119" s="467"/>
      <c r="J119" s="1943">
        <v>0</v>
      </c>
      <c r="K119" s="1942">
        <v>0</v>
      </c>
    </row>
    <row r="120" spans="1:11" ht="12.75" customHeight="1" x14ac:dyDescent="0.2">
      <c r="A120" s="1904" t="s">
        <v>1936</v>
      </c>
      <c r="B120" s="550">
        <v>3030</v>
      </c>
      <c r="C120" s="1945">
        <v>0</v>
      </c>
      <c r="D120" s="1942">
        <v>0</v>
      </c>
      <c r="E120" s="1942">
        <v>0</v>
      </c>
      <c r="F120" s="1942">
        <v>0</v>
      </c>
      <c r="G120" s="1942">
        <v>0</v>
      </c>
      <c r="H120" s="1942">
        <v>0</v>
      </c>
      <c r="I120" s="467"/>
      <c r="J120" s="466">
        <v>0</v>
      </c>
      <c r="K120" s="465">
        <v>0</v>
      </c>
    </row>
    <row r="121" spans="1:11" x14ac:dyDescent="0.2">
      <c r="A121" s="1469" t="s">
        <v>1801</v>
      </c>
      <c r="B121" s="552">
        <v>3099</v>
      </c>
      <c r="C121" s="1945">
        <v>0</v>
      </c>
      <c r="D121" s="1942">
        <v>0</v>
      </c>
      <c r="E121" s="1942">
        <v>0</v>
      </c>
      <c r="F121" s="1942">
        <v>0</v>
      </c>
      <c r="G121" s="1942">
        <v>0</v>
      </c>
      <c r="H121" s="1942">
        <v>0</v>
      </c>
      <c r="I121" s="467"/>
      <c r="J121" s="1943">
        <v>0</v>
      </c>
      <c r="K121" s="1942">
        <v>0</v>
      </c>
    </row>
    <row r="122" spans="1:11" ht="12.6" customHeight="1" thickBot="1" x14ac:dyDescent="0.25">
      <c r="A122" s="1681" t="s">
        <v>488</v>
      </c>
      <c r="B122" s="1692"/>
      <c r="C122" s="1680">
        <f t="shared" ref="C122:H122" si="5">SUM(C117:C121)</f>
        <v>1434213</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68986</v>
      </c>
      <c r="D125" s="549"/>
      <c r="E125" s="467"/>
      <c r="F125" s="1954">
        <v>0</v>
      </c>
      <c r="G125" s="467"/>
      <c r="H125" s="467"/>
      <c r="I125" s="467"/>
      <c r="J125" s="467"/>
      <c r="K125" s="467"/>
    </row>
    <row r="126" spans="1:11" ht="12.75" customHeight="1" x14ac:dyDescent="0.2">
      <c r="A126" s="463" t="s">
        <v>1446</v>
      </c>
      <c r="B126" s="550">
        <v>3105</v>
      </c>
      <c r="C126" s="1942">
        <v>0</v>
      </c>
      <c r="D126" s="549"/>
      <c r="E126" s="467"/>
      <c r="F126" s="1946">
        <v>0</v>
      </c>
      <c r="G126" s="467"/>
      <c r="H126" s="467"/>
      <c r="I126" s="467"/>
      <c r="J126" s="467"/>
      <c r="K126" s="467"/>
    </row>
    <row r="127" spans="1:11" ht="12.75" customHeight="1" x14ac:dyDescent="0.2">
      <c r="A127" s="463" t="s">
        <v>867</v>
      </c>
      <c r="B127" s="550">
        <v>3110</v>
      </c>
      <c r="C127" s="1945">
        <v>0</v>
      </c>
      <c r="D127" s="1946">
        <v>0</v>
      </c>
      <c r="E127" s="467"/>
      <c r="F127" s="1946">
        <v>0</v>
      </c>
      <c r="G127" s="467"/>
      <c r="H127" s="467"/>
      <c r="I127" s="467"/>
      <c r="J127" s="467"/>
      <c r="K127" s="467"/>
    </row>
    <row r="128" spans="1:11" ht="12.75" customHeight="1" x14ac:dyDescent="0.2">
      <c r="A128" s="463" t="s">
        <v>105</v>
      </c>
      <c r="B128" s="550">
        <v>3120</v>
      </c>
      <c r="C128" s="1942">
        <v>600</v>
      </c>
      <c r="D128" s="549"/>
      <c r="E128" s="467"/>
      <c r="F128" s="1946">
        <v>0</v>
      </c>
      <c r="G128" s="467"/>
      <c r="H128" s="467"/>
      <c r="I128" s="467"/>
      <c r="J128" s="467"/>
      <c r="K128" s="467"/>
    </row>
    <row r="129" spans="1:11" ht="12.75" customHeight="1" x14ac:dyDescent="0.2">
      <c r="A129" s="463" t="s">
        <v>1447</v>
      </c>
      <c r="B129" s="550">
        <v>3130</v>
      </c>
      <c r="C129" s="1942">
        <v>0</v>
      </c>
      <c r="D129" s="549"/>
      <c r="E129" s="467"/>
      <c r="F129" s="1946">
        <v>0</v>
      </c>
      <c r="G129" s="467"/>
      <c r="H129" s="467"/>
      <c r="I129" s="467"/>
      <c r="J129" s="467"/>
      <c r="K129" s="467"/>
    </row>
    <row r="130" spans="1:11" ht="12.75" customHeight="1" x14ac:dyDescent="0.2">
      <c r="A130" s="463" t="s">
        <v>137</v>
      </c>
      <c r="B130" s="550">
        <v>3145</v>
      </c>
      <c r="C130" s="1942">
        <v>0</v>
      </c>
      <c r="D130" s="549"/>
      <c r="E130" s="467"/>
      <c r="F130" s="1946">
        <v>0</v>
      </c>
      <c r="G130" s="467"/>
      <c r="H130" s="467"/>
      <c r="I130" s="467"/>
      <c r="J130" s="467"/>
      <c r="K130" s="467"/>
    </row>
    <row r="131" spans="1:11" ht="12.75" customHeight="1" x14ac:dyDescent="0.2">
      <c r="A131" s="463" t="s">
        <v>66</v>
      </c>
      <c r="B131" s="550">
        <v>3199</v>
      </c>
      <c r="C131" s="1945">
        <v>0</v>
      </c>
      <c r="D131" s="1947">
        <v>0</v>
      </c>
      <c r="E131" s="467"/>
      <c r="F131" s="1946">
        <v>0</v>
      </c>
      <c r="G131" s="467"/>
      <c r="H131" s="467"/>
      <c r="I131" s="467"/>
      <c r="J131" s="467"/>
      <c r="K131" s="467"/>
    </row>
    <row r="132" spans="1:11" ht="12.75" customHeight="1" thickBot="1" x14ac:dyDescent="0.25">
      <c r="A132" s="1681" t="s">
        <v>1032</v>
      </c>
      <c r="B132" s="1693"/>
      <c r="C132" s="1680">
        <f>SUM(C125:C131)</f>
        <v>69586</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5">
        <v>0</v>
      </c>
      <c r="D134" s="1946">
        <v>0</v>
      </c>
      <c r="E134" s="549"/>
      <c r="F134" s="467"/>
      <c r="G134" s="1946">
        <v>0</v>
      </c>
      <c r="H134" s="467"/>
      <c r="I134" s="467"/>
      <c r="J134" s="467"/>
      <c r="K134" s="467"/>
    </row>
    <row r="135" spans="1:11" ht="12.75" customHeight="1" x14ac:dyDescent="0.2">
      <c r="A135" s="463" t="s">
        <v>669</v>
      </c>
      <c r="B135" s="550">
        <v>3220</v>
      </c>
      <c r="C135" s="1955">
        <v>0</v>
      </c>
      <c r="D135" s="1946">
        <v>0</v>
      </c>
      <c r="E135" s="549"/>
      <c r="F135" s="467"/>
      <c r="G135" s="1947">
        <v>0</v>
      </c>
      <c r="H135" s="467"/>
      <c r="I135" s="467"/>
      <c r="J135" s="467"/>
      <c r="K135" s="467"/>
    </row>
    <row r="136" spans="1:11" ht="12.75" customHeight="1" x14ac:dyDescent="0.2">
      <c r="A136" s="463" t="s">
        <v>249</v>
      </c>
      <c r="B136" s="550">
        <v>3225</v>
      </c>
      <c r="C136" s="1955">
        <v>0</v>
      </c>
      <c r="D136" s="1946">
        <v>0</v>
      </c>
      <c r="E136" s="549"/>
      <c r="F136" s="467"/>
      <c r="G136" s="1947">
        <v>0</v>
      </c>
      <c r="H136" s="467"/>
      <c r="I136" s="467"/>
      <c r="J136" s="467"/>
      <c r="K136" s="467"/>
    </row>
    <row r="137" spans="1:11" ht="12.75" customHeight="1" x14ac:dyDescent="0.2">
      <c r="A137" s="463" t="s">
        <v>600</v>
      </c>
      <c r="B137" s="550">
        <v>3235</v>
      </c>
      <c r="C137" s="1950">
        <v>0</v>
      </c>
      <c r="D137" s="1947">
        <v>0</v>
      </c>
      <c r="E137" s="549"/>
      <c r="F137" s="467"/>
      <c r="G137" s="1947">
        <v>0</v>
      </c>
      <c r="H137" s="467"/>
      <c r="I137" s="467"/>
      <c r="J137" s="467"/>
      <c r="K137" s="467"/>
    </row>
    <row r="138" spans="1:11" ht="12.75" customHeight="1" x14ac:dyDescent="0.2">
      <c r="A138" s="463" t="s">
        <v>601</v>
      </c>
      <c r="B138" s="550">
        <v>3240</v>
      </c>
      <c r="C138" s="1950">
        <v>0</v>
      </c>
      <c r="D138" s="1947">
        <v>0</v>
      </c>
      <c r="E138" s="549"/>
      <c r="F138" s="467"/>
      <c r="G138" s="1947">
        <v>0</v>
      </c>
      <c r="H138" s="467"/>
      <c r="I138" s="467"/>
      <c r="J138" s="467"/>
      <c r="K138" s="467"/>
    </row>
    <row r="139" spans="1:11" ht="12.75" customHeight="1" x14ac:dyDescent="0.2">
      <c r="A139" s="463" t="s">
        <v>602</v>
      </c>
      <c r="B139" s="550">
        <v>3270</v>
      </c>
      <c r="C139" s="1950">
        <v>0</v>
      </c>
      <c r="D139" s="1947">
        <v>0</v>
      </c>
      <c r="E139" s="549"/>
      <c r="F139" s="467"/>
      <c r="G139" s="1947">
        <v>0</v>
      </c>
      <c r="H139" s="467"/>
      <c r="I139" s="467"/>
      <c r="J139" s="467"/>
      <c r="K139" s="467"/>
    </row>
    <row r="140" spans="1:11" ht="12.75" customHeight="1" x14ac:dyDescent="0.2">
      <c r="A140" s="463" t="s">
        <v>67</v>
      </c>
      <c r="B140" s="550">
        <v>3299</v>
      </c>
      <c r="C140" s="1955">
        <v>0</v>
      </c>
      <c r="D140" s="1946">
        <v>0</v>
      </c>
      <c r="E140" s="549"/>
      <c r="F140" s="473"/>
      <c r="G140" s="1947">
        <v>0</v>
      </c>
      <c r="H140" s="467"/>
      <c r="I140" s="467"/>
      <c r="J140" s="467"/>
      <c r="K140" s="467"/>
    </row>
    <row r="141" spans="1:11" ht="12.75" customHeight="1" thickBot="1" x14ac:dyDescent="0.25">
      <c r="A141" s="1681" t="s">
        <v>603</v>
      </c>
      <c r="B141" s="1693"/>
      <c r="C141" s="1680">
        <f>SUM(C134:C140)</f>
        <v>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6">
        <v>0</v>
      </c>
      <c r="D143" s="467"/>
      <c r="E143" s="549"/>
      <c r="F143" s="467"/>
      <c r="G143" s="1946">
        <v>0</v>
      </c>
      <c r="H143" s="467"/>
      <c r="I143" s="467"/>
      <c r="J143" s="467"/>
      <c r="K143" s="467"/>
    </row>
    <row r="144" spans="1:11" ht="12.75" customHeight="1" x14ac:dyDescent="0.2">
      <c r="A144" s="463" t="s">
        <v>347</v>
      </c>
      <c r="B144" s="550">
        <v>3310</v>
      </c>
      <c r="C144" s="1955">
        <v>0</v>
      </c>
      <c r="D144" s="467"/>
      <c r="E144" s="549"/>
      <c r="F144" s="467"/>
      <c r="G144" s="1946">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9">
        <v>1598</v>
      </c>
      <c r="D146" s="557"/>
      <c r="E146" s="502"/>
      <c r="F146" s="467"/>
      <c r="G146" s="558"/>
      <c r="H146" s="467"/>
      <c r="I146" s="467"/>
      <c r="J146" s="467"/>
      <c r="K146" s="467"/>
    </row>
    <row r="147" spans="1:11" ht="12.75" customHeight="1" thickBot="1" x14ac:dyDescent="0.25">
      <c r="A147" s="1472" t="s">
        <v>922</v>
      </c>
      <c r="B147" s="559">
        <v>3365</v>
      </c>
      <c r="C147" s="1956">
        <v>0</v>
      </c>
      <c r="D147" s="1953">
        <v>0</v>
      </c>
      <c r="E147" s="549"/>
      <c r="F147" s="467"/>
      <c r="G147" s="1953">
        <v>0</v>
      </c>
      <c r="H147" s="467"/>
      <c r="I147" s="467"/>
      <c r="J147" s="467"/>
      <c r="K147" s="467"/>
    </row>
    <row r="148" spans="1:11" ht="12.75" customHeight="1" thickTop="1" thickBot="1" x14ac:dyDescent="0.25">
      <c r="A148" s="1473" t="s">
        <v>138</v>
      </c>
      <c r="B148" s="560">
        <v>3370</v>
      </c>
      <c r="C148" s="1956">
        <v>0</v>
      </c>
      <c r="D148" s="1956">
        <v>0</v>
      </c>
      <c r="E148" s="502"/>
      <c r="F148" s="467"/>
      <c r="G148" s="467"/>
      <c r="H148" s="467"/>
      <c r="I148" s="467"/>
      <c r="J148" s="467"/>
      <c r="K148" s="467"/>
    </row>
    <row r="149" spans="1:11" ht="12.75" customHeight="1" thickTop="1" thickBot="1" x14ac:dyDescent="0.25">
      <c r="A149" s="1473" t="s">
        <v>767</v>
      </c>
      <c r="B149" s="560">
        <v>3410</v>
      </c>
      <c r="C149" s="1957">
        <v>0</v>
      </c>
      <c r="D149" s="1958">
        <v>0</v>
      </c>
      <c r="E149" s="1959">
        <v>0</v>
      </c>
      <c r="F149" s="1951">
        <v>0</v>
      </c>
      <c r="G149" s="1951">
        <v>0</v>
      </c>
      <c r="H149" s="1951">
        <v>0</v>
      </c>
      <c r="I149" s="1951">
        <v>0</v>
      </c>
      <c r="J149" s="1951">
        <v>0</v>
      </c>
      <c r="K149" s="1951">
        <v>0</v>
      </c>
    </row>
    <row r="150" spans="1:11" ht="12.75" customHeight="1" thickTop="1" thickBot="1" x14ac:dyDescent="0.25">
      <c r="A150" s="1473" t="s">
        <v>68</v>
      </c>
      <c r="B150" s="560">
        <v>3499</v>
      </c>
      <c r="C150" s="1957">
        <v>0</v>
      </c>
      <c r="D150" s="1958">
        <v>0</v>
      </c>
      <c r="E150" s="1953">
        <v>0</v>
      </c>
      <c r="F150" s="1953">
        <v>0</v>
      </c>
      <c r="G150" s="1953">
        <v>0</v>
      </c>
      <c r="H150" s="1953">
        <v>0</v>
      </c>
      <c r="I150" s="1953">
        <v>0</v>
      </c>
      <c r="J150" s="1953">
        <v>0</v>
      </c>
      <c r="K150" s="1953">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5">
        <v>0</v>
      </c>
      <c r="D152" s="1946">
        <v>0</v>
      </c>
      <c r="E152" s="549"/>
      <c r="F152" s="1946">
        <v>87275</v>
      </c>
      <c r="G152" s="1947">
        <v>0</v>
      </c>
      <c r="H152" s="467"/>
      <c r="I152" s="467"/>
      <c r="J152" s="467"/>
      <c r="K152" s="467"/>
    </row>
    <row r="153" spans="1:11" ht="12.75" customHeight="1" x14ac:dyDescent="0.2">
      <c r="A153" s="463" t="s">
        <v>1057</v>
      </c>
      <c r="B153" s="550">
        <v>3510</v>
      </c>
      <c r="C153" s="1955">
        <v>0</v>
      </c>
      <c r="D153" s="1946">
        <v>0</v>
      </c>
      <c r="E153" s="549"/>
      <c r="F153" s="1946">
        <v>228497</v>
      </c>
      <c r="G153" s="1947">
        <v>0</v>
      </c>
      <c r="H153" s="467"/>
      <c r="I153" s="467"/>
      <c r="J153" s="467"/>
      <c r="K153" s="467"/>
    </row>
    <row r="154" spans="1:11" ht="12.75" customHeight="1" x14ac:dyDescent="0.2">
      <c r="A154" s="463" t="s">
        <v>69</v>
      </c>
      <c r="B154" s="550">
        <v>3599</v>
      </c>
      <c r="C154" s="1955">
        <v>0</v>
      </c>
      <c r="D154" s="1946">
        <v>0</v>
      </c>
      <c r="E154" s="549"/>
      <c r="F154" s="1946">
        <v>0</v>
      </c>
      <c r="G154" s="1947">
        <v>0</v>
      </c>
      <c r="H154" s="467"/>
      <c r="I154" s="467"/>
      <c r="J154" s="467"/>
      <c r="K154" s="467"/>
    </row>
    <row r="155" spans="1:11" ht="12.75" customHeight="1" thickBot="1" x14ac:dyDescent="0.25">
      <c r="A155" s="1681" t="s">
        <v>94</v>
      </c>
      <c r="B155" s="1693"/>
      <c r="C155" s="1680">
        <f>SUM(C152:C154)</f>
        <v>0</v>
      </c>
      <c r="D155" s="1680">
        <f>SUM(D152:D154)</f>
        <v>0</v>
      </c>
      <c r="E155" s="549"/>
      <c r="F155" s="1680">
        <f>SUM(F152:F154)</f>
        <v>315772</v>
      </c>
      <c r="G155" s="1680">
        <f>SUM(G152:G154)</f>
        <v>0</v>
      </c>
      <c r="H155" s="467"/>
      <c r="I155" s="467"/>
      <c r="J155" s="467"/>
      <c r="K155" s="467"/>
    </row>
    <row r="156" spans="1:11" ht="12.75" customHeight="1" thickTop="1" thickBot="1" x14ac:dyDescent="0.25">
      <c r="A156" s="1473" t="s">
        <v>380</v>
      </c>
      <c r="B156" s="560">
        <v>3610</v>
      </c>
      <c r="C156" s="1958">
        <v>0</v>
      </c>
      <c r="D156" s="467"/>
      <c r="E156" s="502"/>
      <c r="F156" s="467"/>
      <c r="G156" s="467"/>
      <c r="H156" s="467"/>
      <c r="I156" s="467"/>
      <c r="J156" s="467"/>
      <c r="K156" s="467"/>
    </row>
    <row r="157" spans="1:11" ht="12.75" customHeight="1" thickTop="1" thickBot="1" x14ac:dyDescent="0.25">
      <c r="A157" s="1473" t="s">
        <v>50</v>
      </c>
      <c r="B157" s="560">
        <v>3660</v>
      </c>
      <c r="C157" s="1956">
        <v>0</v>
      </c>
      <c r="D157" s="1960">
        <v>0</v>
      </c>
      <c r="E157" s="549"/>
      <c r="F157" s="1960">
        <v>0</v>
      </c>
      <c r="G157" s="1960">
        <v>0</v>
      </c>
      <c r="H157" s="467"/>
      <c r="I157" s="467"/>
      <c r="J157" s="467"/>
      <c r="K157" s="467"/>
    </row>
    <row r="158" spans="1:11" ht="12.75" customHeight="1" thickTop="1" thickBot="1" x14ac:dyDescent="0.25">
      <c r="A158" s="1473" t="s">
        <v>1000</v>
      </c>
      <c r="B158" s="560">
        <v>3695</v>
      </c>
      <c r="C158" s="1958">
        <v>0</v>
      </c>
      <c r="D158" s="467"/>
      <c r="E158" s="549"/>
      <c r="F158" s="1958">
        <v>0</v>
      </c>
      <c r="G158" s="1958">
        <v>0</v>
      </c>
      <c r="H158" s="467"/>
      <c r="I158" s="467"/>
      <c r="J158" s="467"/>
      <c r="K158" s="467"/>
    </row>
    <row r="159" spans="1:11" ht="12.75" customHeight="1" thickTop="1" thickBot="1" x14ac:dyDescent="0.25">
      <c r="A159" s="1473" t="s">
        <v>1051</v>
      </c>
      <c r="B159" s="560">
        <v>3705</v>
      </c>
      <c r="C159" s="1958">
        <v>137681</v>
      </c>
      <c r="D159" s="1960">
        <v>0</v>
      </c>
      <c r="E159" s="549"/>
      <c r="F159" s="1958">
        <v>0</v>
      </c>
      <c r="G159" s="1958">
        <v>0</v>
      </c>
      <c r="H159" s="467"/>
      <c r="I159" s="467"/>
      <c r="J159" s="467"/>
      <c r="K159" s="467"/>
    </row>
    <row r="160" spans="1:11" ht="12.75" customHeight="1" thickTop="1" thickBot="1" x14ac:dyDescent="0.25">
      <c r="A160" s="1473" t="s">
        <v>39</v>
      </c>
      <c r="B160" s="560">
        <v>3766</v>
      </c>
      <c r="C160" s="1958">
        <v>0</v>
      </c>
      <c r="D160" s="1960">
        <v>0</v>
      </c>
      <c r="E160" s="549"/>
      <c r="F160" s="1958">
        <v>0</v>
      </c>
      <c r="G160" s="1952">
        <v>0</v>
      </c>
      <c r="H160" s="467"/>
      <c r="I160" s="467"/>
      <c r="J160" s="467"/>
      <c r="K160" s="467"/>
    </row>
    <row r="161" spans="1:11" ht="12.75" customHeight="1" thickTop="1" thickBot="1" x14ac:dyDescent="0.25">
      <c r="A161" s="1473" t="s">
        <v>985</v>
      </c>
      <c r="B161" s="560">
        <v>3767</v>
      </c>
      <c r="C161" s="1958">
        <v>0</v>
      </c>
      <c r="D161" s="1952">
        <v>0</v>
      </c>
      <c r="E161" s="549"/>
      <c r="F161" s="1952">
        <v>0</v>
      </c>
      <c r="G161" s="1952">
        <v>0</v>
      </c>
      <c r="H161" s="467"/>
      <c r="I161" s="467"/>
      <c r="J161" s="467"/>
      <c r="K161" s="467"/>
    </row>
    <row r="162" spans="1:11" ht="12.75" customHeight="1" thickTop="1" thickBot="1" x14ac:dyDescent="0.25">
      <c r="A162" s="1473" t="s">
        <v>986</v>
      </c>
      <c r="B162" s="560">
        <v>3775</v>
      </c>
      <c r="C162" s="1958">
        <v>0</v>
      </c>
      <c r="D162" s="1956">
        <v>0</v>
      </c>
      <c r="E162" s="1951">
        <v>0</v>
      </c>
      <c r="F162" s="1956">
        <v>0</v>
      </c>
      <c r="G162" s="1953">
        <v>0</v>
      </c>
      <c r="H162" s="1951">
        <v>0</v>
      </c>
      <c r="I162" s="467"/>
      <c r="J162" s="467"/>
      <c r="K162" s="1951">
        <v>0</v>
      </c>
    </row>
    <row r="163" spans="1:11" ht="12.75" customHeight="1" thickTop="1" thickBot="1" x14ac:dyDescent="0.25">
      <c r="A163" s="1473" t="s">
        <v>1449</v>
      </c>
      <c r="B163" s="560">
        <v>3780</v>
      </c>
      <c r="C163" s="1952">
        <v>0</v>
      </c>
      <c r="D163" s="1951">
        <v>0</v>
      </c>
      <c r="E163" s="1952">
        <v>0</v>
      </c>
      <c r="F163" s="1952">
        <v>0</v>
      </c>
      <c r="G163" s="1952">
        <v>0</v>
      </c>
      <c r="H163" s="1952">
        <v>0</v>
      </c>
      <c r="I163" s="467"/>
      <c r="J163" s="467"/>
      <c r="K163" s="1952">
        <v>0</v>
      </c>
    </row>
    <row r="164" spans="1:11" ht="12.75" customHeight="1" thickTop="1" thickBot="1" x14ac:dyDescent="0.25">
      <c r="A164" s="1473" t="s">
        <v>858</v>
      </c>
      <c r="B164" s="560">
        <v>3815</v>
      </c>
      <c r="C164" s="1958">
        <v>0</v>
      </c>
      <c r="D164" s="467"/>
      <c r="E164" s="549"/>
      <c r="F164" s="1958">
        <v>0</v>
      </c>
      <c r="G164" s="467"/>
      <c r="H164" s="467"/>
      <c r="I164" s="467"/>
      <c r="J164" s="467"/>
      <c r="K164" s="467"/>
    </row>
    <row r="165" spans="1:11" ht="12.75" customHeight="1" thickTop="1" thickBot="1" x14ac:dyDescent="0.25">
      <c r="A165" s="1473" t="s">
        <v>397</v>
      </c>
      <c r="B165" s="560">
        <v>3825</v>
      </c>
      <c r="C165" s="1958">
        <v>0</v>
      </c>
      <c r="D165" s="467"/>
      <c r="E165" s="549"/>
      <c r="F165" s="1958">
        <v>0</v>
      </c>
      <c r="G165" s="467"/>
      <c r="H165" s="467"/>
      <c r="I165" s="467"/>
      <c r="J165" s="467"/>
      <c r="K165" s="467"/>
    </row>
    <row r="166" spans="1:11" ht="12.75" customHeight="1" thickTop="1" thickBot="1" x14ac:dyDescent="0.25">
      <c r="A166" s="1473" t="s">
        <v>348</v>
      </c>
      <c r="B166" s="560">
        <v>3920</v>
      </c>
      <c r="C166" s="554"/>
      <c r="D166" s="1960">
        <v>0</v>
      </c>
      <c r="E166" s="467"/>
      <c r="F166" s="554"/>
      <c r="G166" s="467"/>
      <c r="H166" s="1951">
        <v>0</v>
      </c>
      <c r="I166" s="467"/>
      <c r="J166" s="467"/>
      <c r="K166" s="467"/>
    </row>
    <row r="167" spans="1:11" ht="12.75" customHeight="1" thickTop="1" thickBot="1" x14ac:dyDescent="0.25">
      <c r="A167" s="1473" t="s">
        <v>349</v>
      </c>
      <c r="B167" s="560">
        <v>3925</v>
      </c>
      <c r="C167" s="514"/>
      <c r="D167" s="1958">
        <v>0</v>
      </c>
      <c r="E167" s="514"/>
      <c r="F167" s="514"/>
      <c r="G167" s="467"/>
      <c r="H167" s="1952">
        <v>0</v>
      </c>
      <c r="I167" s="467"/>
      <c r="J167" s="467"/>
      <c r="K167" s="1951">
        <v>0</v>
      </c>
    </row>
    <row r="168" spans="1:11" ht="14.25" thickTop="1" thickBot="1" x14ac:dyDescent="0.25">
      <c r="A168" s="1473" t="s">
        <v>70</v>
      </c>
      <c r="B168" s="560">
        <v>3999</v>
      </c>
      <c r="C168" s="1961">
        <v>750</v>
      </c>
      <c r="D168" s="1962">
        <v>0</v>
      </c>
      <c r="E168" s="1962">
        <v>0</v>
      </c>
      <c r="F168" s="1962">
        <v>0</v>
      </c>
      <c r="G168" s="1963">
        <v>0</v>
      </c>
      <c r="H168" s="1964">
        <v>0</v>
      </c>
      <c r="I168" s="1963">
        <v>0</v>
      </c>
      <c r="J168" s="1963">
        <v>0</v>
      </c>
      <c r="K168" s="1964">
        <v>0</v>
      </c>
    </row>
    <row r="169" spans="1:11" ht="12.75" customHeight="1" thickTop="1" thickBot="1" x14ac:dyDescent="0.25">
      <c r="A169" s="2213" t="s">
        <v>398</v>
      </c>
      <c r="B169" s="2214"/>
      <c r="C169" s="1695">
        <f t="shared" ref="C169:K169" si="6">SUM(C132,C141,C145,C146:C150,C155,C156:C167,C168)</f>
        <v>209615</v>
      </c>
      <c r="D169" s="1695">
        <f t="shared" si="6"/>
        <v>0</v>
      </c>
      <c r="E169" s="1695">
        <f t="shared" si="6"/>
        <v>0</v>
      </c>
      <c r="F169" s="1695">
        <f t="shared" si="6"/>
        <v>315772</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1643828</v>
      </c>
      <c r="D170" s="1688">
        <f t="shared" si="7"/>
        <v>0</v>
      </c>
      <c r="E170" s="1688">
        <f t="shared" si="7"/>
        <v>0</v>
      </c>
      <c r="F170" s="1688">
        <f t="shared" si="7"/>
        <v>315772</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5" t="s">
        <v>1492</v>
      </c>
      <c r="B172" s="2216"/>
      <c r="C172" s="513"/>
      <c r="D172" s="513"/>
      <c r="E172" s="502"/>
      <c r="F172" s="467"/>
      <c r="G172" s="467"/>
      <c r="H172" s="467"/>
      <c r="I172" s="467"/>
      <c r="J172" s="467"/>
      <c r="K172" s="467"/>
    </row>
    <row r="173" spans="1:11" ht="12.6" customHeight="1" x14ac:dyDescent="0.2">
      <c r="A173" s="486" t="s">
        <v>1044</v>
      </c>
      <c r="B173" s="485">
        <v>4001</v>
      </c>
      <c r="C173" s="509">
        <v>0</v>
      </c>
      <c r="D173" s="477">
        <v>0</v>
      </c>
      <c r="E173" s="1947">
        <v>0</v>
      </c>
      <c r="F173" s="1946">
        <v>0</v>
      </c>
      <c r="G173" s="1946">
        <v>0</v>
      </c>
      <c r="H173" s="1947">
        <v>0</v>
      </c>
      <c r="I173" s="1947">
        <v>0</v>
      </c>
      <c r="J173" s="1947">
        <v>0</v>
      </c>
      <c r="K173" s="1947">
        <v>0</v>
      </c>
    </row>
    <row r="174" spans="1:11" ht="22.5" x14ac:dyDescent="0.2">
      <c r="A174" s="551" t="s">
        <v>805</v>
      </c>
      <c r="B174" s="563">
        <v>4009</v>
      </c>
      <c r="C174" s="1955">
        <v>0</v>
      </c>
      <c r="D174" s="1946">
        <v>0</v>
      </c>
      <c r="E174" s="1947">
        <v>0</v>
      </c>
      <c r="F174" s="1946">
        <v>0</v>
      </c>
      <c r="G174" s="1946">
        <v>0</v>
      </c>
      <c r="H174" s="1947">
        <v>0</v>
      </c>
      <c r="I174" s="1947">
        <v>0</v>
      </c>
      <c r="J174" s="1947">
        <v>0</v>
      </c>
      <c r="K174" s="1947">
        <v>0</v>
      </c>
    </row>
    <row r="175" spans="1:11" ht="13.5" thickBot="1" x14ac:dyDescent="0.25">
      <c r="A175" s="2219" t="s">
        <v>1665</v>
      </c>
      <c r="B175" s="2220"/>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3" t="s">
        <v>1664</v>
      </c>
      <c r="B176" s="2224"/>
      <c r="C176" s="575"/>
      <c r="D176" s="576"/>
      <c r="E176" s="577"/>
      <c r="F176" s="578"/>
      <c r="G176" s="578"/>
      <c r="H176" s="578"/>
      <c r="I176" s="578"/>
      <c r="J176" s="578"/>
      <c r="K176" s="578"/>
    </row>
    <row r="177" spans="1:11" ht="12.75" customHeight="1" x14ac:dyDescent="0.2">
      <c r="A177" s="463" t="s">
        <v>1045</v>
      </c>
      <c r="B177" s="469">
        <v>4045</v>
      </c>
      <c r="C177" s="1955">
        <v>0</v>
      </c>
      <c r="D177" s="467"/>
      <c r="E177" s="549"/>
      <c r="F177" s="467"/>
      <c r="G177" s="467"/>
      <c r="H177" s="467"/>
      <c r="I177" s="467"/>
      <c r="J177" s="467"/>
      <c r="K177" s="467"/>
    </row>
    <row r="178" spans="1:11" ht="12.75" customHeight="1" x14ac:dyDescent="0.2">
      <c r="A178" s="463" t="s">
        <v>1046</v>
      </c>
      <c r="B178" s="469">
        <v>4050</v>
      </c>
      <c r="C178" s="1955">
        <v>0</v>
      </c>
      <c r="D178" s="1947">
        <v>0</v>
      </c>
      <c r="E178" s="549"/>
      <c r="F178" s="467"/>
      <c r="G178" s="467"/>
      <c r="H178" s="1947">
        <v>0</v>
      </c>
      <c r="I178" s="467"/>
      <c r="J178" s="467"/>
      <c r="K178" s="467"/>
    </row>
    <row r="179" spans="1:11" ht="12.75" customHeight="1" x14ac:dyDescent="0.2">
      <c r="A179" s="463" t="s">
        <v>260</v>
      </c>
      <c r="B179" s="469">
        <v>4060</v>
      </c>
      <c r="C179" s="509">
        <v>0</v>
      </c>
      <c r="D179" s="1946">
        <v>0</v>
      </c>
      <c r="E179" s="467"/>
      <c r="F179" s="1946">
        <v>0</v>
      </c>
      <c r="G179" s="1946">
        <v>0</v>
      </c>
      <c r="H179" s="1946">
        <v>0</v>
      </c>
      <c r="I179" s="467"/>
      <c r="J179" s="467"/>
      <c r="K179" s="514"/>
    </row>
    <row r="180" spans="1:11" ht="22.5" x14ac:dyDescent="0.2">
      <c r="A180" s="551" t="s">
        <v>786</v>
      </c>
      <c r="B180" s="563">
        <v>4090</v>
      </c>
      <c r="C180" s="1955">
        <v>0</v>
      </c>
      <c r="D180" s="1946">
        <v>0</v>
      </c>
      <c r="E180" s="467"/>
      <c r="F180" s="1946">
        <v>0</v>
      </c>
      <c r="G180" s="1946">
        <v>0</v>
      </c>
      <c r="H180" s="1946">
        <v>0</v>
      </c>
      <c r="I180" s="467"/>
      <c r="J180" s="467"/>
      <c r="K180" s="1946">
        <v>0</v>
      </c>
    </row>
    <row r="181" spans="1:11" ht="13.5" thickBot="1" x14ac:dyDescent="0.25">
      <c r="A181" s="2221" t="s">
        <v>785</v>
      </c>
      <c r="B181" s="2222"/>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7" t="s">
        <v>1803</v>
      </c>
      <c r="B182" s="2218"/>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5">
        <v>0</v>
      </c>
      <c r="D185" s="1946">
        <v>0</v>
      </c>
      <c r="E185" s="549"/>
      <c r="F185" s="1946">
        <v>0</v>
      </c>
      <c r="G185" s="1946">
        <v>0</v>
      </c>
      <c r="H185" s="467"/>
      <c r="I185" s="467"/>
      <c r="J185" s="467"/>
      <c r="K185" s="467"/>
    </row>
    <row r="186" spans="1:11" ht="12.75" customHeight="1" x14ac:dyDescent="0.2">
      <c r="A186" s="463" t="s">
        <v>1606</v>
      </c>
      <c r="B186" s="469">
        <v>4107</v>
      </c>
      <c r="C186" s="1955">
        <v>0</v>
      </c>
      <c r="D186" s="1946">
        <v>0</v>
      </c>
      <c r="E186" s="549"/>
      <c r="F186" s="1946">
        <v>0</v>
      </c>
      <c r="G186" s="1946">
        <v>0</v>
      </c>
      <c r="H186" s="467"/>
      <c r="I186" s="467"/>
      <c r="J186" s="467"/>
      <c r="K186" s="467"/>
    </row>
    <row r="187" spans="1:11" ht="12.75" customHeight="1" x14ac:dyDescent="0.2">
      <c r="A187" s="463" t="s">
        <v>1605</v>
      </c>
      <c r="B187" s="469">
        <v>4199</v>
      </c>
      <c r="C187" s="1955">
        <v>0</v>
      </c>
      <c r="D187" s="1946">
        <v>0</v>
      </c>
      <c r="E187" s="549"/>
      <c r="F187" s="1946">
        <v>0</v>
      </c>
      <c r="G187" s="1946">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7">
        <v>0</v>
      </c>
      <c r="D190" s="467"/>
      <c r="E190" s="549"/>
      <c r="F190" s="541"/>
      <c r="G190" s="1965">
        <v>0</v>
      </c>
      <c r="H190" s="467"/>
      <c r="I190" s="467"/>
      <c r="J190" s="467"/>
      <c r="K190" s="467"/>
    </row>
    <row r="191" spans="1:11" ht="12.75" customHeight="1" x14ac:dyDescent="0.2">
      <c r="A191" s="463" t="s">
        <v>1058</v>
      </c>
      <c r="B191" s="469">
        <v>4210</v>
      </c>
      <c r="C191" s="1946">
        <v>86373</v>
      </c>
      <c r="D191" s="467"/>
      <c r="E191" s="549"/>
      <c r="F191" s="467"/>
      <c r="G191" s="1965">
        <v>0</v>
      </c>
      <c r="H191" s="467"/>
      <c r="I191" s="467"/>
      <c r="J191" s="467"/>
      <c r="K191" s="467"/>
    </row>
    <row r="192" spans="1:11" ht="12.75" customHeight="1" x14ac:dyDescent="0.2">
      <c r="A192" s="463" t="s">
        <v>1047</v>
      </c>
      <c r="B192" s="469">
        <v>4215</v>
      </c>
      <c r="C192" s="1955">
        <v>0</v>
      </c>
      <c r="D192" s="467"/>
      <c r="E192" s="549"/>
      <c r="F192" s="467"/>
      <c r="G192" s="1965">
        <v>0</v>
      </c>
      <c r="H192" s="467"/>
      <c r="I192" s="467"/>
      <c r="J192" s="467"/>
      <c r="K192" s="467"/>
    </row>
    <row r="193" spans="1:11" ht="12.75" customHeight="1" x14ac:dyDescent="0.2">
      <c r="A193" s="463" t="s">
        <v>1059</v>
      </c>
      <c r="B193" s="469">
        <v>4220</v>
      </c>
      <c r="C193" s="1955">
        <v>21048</v>
      </c>
      <c r="D193" s="467"/>
      <c r="E193" s="549"/>
      <c r="F193" s="467"/>
      <c r="G193" s="1965">
        <v>0</v>
      </c>
      <c r="H193" s="467"/>
      <c r="I193" s="467"/>
      <c r="J193" s="467"/>
      <c r="K193" s="467"/>
    </row>
    <row r="194" spans="1:11" ht="12.75" customHeight="1" x14ac:dyDescent="0.2">
      <c r="A194" s="463" t="s">
        <v>1451</v>
      </c>
      <c r="B194" s="469">
        <v>4225</v>
      </c>
      <c r="C194" s="1955">
        <v>0</v>
      </c>
      <c r="D194" s="467"/>
      <c r="E194" s="549"/>
      <c r="F194" s="467"/>
      <c r="G194" s="1965">
        <v>0</v>
      </c>
      <c r="H194" s="467"/>
      <c r="I194" s="467"/>
      <c r="J194" s="467"/>
      <c r="K194" s="467"/>
    </row>
    <row r="195" spans="1:11" ht="12.75" customHeight="1" x14ac:dyDescent="0.2">
      <c r="A195" s="463" t="s">
        <v>1452</v>
      </c>
      <c r="B195" s="469">
        <v>4226</v>
      </c>
      <c r="C195" s="1955">
        <v>0</v>
      </c>
      <c r="D195" s="467"/>
      <c r="E195" s="549"/>
      <c r="F195" s="467"/>
      <c r="G195" s="1965">
        <v>0</v>
      </c>
      <c r="H195" s="467"/>
      <c r="I195" s="467"/>
      <c r="J195" s="467"/>
      <c r="K195" s="467"/>
    </row>
    <row r="196" spans="1:11" ht="12.75" customHeight="1" x14ac:dyDescent="0.2">
      <c r="A196" s="463" t="s">
        <v>792</v>
      </c>
      <c r="B196" s="469">
        <v>4240</v>
      </c>
      <c r="C196" s="1950">
        <v>0</v>
      </c>
      <c r="D196" s="467"/>
      <c r="E196" s="549"/>
      <c r="F196" s="467"/>
      <c r="G196" s="566"/>
      <c r="H196" s="467"/>
      <c r="I196" s="467"/>
      <c r="J196" s="467"/>
      <c r="K196" s="467"/>
    </row>
    <row r="197" spans="1:11" ht="12.75" customHeight="1" x14ac:dyDescent="0.2">
      <c r="A197" s="463" t="s">
        <v>71</v>
      </c>
      <c r="B197" s="469">
        <v>4299</v>
      </c>
      <c r="C197" s="1955">
        <v>0</v>
      </c>
      <c r="D197" s="467"/>
      <c r="E197" s="549"/>
      <c r="F197" s="467"/>
      <c r="G197" s="1965">
        <v>0</v>
      </c>
      <c r="H197" s="467"/>
      <c r="I197" s="467"/>
      <c r="J197" s="467"/>
      <c r="K197" s="467"/>
    </row>
    <row r="198" spans="1:11" ht="12.75" customHeight="1" thickBot="1" x14ac:dyDescent="0.25">
      <c r="A198" s="1681" t="s">
        <v>548</v>
      </c>
      <c r="B198" s="1682"/>
      <c r="C198" s="1661">
        <f>SUM(C190:C197)</f>
        <v>107421</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6">
        <v>96825</v>
      </c>
      <c r="D200" s="1946">
        <v>0</v>
      </c>
      <c r="E200" s="467"/>
      <c r="F200" s="1946">
        <v>0</v>
      </c>
      <c r="G200" s="1946">
        <v>0</v>
      </c>
      <c r="H200" s="467"/>
      <c r="I200" s="467"/>
      <c r="J200" s="467"/>
      <c r="K200" s="467"/>
    </row>
    <row r="201" spans="1:11" ht="12.75" customHeight="1" x14ac:dyDescent="0.2">
      <c r="A201" s="463" t="s">
        <v>919</v>
      </c>
      <c r="B201" s="469">
        <v>4305</v>
      </c>
      <c r="C201" s="1955">
        <v>0</v>
      </c>
      <c r="D201" s="1946">
        <v>0</v>
      </c>
      <c r="E201" s="467"/>
      <c r="F201" s="1946">
        <v>0</v>
      </c>
      <c r="G201" s="1946">
        <v>0</v>
      </c>
      <c r="H201" s="467"/>
      <c r="I201" s="467"/>
      <c r="J201" s="467"/>
      <c r="K201" s="467"/>
    </row>
    <row r="202" spans="1:11" ht="12.75" customHeight="1" x14ac:dyDescent="0.2">
      <c r="A202" s="463" t="s">
        <v>1031</v>
      </c>
      <c r="B202" s="469">
        <v>4340</v>
      </c>
      <c r="C202" s="1955">
        <v>0</v>
      </c>
      <c r="D202" s="1946">
        <v>0</v>
      </c>
      <c r="E202" s="467"/>
      <c r="F202" s="1946">
        <v>0</v>
      </c>
      <c r="G202" s="1946">
        <v>0</v>
      </c>
      <c r="H202" s="467"/>
      <c r="I202" s="467"/>
      <c r="J202" s="467"/>
      <c r="K202" s="467"/>
    </row>
    <row r="203" spans="1:11" ht="12.75" customHeight="1" x14ac:dyDescent="0.2">
      <c r="A203" s="463" t="s">
        <v>72</v>
      </c>
      <c r="B203" s="469">
        <v>4399</v>
      </c>
      <c r="C203" s="1955">
        <v>0</v>
      </c>
      <c r="D203" s="1946">
        <v>0</v>
      </c>
      <c r="E203" s="467"/>
      <c r="F203" s="1946">
        <v>0</v>
      </c>
      <c r="G203" s="1946">
        <v>0</v>
      </c>
      <c r="H203" s="467"/>
      <c r="I203" s="467"/>
      <c r="J203" s="467"/>
      <c r="K203" s="467"/>
    </row>
    <row r="204" spans="1:11" ht="12.75" customHeight="1" thickBot="1" x14ac:dyDescent="0.25">
      <c r="A204" s="1681" t="s">
        <v>400</v>
      </c>
      <c r="B204" s="1682"/>
      <c r="C204" s="1680">
        <f>SUM(C200:C203)</f>
        <v>96825</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5">
        <v>10000</v>
      </c>
      <c r="D206" s="1946">
        <v>0</v>
      </c>
      <c r="E206" s="467"/>
      <c r="F206" s="1946">
        <v>0</v>
      </c>
      <c r="G206" s="1946">
        <v>0</v>
      </c>
      <c r="H206" s="467"/>
      <c r="I206" s="467"/>
      <c r="J206" s="467"/>
      <c r="K206" s="467"/>
    </row>
    <row r="207" spans="1:11" ht="12.75" customHeight="1" x14ac:dyDescent="0.2">
      <c r="A207" s="463" t="s">
        <v>1453</v>
      </c>
      <c r="B207" s="469">
        <v>4421</v>
      </c>
      <c r="C207" s="1955">
        <v>0</v>
      </c>
      <c r="D207" s="1946">
        <v>0</v>
      </c>
      <c r="E207" s="467"/>
      <c r="F207" s="1946">
        <v>0</v>
      </c>
      <c r="G207" s="1946">
        <v>0</v>
      </c>
      <c r="H207" s="467"/>
      <c r="I207" s="467"/>
      <c r="J207" s="467"/>
      <c r="K207" s="467"/>
    </row>
    <row r="208" spans="1:11" ht="12.75" customHeight="1" x14ac:dyDescent="0.2">
      <c r="A208" s="463" t="s">
        <v>73</v>
      </c>
      <c r="B208" s="469">
        <v>4499</v>
      </c>
      <c r="C208" s="1955">
        <v>0</v>
      </c>
      <c r="D208" s="1946">
        <v>0</v>
      </c>
      <c r="E208" s="467"/>
      <c r="F208" s="1946">
        <v>0</v>
      </c>
      <c r="G208" s="1946">
        <v>0</v>
      </c>
      <c r="H208" s="467"/>
      <c r="I208" s="467"/>
      <c r="J208" s="467"/>
      <c r="K208" s="467"/>
    </row>
    <row r="209" spans="1:11" ht="12.75" customHeight="1" thickBot="1" x14ac:dyDescent="0.25">
      <c r="A209" s="1681" t="s">
        <v>889</v>
      </c>
      <c r="B209" s="1682"/>
      <c r="C209" s="1680">
        <f>SUM(C206:C208)</f>
        <v>10000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5">
        <v>6396</v>
      </c>
      <c r="D211" s="1946">
        <v>0</v>
      </c>
      <c r="E211" s="467"/>
      <c r="F211" s="1946">
        <v>0</v>
      </c>
      <c r="G211" s="1946">
        <v>0</v>
      </c>
      <c r="H211" s="467"/>
      <c r="I211" s="467"/>
      <c r="J211" s="467"/>
      <c r="K211" s="467"/>
    </row>
    <row r="212" spans="1:11" ht="12.75" customHeight="1" x14ac:dyDescent="0.2">
      <c r="A212" s="463" t="s">
        <v>1053</v>
      </c>
      <c r="B212" s="469">
        <v>4605</v>
      </c>
      <c r="C212" s="1955">
        <v>0</v>
      </c>
      <c r="D212" s="1946">
        <v>0</v>
      </c>
      <c r="E212" s="467"/>
      <c r="F212" s="1946">
        <v>0</v>
      </c>
      <c r="G212" s="1946">
        <v>0</v>
      </c>
      <c r="H212" s="467"/>
      <c r="I212" s="467"/>
      <c r="J212" s="467"/>
      <c r="K212" s="467"/>
    </row>
    <row r="213" spans="1:11" ht="12.75" customHeight="1" x14ac:dyDescent="0.2">
      <c r="A213" s="463" t="s">
        <v>1454</v>
      </c>
      <c r="B213" s="545">
        <v>4620</v>
      </c>
      <c r="C213" s="1955">
        <v>91721</v>
      </c>
      <c r="D213" s="1946">
        <v>0</v>
      </c>
      <c r="E213" s="467"/>
      <c r="F213" s="1946">
        <v>0</v>
      </c>
      <c r="G213" s="1946">
        <v>0</v>
      </c>
      <c r="H213" s="467"/>
      <c r="I213" s="467"/>
      <c r="J213" s="467"/>
      <c r="K213" s="467"/>
    </row>
    <row r="214" spans="1:11" ht="12.75" customHeight="1" x14ac:dyDescent="0.2">
      <c r="A214" s="463" t="s">
        <v>1054</v>
      </c>
      <c r="B214" s="469">
        <v>4625</v>
      </c>
      <c r="C214" s="1955">
        <v>10740</v>
      </c>
      <c r="D214" s="1946">
        <v>0</v>
      </c>
      <c r="E214" s="467"/>
      <c r="F214" s="1946">
        <v>0</v>
      </c>
      <c r="G214" s="1946">
        <v>0</v>
      </c>
      <c r="H214" s="467"/>
      <c r="I214" s="467"/>
      <c r="J214" s="467"/>
      <c r="K214" s="467"/>
    </row>
    <row r="215" spans="1:11" ht="12.75" customHeight="1" x14ac:dyDescent="0.2">
      <c r="A215" s="463" t="s">
        <v>1055</v>
      </c>
      <c r="B215" s="469">
        <v>4630</v>
      </c>
      <c r="C215" s="1955">
        <v>0</v>
      </c>
      <c r="D215" s="1946">
        <v>0</v>
      </c>
      <c r="E215" s="467"/>
      <c r="F215" s="1946">
        <v>0</v>
      </c>
      <c r="G215" s="1946">
        <v>0</v>
      </c>
      <c r="H215" s="467"/>
      <c r="I215" s="467"/>
      <c r="J215" s="467"/>
      <c r="K215" s="467"/>
    </row>
    <row r="216" spans="1:11" ht="12.75" customHeight="1" x14ac:dyDescent="0.2">
      <c r="A216" s="1474" t="s">
        <v>74</v>
      </c>
      <c r="B216" s="545">
        <v>4699</v>
      </c>
      <c r="C216" s="1955">
        <v>0</v>
      </c>
      <c r="D216" s="1946">
        <v>0</v>
      </c>
      <c r="E216" s="467"/>
      <c r="F216" s="1946">
        <v>0</v>
      </c>
      <c r="G216" s="1946">
        <v>0</v>
      </c>
      <c r="H216" s="467"/>
      <c r="I216" s="467"/>
      <c r="J216" s="467"/>
      <c r="K216" s="467"/>
    </row>
    <row r="217" spans="1:11" ht="12.75" customHeight="1" thickBot="1" x14ac:dyDescent="0.25">
      <c r="A217" s="1681" t="s">
        <v>447</v>
      </c>
      <c r="B217" s="1682"/>
      <c r="C217" s="1680">
        <f>SUM(C211:C216)</f>
        <v>108857</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5">
        <v>0</v>
      </c>
      <c r="D219" s="1946">
        <v>0</v>
      </c>
      <c r="E219" s="467"/>
      <c r="F219" s="467"/>
      <c r="G219" s="1946">
        <v>0</v>
      </c>
      <c r="H219" s="467"/>
      <c r="I219" s="467"/>
      <c r="J219" s="467"/>
      <c r="K219" s="467"/>
    </row>
    <row r="220" spans="1:11" ht="12.75" customHeight="1" x14ac:dyDescent="0.2">
      <c r="A220" s="463" t="s">
        <v>67</v>
      </c>
      <c r="B220" s="469">
        <v>4799</v>
      </c>
      <c r="C220" s="1955">
        <v>0</v>
      </c>
      <c r="D220" s="1946">
        <v>0</v>
      </c>
      <c r="E220" s="467"/>
      <c r="F220" s="467"/>
      <c r="G220" s="1946">
        <v>0</v>
      </c>
      <c r="H220" s="467"/>
      <c r="I220" s="467"/>
      <c r="J220" s="467"/>
      <c r="K220" s="467"/>
    </row>
    <row r="221" spans="1:11" ht="12.75" customHeight="1" thickBot="1" x14ac:dyDescent="0.25">
      <c r="A221" s="1696" t="s">
        <v>1085</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7">
        <v>0</v>
      </c>
      <c r="D222" s="1958">
        <v>0</v>
      </c>
      <c r="E222" s="467"/>
      <c r="F222" s="467"/>
      <c r="G222" s="561">
        <v>0</v>
      </c>
      <c r="H222" s="467"/>
      <c r="I222" s="467"/>
      <c r="J222" s="467"/>
      <c r="K222" s="467"/>
    </row>
    <row r="223" spans="1:11" ht="12.75" customHeight="1" thickTop="1" x14ac:dyDescent="0.2">
      <c r="A223" s="486" t="s">
        <v>350</v>
      </c>
      <c r="B223" s="485">
        <v>4850</v>
      </c>
      <c r="C223" s="1950">
        <v>0</v>
      </c>
      <c r="D223" s="1947">
        <v>0</v>
      </c>
      <c r="E223" s="1947">
        <v>0</v>
      </c>
      <c r="F223" s="1947">
        <v>0</v>
      </c>
      <c r="G223" s="1947">
        <v>0</v>
      </c>
      <c r="H223" s="1947">
        <v>0</v>
      </c>
      <c r="I223" s="467"/>
      <c r="J223" s="1947">
        <v>0</v>
      </c>
      <c r="K223" s="1947">
        <v>0</v>
      </c>
    </row>
    <row r="224" spans="1:11" ht="12.75" customHeight="1" x14ac:dyDescent="0.2">
      <c r="A224" s="486" t="s">
        <v>351</v>
      </c>
      <c r="B224" s="485">
        <v>4851</v>
      </c>
      <c r="C224" s="1950">
        <v>0</v>
      </c>
      <c r="D224" s="1947">
        <v>0</v>
      </c>
      <c r="E224" s="467"/>
      <c r="F224" s="1948">
        <v>0</v>
      </c>
      <c r="G224" s="1947">
        <v>0</v>
      </c>
      <c r="H224" s="467"/>
      <c r="I224" s="467"/>
      <c r="J224" s="467"/>
      <c r="K224" s="467"/>
    </row>
    <row r="225" spans="1:11" ht="12.75" customHeight="1" x14ac:dyDescent="0.2">
      <c r="A225" s="486" t="s">
        <v>352</v>
      </c>
      <c r="B225" s="485">
        <v>4852</v>
      </c>
      <c r="C225" s="1950">
        <v>0</v>
      </c>
      <c r="D225" s="1947">
        <v>0</v>
      </c>
      <c r="E225" s="1947">
        <v>0</v>
      </c>
      <c r="F225" s="1947">
        <v>0</v>
      </c>
      <c r="G225" s="1947">
        <v>0</v>
      </c>
      <c r="H225" s="1947">
        <v>0</v>
      </c>
      <c r="I225" s="467"/>
      <c r="J225" s="1947">
        <v>0</v>
      </c>
      <c r="K225" s="1947">
        <v>0</v>
      </c>
    </row>
    <row r="226" spans="1:11" ht="12.75" customHeight="1" x14ac:dyDescent="0.2">
      <c r="A226" s="486" t="s">
        <v>353</v>
      </c>
      <c r="B226" s="485">
        <v>4853</v>
      </c>
      <c r="C226" s="1950">
        <v>0</v>
      </c>
      <c r="D226" s="1947">
        <v>0</v>
      </c>
      <c r="E226" s="1947">
        <v>0</v>
      </c>
      <c r="F226" s="1947">
        <v>0</v>
      </c>
      <c r="G226" s="1947">
        <v>0</v>
      </c>
      <c r="H226" s="1947">
        <v>0</v>
      </c>
      <c r="I226" s="467"/>
      <c r="J226" s="1947">
        <v>0</v>
      </c>
      <c r="K226" s="1947">
        <v>0</v>
      </c>
    </row>
    <row r="227" spans="1:11" ht="12.75" customHeight="1" x14ac:dyDescent="0.2">
      <c r="A227" s="486" t="s">
        <v>354</v>
      </c>
      <c r="B227" s="485">
        <v>4854</v>
      </c>
      <c r="C227" s="1950">
        <v>0</v>
      </c>
      <c r="D227" s="1947">
        <v>0</v>
      </c>
      <c r="E227" s="1947">
        <v>0</v>
      </c>
      <c r="F227" s="1947">
        <v>0</v>
      </c>
      <c r="G227" s="1947">
        <v>0</v>
      </c>
      <c r="H227" s="1947">
        <v>0</v>
      </c>
      <c r="I227" s="467"/>
      <c r="J227" s="1947">
        <v>0</v>
      </c>
      <c r="K227" s="1947">
        <v>0</v>
      </c>
    </row>
    <row r="228" spans="1:11" ht="12.75" customHeight="1" x14ac:dyDescent="0.2">
      <c r="A228" s="486" t="s">
        <v>464</v>
      </c>
      <c r="B228" s="485">
        <v>4855</v>
      </c>
      <c r="C228" s="1950">
        <v>0</v>
      </c>
      <c r="D228" s="1947">
        <v>0</v>
      </c>
      <c r="E228" s="1947">
        <v>0</v>
      </c>
      <c r="F228" s="1947">
        <v>0</v>
      </c>
      <c r="G228" s="1947">
        <v>0</v>
      </c>
      <c r="H228" s="1947">
        <v>0</v>
      </c>
      <c r="I228" s="467"/>
      <c r="J228" s="1947">
        <v>0</v>
      </c>
      <c r="K228" s="1947">
        <v>0</v>
      </c>
    </row>
    <row r="229" spans="1:11" ht="12.75" customHeight="1" x14ac:dyDescent="0.2">
      <c r="A229" s="486" t="s">
        <v>355</v>
      </c>
      <c r="B229" s="485">
        <v>4856</v>
      </c>
      <c r="C229" s="1950">
        <v>0</v>
      </c>
      <c r="D229" s="1947">
        <v>0</v>
      </c>
      <c r="E229" s="1947">
        <v>0</v>
      </c>
      <c r="F229" s="1947">
        <v>0</v>
      </c>
      <c r="G229" s="1947">
        <v>0</v>
      </c>
      <c r="H229" s="1947">
        <v>0</v>
      </c>
      <c r="I229" s="467"/>
      <c r="J229" s="1947">
        <v>0</v>
      </c>
      <c r="K229" s="1947">
        <v>0</v>
      </c>
    </row>
    <row r="230" spans="1:11" ht="12.75" customHeight="1" x14ac:dyDescent="0.2">
      <c r="A230" s="486" t="s">
        <v>356</v>
      </c>
      <c r="B230" s="485">
        <v>4857</v>
      </c>
      <c r="C230" s="1950">
        <v>0</v>
      </c>
      <c r="D230" s="1947">
        <v>0</v>
      </c>
      <c r="E230" s="1947">
        <v>0</v>
      </c>
      <c r="F230" s="1947">
        <v>0</v>
      </c>
      <c r="G230" s="1947">
        <v>0</v>
      </c>
      <c r="H230" s="1947">
        <v>0</v>
      </c>
      <c r="I230" s="467"/>
      <c r="J230" s="1947">
        <v>0</v>
      </c>
      <c r="K230" s="1947">
        <v>0</v>
      </c>
    </row>
    <row r="231" spans="1:11" ht="12.75" customHeight="1" x14ac:dyDescent="0.2">
      <c r="A231" s="486" t="s">
        <v>357</v>
      </c>
      <c r="B231" s="485">
        <v>4860</v>
      </c>
      <c r="C231" s="1950">
        <v>0</v>
      </c>
      <c r="D231" s="1947">
        <v>0</v>
      </c>
      <c r="E231" s="1947">
        <v>0</v>
      </c>
      <c r="F231" s="1947">
        <v>0</v>
      </c>
      <c r="G231" s="1947">
        <v>0</v>
      </c>
      <c r="H231" s="1947">
        <v>0</v>
      </c>
      <c r="I231" s="467"/>
      <c r="J231" s="1947">
        <v>0</v>
      </c>
      <c r="K231" s="1947">
        <v>0</v>
      </c>
    </row>
    <row r="232" spans="1:11" ht="12.75" customHeight="1" x14ac:dyDescent="0.2">
      <c r="A232" s="486" t="s">
        <v>358</v>
      </c>
      <c r="B232" s="485">
        <v>4861</v>
      </c>
      <c r="C232" s="1950">
        <v>0</v>
      </c>
      <c r="D232" s="1947">
        <v>0</v>
      </c>
      <c r="E232" s="1947">
        <v>0</v>
      </c>
      <c r="F232" s="1947">
        <v>0</v>
      </c>
      <c r="G232" s="1947">
        <v>0</v>
      </c>
      <c r="H232" s="1947">
        <v>0</v>
      </c>
      <c r="I232" s="467"/>
      <c r="J232" s="1947">
        <v>0</v>
      </c>
      <c r="K232" s="1947">
        <v>0</v>
      </c>
    </row>
    <row r="233" spans="1:11" ht="12.75" customHeight="1" x14ac:dyDescent="0.2">
      <c r="A233" s="486" t="s">
        <v>359</v>
      </c>
      <c r="B233" s="485">
        <v>4862</v>
      </c>
      <c r="C233" s="1950">
        <v>0</v>
      </c>
      <c r="D233" s="1947">
        <v>0</v>
      </c>
      <c r="E233" s="472"/>
      <c r="F233" s="1947">
        <v>0</v>
      </c>
      <c r="G233" s="1947">
        <v>0</v>
      </c>
      <c r="H233" s="472"/>
      <c r="I233" s="467"/>
      <c r="J233" s="472"/>
      <c r="K233" s="472"/>
    </row>
    <row r="234" spans="1:11" ht="12.75" customHeight="1" x14ac:dyDescent="0.2">
      <c r="A234" s="486" t="s">
        <v>360</v>
      </c>
      <c r="B234" s="485">
        <v>4863</v>
      </c>
      <c r="C234" s="1950">
        <v>0</v>
      </c>
      <c r="D234" s="1947">
        <v>0</v>
      </c>
      <c r="E234" s="467"/>
      <c r="F234" s="472"/>
      <c r="G234" s="519"/>
      <c r="H234" s="467"/>
      <c r="I234" s="467"/>
      <c r="J234" s="467"/>
      <c r="K234" s="467"/>
    </row>
    <row r="235" spans="1:11" ht="12.75" customHeight="1" x14ac:dyDescent="0.2">
      <c r="A235" s="486" t="s">
        <v>469</v>
      </c>
      <c r="B235" s="485">
        <v>4864</v>
      </c>
      <c r="C235" s="1950">
        <v>0</v>
      </c>
      <c r="D235" s="1947">
        <v>0</v>
      </c>
      <c r="E235" s="1947">
        <v>0</v>
      </c>
      <c r="F235" s="1947">
        <v>0</v>
      </c>
      <c r="G235" s="1947">
        <v>0</v>
      </c>
      <c r="H235" s="1947">
        <v>0</v>
      </c>
      <c r="I235" s="467"/>
      <c r="J235" s="1947">
        <v>0</v>
      </c>
      <c r="K235" s="1947">
        <v>0</v>
      </c>
    </row>
    <row r="236" spans="1:11" ht="12.75" customHeight="1" x14ac:dyDescent="0.2">
      <c r="A236" s="486" t="s">
        <v>470</v>
      </c>
      <c r="B236" s="485">
        <v>4865</v>
      </c>
      <c r="C236" s="1950">
        <v>0</v>
      </c>
      <c r="D236" s="1947">
        <v>0</v>
      </c>
      <c r="E236" s="1947">
        <v>0</v>
      </c>
      <c r="F236" s="1947">
        <v>0</v>
      </c>
      <c r="G236" s="1947">
        <v>0</v>
      </c>
      <c r="H236" s="1947">
        <v>0</v>
      </c>
      <c r="I236" s="467"/>
      <c r="J236" s="1947">
        <v>0</v>
      </c>
      <c r="K236" s="1947">
        <v>0</v>
      </c>
    </row>
    <row r="237" spans="1:11" ht="12.75" customHeight="1" x14ac:dyDescent="0.2">
      <c r="A237" s="486" t="s">
        <v>468</v>
      </c>
      <c r="B237" s="485">
        <v>4866</v>
      </c>
      <c r="C237" s="1950">
        <v>0</v>
      </c>
      <c r="D237" s="1947">
        <v>0</v>
      </c>
      <c r="E237" s="1947">
        <v>0</v>
      </c>
      <c r="F237" s="1947">
        <v>0</v>
      </c>
      <c r="G237" s="1947">
        <v>0</v>
      </c>
      <c r="H237" s="1947">
        <v>0</v>
      </c>
      <c r="I237" s="467"/>
      <c r="J237" s="1947">
        <v>0</v>
      </c>
      <c r="K237" s="1947">
        <v>0</v>
      </c>
    </row>
    <row r="238" spans="1:11" ht="12.75" customHeight="1" x14ac:dyDescent="0.2">
      <c r="A238" s="486" t="s">
        <v>467</v>
      </c>
      <c r="B238" s="485">
        <v>4867</v>
      </c>
      <c r="C238" s="1950">
        <v>0</v>
      </c>
      <c r="D238" s="1947">
        <v>0</v>
      </c>
      <c r="E238" s="1947">
        <v>0</v>
      </c>
      <c r="F238" s="1947">
        <v>0</v>
      </c>
      <c r="G238" s="1947">
        <v>0</v>
      </c>
      <c r="H238" s="1947">
        <v>0</v>
      </c>
      <c r="I238" s="467"/>
      <c r="J238" s="1947">
        <v>0</v>
      </c>
      <c r="K238" s="1947">
        <v>0</v>
      </c>
    </row>
    <row r="239" spans="1:11" ht="12.75" customHeight="1" x14ac:dyDescent="0.2">
      <c r="A239" s="486" t="s">
        <v>466</v>
      </c>
      <c r="B239" s="485">
        <v>4868</v>
      </c>
      <c r="C239" s="1950">
        <v>0</v>
      </c>
      <c r="D239" s="1947">
        <v>0</v>
      </c>
      <c r="E239" s="1947">
        <v>0</v>
      </c>
      <c r="F239" s="1947">
        <v>0</v>
      </c>
      <c r="G239" s="1947">
        <v>0</v>
      </c>
      <c r="H239" s="1947">
        <v>0</v>
      </c>
      <c r="I239" s="467"/>
      <c r="J239" s="1947">
        <v>0</v>
      </c>
      <c r="K239" s="1947">
        <v>0</v>
      </c>
    </row>
    <row r="240" spans="1:11" ht="12.75" customHeight="1" x14ac:dyDescent="0.2">
      <c r="A240" s="486" t="s">
        <v>465</v>
      </c>
      <c r="B240" s="485">
        <v>4869</v>
      </c>
      <c r="C240" s="1950">
        <v>0</v>
      </c>
      <c r="D240" s="1947">
        <v>0</v>
      </c>
      <c r="E240" s="1947">
        <v>0</v>
      </c>
      <c r="F240" s="1947">
        <v>0</v>
      </c>
      <c r="G240" s="1947">
        <v>0</v>
      </c>
      <c r="H240" s="1947">
        <v>0</v>
      </c>
      <c r="I240" s="467"/>
      <c r="J240" s="1947">
        <v>0</v>
      </c>
      <c r="K240" s="1947">
        <v>0</v>
      </c>
    </row>
    <row r="241" spans="1:11" ht="12.75" customHeight="1" x14ac:dyDescent="0.2">
      <c r="A241" s="486" t="s">
        <v>1128</v>
      </c>
      <c r="B241" s="485">
        <v>4870</v>
      </c>
      <c r="C241" s="1950">
        <v>0</v>
      </c>
      <c r="D241" s="1947">
        <v>0</v>
      </c>
      <c r="E241" s="1947">
        <v>0</v>
      </c>
      <c r="F241" s="1947">
        <v>0</v>
      </c>
      <c r="G241" s="1947">
        <v>0</v>
      </c>
      <c r="H241" s="1947">
        <v>0</v>
      </c>
      <c r="I241" s="467"/>
      <c r="J241" s="1947">
        <v>0</v>
      </c>
      <c r="K241" s="1947">
        <v>0</v>
      </c>
    </row>
    <row r="242" spans="1:11" ht="12.75" customHeight="1" x14ac:dyDescent="0.2">
      <c r="A242" s="486" t="s">
        <v>788</v>
      </c>
      <c r="B242" s="485">
        <v>4871</v>
      </c>
      <c r="C242" s="1950">
        <v>0</v>
      </c>
      <c r="D242" s="1947">
        <v>0</v>
      </c>
      <c r="E242" s="1947">
        <v>0</v>
      </c>
      <c r="F242" s="1947">
        <v>0</v>
      </c>
      <c r="G242" s="1947">
        <v>0</v>
      </c>
      <c r="H242" s="1947">
        <v>0</v>
      </c>
      <c r="I242" s="467"/>
      <c r="J242" s="1947">
        <v>0</v>
      </c>
      <c r="K242" s="1947">
        <v>0</v>
      </c>
    </row>
    <row r="243" spans="1:11" ht="12.75" customHeight="1" x14ac:dyDescent="0.2">
      <c r="A243" s="486" t="s">
        <v>789</v>
      </c>
      <c r="B243" s="485">
        <v>4872</v>
      </c>
      <c r="C243" s="1950">
        <v>0</v>
      </c>
      <c r="D243" s="1947">
        <v>0</v>
      </c>
      <c r="E243" s="1947">
        <v>0</v>
      </c>
      <c r="F243" s="1947">
        <v>0</v>
      </c>
      <c r="G243" s="1947">
        <v>0</v>
      </c>
      <c r="H243" s="1947">
        <v>0</v>
      </c>
      <c r="I243" s="467"/>
      <c r="J243" s="1947">
        <v>0</v>
      </c>
      <c r="K243" s="1947">
        <v>0</v>
      </c>
    </row>
    <row r="244" spans="1:11" ht="12.75" customHeight="1" x14ac:dyDescent="0.2">
      <c r="A244" s="486" t="s">
        <v>790</v>
      </c>
      <c r="B244" s="485">
        <v>4873</v>
      </c>
      <c r="C244" s="1950">
        <v>0</v>
      </c>
      <c r="D244" s="1947">
        <v>0</v>
      </c>
      <c r="E244" s="1947">
        <v>0</v>
      </c>
      <c r="F244" s="1947">
        <v>0</v>
      </c>
      <c r="G244" s="1947">
        <v>0</v>
      </c>
      <c r="H244" s="1947">
        <v>0</v>
      </c>
      <c r="I244" s="467"/>
      <c r="J244" s="1947">
        <v>0</v>
      </c>
      <c r="K244" s="1947">
        <v>0</v>
      </c>
    </row>
    <row r="245" spans="1:11" ht="12.75" customHeight="1" x14ac:dyDescent="0.2">
      <c r="A245" s="486" t="s">
        <v>791</v>
      </c>
      <c r="B245" s="485">
        <v>4874</v>
      </c>
      <c r="C245" s="1950">
        <v>0</v>
      </c>
      <c r="D245" s="1947">
        <v>0</v>
      </c>
      <c r="E245" s="1947">
        <v>0</v>
      </c>
      <c r="F245" s="1947">
        <v>0</v>
      </c>
      <c r="G245" s="1947">
        <v>0</v>
      </c>
      <c r="H245" s="1947">
        <v>0</v>
      </c>
      <c r="I245" s="467"/>
      <c r="J245" s="1947">
        <v>0</v>
      </c>
      <c r="K245" s="1947">
        <v>0</v>
      </c>
    </row>
    <row r="246" spans="1:11" ht="12.75" customHeight="1" x14ac:dyDescent="0.2">
      <c r="A246" s="486" t="s">
        <v>471</v>
      </c>
      <c r="B246" s="485">
        <v>4875</v>
      </c>
      <c r="C246" s="1950">
        <v>0</v>
      </c>
      <c r="D246" s="1947">
        <v>0</v>
      </c>
      <c r="E246" s="1947">
        <v>0</v>
      </c>
      <c r="F246" s="1947">
        <v>0</v>
      </c>
      <c r="G246" s="1947">
        <v>0</v>
      </c>
      <c r="H246" s="1947">
        <v>0</v>
      </c>
      <c r="I246" s="467"/>
      <c r="J246" s="1947">
        <v>0</v>
      </c>
      <c r="K246" s="1947">
        <v>0</v>
      </c>
    </row>
    <row r="247" spans="1:11" ht="12.75" customHeight="1" x14ac:dyDescent="0.2">
      <c r="A247" s="486" t="s">
        <v>770</v>
      </c>
      <c r="B247" s="485">
        <v>4876</v>
      </c>
      <c r="C247" s="1950">
        <v>0</v>
      </c>
      <c r="D247" s="1947">
        <v>0</v>
      </c>
      <c r="E247" s="1947">
        <v>0</v>
      </c>
      <c r="F247" s="1947">
        <v>0</v>
      </c>
      <c r="G247" s="1947">
        <v>0</v>
      </c>
      <c r="H247" s="1947">
        <v>0</v>
      </c>
      <c r="I247" s="467"/>
      <c r="J247" s="1947">
        <v>0</v>
      </c>
      <c r="K247" s="1947">
        <v>0</v>
      </c>
    </row>
    <row r="248" spans="1:11" ht="12.75" customHeight="1" x14ac:dyDescent="0.2">
      <c r="A248" s="486" t="s">
        <v>771</v>
      </c>
      <c r="B248" s="485">
        <v>4877</v>
      </c>
      <c r="C248" s="1950">
        <v>0</v>
      </c>
      <c r="D248" s="1947">
        <v>0</v>
      </c>
      <c r="E248" s="1947">
        <v>0</v>
      </c>
      <c r="F248" s="1947">
        <v>0</v>
      </c>
      <c r="G248" s="1947">
        <v>0</v>
      </c>
      <c r="H248" s="1947">
        <v>0</v>
      </c>
      <c r="I248" s="467"/>
      <c r="J248" s="1947">
        <v>0</v>
      </c>
      <c r="K248" s="1947">
        <v>0</v>
      </c>
    </row>
    <row r="249" spans="1:11" ht="12.75" customHeight="1" x14ac:dyDescent="0.2">
      <c r="A249" s="486" t="s">
        <v>772</v>
      </c>
      <c r="B249" s="485">
        <v>4878</v>
      </c>
      <c r="C249" s="1950">
        <v>0</v>
      </c>
      <c r="D249" s="1947">
        <v>0</v>
      </c>
      <c r="E249" s="1947">
        <v>0</v>
      </c>
      <c r="F249" s="1947">
        <v>0</v>
      </c>
      <c r="G249" s="1947">
        <v>0</v>
      </c>
      <c r="H249" s="1947">
        <v>0</v>
      </c>
      <c r="I249" s="467"/>
      <c r="J249" s="1947">
        <v>0</v>
      </c>
      <c r="K249" s="1947">
        <v>0</v>
      </c>
    </row>
    <row r="250" spans="1:11" ht="12.75" customHeight="1" x14ac:dyDescent="0.2">
      <c r="A250" s="486" t="s">
        <v>773</v>
      </c>
      <c r="B250" s="485">
        <v>4879</v>
      </c>
      <c r="C250" s="1950">
        <v>0</v>
      </c>
      <c r="D250" s="1947">
        <v>0</v>
      </c>
      <c r="E250" s="1947">
        <v>0</v>
      </c>
      <c r="F250" s="1947">
        <v>0</v>
      </c>
      <c r="G250" s="1947">
        <v>0</v>
      </c>
      <c r="H250" s="1947">
        <v>0</v>
      </c>
      <c r="I250" s="467"/>
      <c r="J250" s="1947">
        <v>0</v>
      </c>
      <c r="K250" s="1947">
        <v>0</v>
      </c>
    </row>
    <row r="251" spans="1:11" ht="12.75" customHeight="1" x14ac:dyDescent="0.2">
      <c r="A251" s="225" t="s">
        <v>1455</v>
      </c>
      <c r="B251" s="567">
        <v>4880</v>
      </c>
      <c r="C251" s="1950">
        <v>0</v>
      </c>
      <c r="D251" s="1947">
        <v>0</v>
      </c>
      <c r="E251" s="1947">
        <v>0</v>
      </c>
      <c r="F251" s="1947">
        <v>0</v>
      </c>
      <c r="G251" s="1947">
        <v>0</v>
      </c>
      <c r="H251" s="1947">
        <v>0</v>
      </c>
      <c r="I251" s="467"/>
      <c r="J251" s="1947">
        <v>0</v>
      </c>
      <c r="K251" s="1947">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6">
        <v>0</v>
      </c>
      <c r="D253" s="468"/>
      <c r="E253" s="467"/>
      <c r="F253" s="467"/>
      <c r="G253" s="467"/>
      <c r="H253" s="467"/>
      <c r="I253" s="467"/>
      <c r="J253" s="467"/>
      <c r="K253" s="467"/>
    </row>
    <row r="254" spans="1:11" ht="12.75" customHeight="1" thickTop="1" thickBot="1" x14ac:dyDescent="0.25">
      <c r="A254" s="1476" t="s">
        <v>1463</v>
      </c>
      <c r="B254" s="569">
        <v>4902</v>
      </c>
      <c r="C254" s="1967">
        <v>0</v>
      </c>
      <c r="D254" s="1983">
        <v>0</v>
      </c>
      <c r="E254" s="468"/>
      <c r="F254" s="1983">
        <v>0</v>
      </c>
      <c r="G254" s="1983">
        <v>0</v>
      </c>
      <c r="H254" s="468"/>
      <c r="I254" s="467"/>
      <c r="J254" s="468"/>
      <c r="K254" s="468"/>
    </row>
    <row r="255" spans="1:11" ht="12.75" customHeight="1" thickTop="1" thickBot="1" x14ac:dyDescent="0.25">
      <c r="A255" s="463" t="s">
        <v>1456</v>
      </c>
      <c r="B255" s="469">
        <v>4905</v>
      </c>
      <c r="C255" s="1956">
        <v>0</v>
      </c>
      <c r="D255" s="467"/>
      <c r="E255" s="467"/>
      <c r="F255" s="1982">
        <v>0</v>
      </c>
      <c r="G255" s="1979">
        <v>0</v>
      </c>
      <c r="H255" s="467"/>
      <c r="I255" s="467"/>
      <c r="J255" s="467"/>
      <c r="K255" s="467"/>
    </row>
    <row r="256" spans="1:11" ht="12.75" customHeight="1" thickTop="1" thickBot="1" x14ac:dyDescent="0.25">
      <c r="A256" s="463" t="s">
        <v>1457</v>
      </c>
      <c r="B256" s="469">
        <v>4909</v>
      </c>
      <c r="C256" s="1958">
        <v>0</v>
      </c>
      <c r="D256" s="467"/>
      <c r="E256" s="467"/>
      <c r="F256" s="1981">
        <v>0</v>
      </c>
      <c r="G256" s="1981">
        <v>0</v>
      </c>
      <c r="H256" s="467"/>
      <c r="I256" s="467"/>
      <c r="J256" s="467"/>
      <c r="K256" s="467"/>
    </row>
    <row r="257" spans="1:11" ht="12.75" customHeight="1" thickTop="1" thickBot="1" x14ac:dyDescent="0.25">
      <c r="A257" s="463" t="s">
        <v>193</v>
      </c>
      <c r="B257" s="469">
        <v>4920</v>
      </c>
      <c r="C257" s="1958">
        <v>0</v>
      </c>
      <c r="D257" s="1982">
        <v>0</v>
      </c>
      <c r="E257" s="467"/>
      <c r="F257" s="1979">
        <v>0</v>
      </c>
      <c r="G257" s="1979">
        <v>0</v>
      </c>
      <c r="H257" s="467"/>
      <c r="I257" s="467"/>
      <c r="J257" s="467"/>
      <c r="K257" s="467"/>
    </row>
    <row r="258" spans="1:11" ht="12.75" customHeight="1" thickTop="1" thickBot="1" x14ac:dyDescent="0.25">
      <c r="A258" s="463" t="s">
        <v>421</v>
      </c>
      <c r="B258" s="469">
        <v>4930</v>
      </c>
      <c r="C258" s="1958">
        <v>0</v>
      </c>
      <c r="D258" s="1981">
        <v>0</v>
      </c>
      <c r="E258" s="467"/>
      <c r="F258" s="1981">
        <v>0</v>
      </c>
      <c r="G258" s="1981">
        <v>0</v>
      </c>
      <c r="H258" s="467"/>
      <c r="I258" s="467"/>
      <c r="J258" s="467"/>
      <c r="K258" s="467"/>
    </row>
    <row r="259" spans="1:11" ht="12.75" customHeight="1" thickTop="1" thickBot="1" x14ac:dyDescent="0.25">
      <c r="A259" s="463" t="s">
        <v>758</v>
      </c>
      <c r="B259" s="469">
        <v>4932</v>
      </c>
      <c r="C259" s="1958">
        <v>20118</v>
      </c>
      <c r="D259" s="1981">
        <v>0</v>
      </c>
      <c r="E259" s="467"/>
      <c r="F259" s="1981">
        <v>0</v>
      </c>
      <c r="G259" s="1981">
        <v>0</v>
      </c>
      <c r="H259" s="467"/>
      <c r="I259" s="467"/>
      <c r="J259" s="467"/>
      <c r="K259" s="467"/>
    </row>
    <row r="260" spans="1:11" ht="12.75" customHeight="1" thickTop="1" thickBot="1" x14ac:dyDescent="0.25">
      <c r="A260" s="463" t="s">
        <v>890</v>
      </c>
      <c r="B260" s="469">
        <v>4960</v>
      </c>
      <c r="C260" s="1957">
        <v>0</v>
      </c>
      <c r="D260" s="1981">
        <v>0</v>
      </c>
      <c r="E260" s="467"/>
      <c r="F260" s="1981">
        <v>0</v>
      </c>
      <c r="G260" s="1981">
        <v>0</v>
      </c>
      <c r="H260" s="467"/>
      <c r="I260" s="467"/>
      <c r="J260" s="467"/>
      <c r="K260" s="467"/>
    </row>
    <row r="261" spans="1:11" ht="12.75" customHeight="1" thickTop="1" thickBot="1" x14ac:dyDescent="0.25">
      <c r="A261" s="1904" t="s">
        <v>1937</v>
      </c>
      <c r="B261" s="469">
        <v>4981</v>
      </c>
      <c r="C261" s="1987">
        <v>0</v>
      </c>
      <c r="D261" s="1988">
        <v>0</v>
      </c>
      <c r="E261" s="467"/>
      <c r="F261" s="1988">
        <v>0</v>
      </c>
      <c r="G261" s="1988">
        <v>0</v>
      </c>
      <c r="H261" s="467"/>
      <c r="I261" s="467"/>
      <c r="J261" s="467"/>
      <c r="K261" s="467"/>
    </row>
    <row r="262" spans="1:11" ht="12.75" customHeight="1" thickTop="1" thickBot="1" x14ac:dyDescent="0.25">
      <c r="A262" s="1905" t="s">
        <v>1938</v>
      </c>
      <c r="B262" s="469">
        <v>4982</v>
      </c>
      <c r="C262" s="1987">
        <v>0</v>
      </c>
      <c r="D262" s="1988">
        <v>0</v>
      </c>
      <c r="E262" s="467"/>
      <c r="F262" s="1988">
        <v>0</v>
      </c>
      <c r="G262" s="1988">
        <v>0</v>
      </c>
      <c r="H262" s="467"/>
      <c r="I262" s="467"/>
      <c r="J262" s="467"/>
      <c r="K262" s="467"/>
    </row>
    <row r="263" spans="1:11" ht="12.75" customHeight="1" thickTop="1" thickBot="1" x14ac:dyDescent="0.25">
      <c r="A263" s="463" t="s">
        <v>568</v>
      </c>
      <c r="B263" s="469">
        <v>4991</v>
      </c>
      <c r="C263" s="1980">
        <v>19711</v>
      </c>
      <c r="D263" s="1981">
        <v>0</v>
      </c>
      <c r="E263" s="467"/>
      <c r="F263" s="1981">
        <v>0</v>
      </c>
      <c r="G263" s="1981">
        <v>0</v>
      </c>
      <c r="H263" s="467"/>
      <c r="I263" s="467"/>
      <c r="J263" s="467"/>
      <c r="K263" s="467"/>
    </row>
    <row r="264" spans="1:11" ht="12.75" customHeight="1" thickTop="1" thickBot="1" x14ac:dyDescent="0.25">
      <c r="A264" s="463" t="s">
        <v>377</v>
      </c>
      <c r="B264" s="469">
        <v>4992</v>
      </c>
      <c r="C264" s="1980">
        <v>7530</v>
      </c>
      <c r="D264" s="1981">
        <v>0</v>
      </c>
      <c r="E264" s="467"/>
      <c r="F264" s="1981">
        <v>0</v>
      </c>
      <c r="G264" s="1981">
        <v>0</v>
      </c>
      <c r="H264" s="467"/>
      <c r="I264" s="467"/>
      <c r="J264" s="467"/>
      <c r="K264" s="467"/>
    </row>
    <row r="265" spans="1:11" s="570" customFormat="1" ht="12.75" customHeight="1" thickTop="1" thickBot="1" x14ac:dyDescent="0.25">
      <c r="A265" s="551" t="s">
        <v>75</v>
      </c>
      <c r="B265" s="545">
        <v>4999</v>
      </c>
      <c r="C265" s="1980">
        <v>32524</v>
      </c>
      <c r="D265" s="1981">
        <v>0</v>
      </c>
      <c r="E265" s="467"/>
      <c r="F265" s="1981">
        <v>0</v>
      </c>
      <c r="G265" s="1981">
        <v>0</v>
      </c>
      <c r="H265" s="1975">
        <v>0</v>
      </c>
      <c r="I265" s="467"/>
      <c r="J265" s="467"/>
      <c r="K265" s="1975">
        <v>0</v>
      </c>
    </row>
    <row r="266" spans="1:11" ht="14.25" thickTop="1" thickBot="1" x14ac:dyDescent="0.25">
      <c r="A266" s="1681" t="s">
        <v>1666</v>
      </c>
      <c r="B266" s="1700"/>
      <c r="C266" s="1688">
        <f t="shared" ref="C266:H266" si="10">SUM(C188,C198,C204,C209,C217,C221,C222,C252:C265)</f>
        <v>402986</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402986</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4484528</v>
      </c>
      <c r="D268" s="1688">
        <f t="shared" si="12"/>
        <v>339480</v>
      </c>
      <c r="E268" s="1688">
        <f t="shared" si="12"/>
        <v>0</v>
      </c>
      <c r="F268" s="1688">
        <f t="shared" si="12"/>
        <v>705501</v>
      </c>
      <c r="G268" s="1688">
        <f t="shared" si="12"/>
        <v>78226</v>
      </c>
      <c r="H268" s="1688">
        <f t="shared" si="12"/>
        <v>0</v>
      </c>
      <c r="I268" s="1688">
        <f t="shared" si="12"/>
        <v>14011</v>
      </c>
      <c r="J268" s="1688">
        <f t="shared" si="12"/>
        <v>52058</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activeCell="N22" sqref="N22"/>
      <selection pane="bottomLeft" activeCell="H15" sqref="H15"/>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3"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5"/>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1" t="s">
        <v>297</v>
      </c>
      <c r="B3" s="2232"/>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8">
        <v>1207783</v>
      </c>
      <c r="D5" s="1968">
        <v>280304</v>
      </c>
      <c r="E5" s="1968">
        <v>29033</v>
      </c>
      <c r="F5" s="1968">
        <v>115166</v>
      </c>
      <c r="G5" s="1968">
        <v>0</v>
      </c>
      <c r="H5" s="1968">
        <v>0</v>
      </c>
      <c r="I5" s="1969">
        <v>2575</v>
      </c>
      <c r="J5" s="1969">
        <v>0</v>
      </c>
      <c r="K5" s="1644">
        <f>SUM(C5:J5)</f>
        <v>1634861</v>
      </c>
      <c r="L5" s="1990">
        <v>1637294</v>
      </c>
    </row>
    <row r="6" spans="1:14" x14ac:dyDescent="0.2">
      <c r="A6" s="1477" t="s">
        <v>1433</v>
      </c>
      <c r="B6" s="591" t="s">
        <v>1431</v>
      </c>
      <c r="C6" s="473"/>
      <c r="D6" s="473"/>
      <c r="E6" s="1968">
        <v>0</v>
      </c>
      <c r="F6" s="473"/>
      <c r="G6" s="473"/>
      <c r="H6" s="473"/>
      <c r="I6" s="473"/>
      <c r="J6" s="473"/>
      <c r="K6" s="1644">
        <f>SUM(C6,E6)</f>
        <v>0</v>
      </c>
      <c r="L6" s="1990">
        <v>0</v>
      </c>
    </row>
    <row r="7" spans="1:14" x14ac:dyDescent="0.2">
      <c r="A7" s="1477" t="s">
        <v>163</v>
      </c>
      <c r="B7" s="591" t="s">
        <v>967</v>
      </c>
      <c r="C7" s="1969">
        <v>74813</v>
      </c>
      <c r="D7" s="1969">
        <v>13609</v>
      </c>
      <c r="E7" s="1969">
        <v>4739</v>
      </c>
      <c r="F7" s="1969">
        <v>5038</v>
      </c>
      <c r="G7" s="1969">
        <v>0</v>
      </c>
      <c r="H7" s="1969">
        <v>0</v>
      </c>
      <c r="I7" s="1969">
        <v>0</v>
      </c>
      <c r="J7" s="1969">
        <v>0</v>
      </c>
      <c r="K7" s="1644">
        <f t="shared" ref="K7:K32" si="0">SUM(C7:J7)</f>
        <v>98199</v>
      </c>
      <c r="L7" s="1990">
        <v>110235</v>
      </c>
    </row>
    <row r="8" spans="1:14" x14ac:dyDescent="0.2">
      <c r="A8" s="1477" t="s">
        <v>164</v>
      </c>
      <c r="B8" s="591">
        <v>1200</v>
      </c>
      <c r="C8" s="1968">
        <v>267808</v>
      </c>
      <c r="D8" s="1968">
        <v>78076</v>
      </c>
      <c r="E8" s="1968">
        <v>16208</v>
      </c>
      <c r="F8" s="1968">
        <v>15946</v>
      </c>
      <c r="G8" s="1968">
        <v>0</v>
      </c>
      <c r="H8" s="1968">
        <v>0</v>
      </c>
      <c r="I8" s="1969">
        <v>5840</v>
      </c>
      <c r="J8" s="1969">
        <v>0</v>
      </c>
      <c r="K8" s="1644">
        <f t="shared" si="0"/>
        <v>383878</v>
      </c>
      <c r="L8" s="1990">
        <v>378533</v>
      </c>
    </row>
    <row r="9" spans="1:14" x14ac:dyDescent="0.2">
      <c r="A9" s="1477" t="s">
        <v>721</v>
      </c>
      <c r="B9" s="591" t="s">
        <v>968</v>
      </c>
      <c r="C9" s="1969">
        <v>38155</v>
      </c>
      <c r="D9" s="1969">
        <v>10996</v>
      </c>
      <c r="E9" s="1969">
        <v>0</v>
      </c>
      <c r="F9" s="1969">
        <v>0</v>
      </c>
      <c r="G9" s="1991">
        <v>0</v>
      </c>
      <c r="H9" s="1969">
        <v>0</v>
      </c>
      <c r="I9" s="1969">
        <v>0</v>
      </c>
      <c r="J9" s="1969">
        <v>0</v>
      </c>
      <c r="K9" s="1644">
        <f t="shared" si="0"/>
        <v>49151</v>
      </c>
      <c r="L9" s="1990">
        <v>50779</v>
      </c>
    </row>
    <row r="10" spans="1:14" x14ac:dyDescent="0.2">
      <c r="A10" s="1477" t="s">
        <v>722</v>
      </c>
      <c r="B10" s="591">
        <v>1250</v>
      </c>
      <c r="C10" s="1968">
        <v>18350</v>
      </c>
      <c r="D10" s="1968">
        <v>1153</v>
      </c>
      <c r="E10" s="1968">
        <v>27309</v>
      </c>
      <c r="F10" s="1968">
        <v>23947</v>
      </c>
      <c r="G10" s="1968">
        <v>0</v>
      </c>
      <c r="H10" s="1968">
        <v>0</v>
      </c>
      <c r="I10" s="1969">
        <v>0</v>
      </c>
      <c r="J10" s="1969">
        <v>0</v>
      </c>
      <c r="K10" s="1644">
        <f t="shared" si="0"/>
        <v>70759</v>
      </c>
      <c r="L10" s="1990">
        <v>77221</v>
      </c>
    </row>
    <row r="11" spans="1:14" x14ac:dyDescent="0.2">
      <c r="A11" s="1477" t="s">
        <v>1130</v>
      </c>
      <c r="B11" s="591" t="s">
        <v>161</v>
      </c>
      <c r="C11" s="1969">
        <v>0</v>
      </c>
      <c r="D11" s="1969">
        <v>0</v>
      </c>
      <c r="E11" s="1969">
        <v>0</v>
      </c>
      <c r="F11" s="1969">
        <v>0</v>
      </c>
      <c r="G11" s="1969">
        <v>0</v>
      </c>
      <c r="H11" s="1969">
        <v>0</v>
      </c>
      <c r="I11" s="1969">
        <v>0</v>
      </c>
      <c r="J11" s="1969">
        <v>0</v>
      </c>
      <c r="K11" s="1644">
        <f t="shared" si="0"/>
        <v>0</v>
      </c>
      <c r="L11" s="1990">
        <v>0</v>
      </c>
    </row>
    <row r="12" spans="1:14" x14ac:dyDescent="0.2">
      <c r="A12" s="1477" t="s">
        <v>962</v>
      </c>
      <c r="B12" s="591">
        <v>1300</v>
      </c>
      <c r="C12" s="1968">
        <v>0</v>
      </c>
      <c r="D12" s="1968">
        <v>0</v>
      </c>
      <c r="E12" s="1968">
        <v>0</v>
      </c>
      <c r="F12" s="1968">
        <v>0</v>
      </c>
      <c r="G12" s="1968">
        <v>0</v>
      </c>
      <c r="H12" s="1968">
        <v>0</v>
      </c>
      <c r="I12" s="1969">
        <v>0</v>
      </c>
      <c r="J12" s="1969">
        <v>0</v>
      </c>
      <c r="K12" s="1644">
        <f t="shared" si="0"/>
        <v>0</v>
      </c>
      <c r="L12" s="1990">
        <v>0</v>
      </c>
    </row>
    <row r="13" spans="1:14" x14ac:dyDescent="0.2">
      <c r="A13" s="1477" t="s">
        <v>723</v>
      </c>
      <c r="B13" s="591">
        <v>1400</v>
      </c>
      <c r="C13" s="1968">
        <v>0</v>
      </c>
      <c r="D13" s="1968">
        <v>0</v>
      </c>
      <c r="E13" s="1968">
        <v>750</v>
      </c>
      <c r="F13" s="1968">
        <v>113</v>
      </c>
      <c r="G13" s="1968">
        <v>0</v>
      </c>
      <c r="H13" s="1968">
        <v>0</v>
      </c>
      <c r="I13" s="1969">
        <v>0</v>
      </c>
      <c r="J13" s="1969">
        <v>0</v>
      </c>
      <c r="K13" s="1644">
        <f t="shared" si="0"/>
        <v>863</v>
      </c>
      <c r="L13" s="1990">
        <v>865</v>
      </c>
    </row>
    <row r="14" spans="1:14" x14ac:dyDescent="0.2">
      <c r="A14" s="1477" t="s">
        <v>963</v>
      </c>
      <c r="B14" s="591">
        <v>1500</v>
      </c>
      <c r="C14" s="1968">
        <v>49486</v>
      </c>
      <c r="D14" s="1968">
        <v>2979</v>
      </c>
      <c r="E14" s="1968">
        <v>5159</v>
      </c>
      <c r="F14" s="1968">
        <v>6086</v>
      </c>
      <c r="G14" s="1968">
        <v>0</v>
      </c>
      <c r="H14" s="1968">
        <v>1120</v>
      </c>
      <c r="I14" s="1969">
        <v>0</v>
      </c>
      <c r="J14" s="1969">
        <v>0</v>
      </c>
      <c r="K14" s="1644">
        <f t="shared" si="0"/>
        <v>64830</v>
      </c>
      <c r="L14" s="1990">
        <v>70047</v>
      </c>
    </row>
    <row r="15" spans="1:14" x14ac:dyDescent="0.2">
      <c r="A15" s="1477" t="s">
        <v>964</v>
      </c>
      <c r="B15" s="591">
        <v>1600</v>
      </c>
      <c r="C15" s="1968">
        <v>0</v>
      </c>
      <c r="D15" s="1968">
        <v>0</v>
      </c>
      <c r="E15" s="1968">
        <v>0</v>
      </c>
      <c r="F15" s="1968">
        <v>0</v>
      </c>
      <c r="G15" s="1968">
        <v>0</v>
      </c>
      <c r="H15" s="1968">
        <v>0</v>
      </c>
      <c r="I15" s="1969">
        <v>0</v>
      </c>
      <c r="J15" s="1969">
        <v>0</v>
      </c>
      <c r="K15" s="1644">
        <f t="shared" si="0"/>
        <v>0</v>
      </c>
      <c r="L15" s="1990">
        <v>0</v>
      </c>
    </row>
    <row r="16" spans="1:14" x14ac:dyDescent="0.2">
      <c r="A16" s="1477" t="s">
        <v>987</v>
      </c>
      <c r="B16" s="591" t="s">
        <v>424</v>
      </c>
      <c r="C16" s="1968">
        <v>0</v>
      </c>
      <c r="D16" s="1968">
        <v>0</v>
      </c>
      <c r="E16" s="1968">
        <v>0</v>
      </c>
      <c r="F16" s="1968">
        <v>0</v>
      </c>
      <c r="G16" s="1968">
        <v>0</v>
      </c>
      <c r="H16" s="1968">
        <v>0</v>
      </c>
      <c r="I16" s="1969">
        <v>0</v>
      </c>
      <c r="J16" s="1969">
        <v>0</v>
      </c>
      <c r="K16" s="1644">
        <f t="shared" si="0"/>
        <v>0</v>
      </c>
      <c r="L16" s="1990">
        <v>0</v>
      </c>
    </row>
    <row r="17" spans="1:12" x14ac:dyDescent="0.2">
      <c r="A17" s="1477" t="s">
        <v>724</v>
      </c>
      <c r="B17" s="591" t="s">
        <v>162</v>
      </c>
      <c r="C17" s="1969">
        <v>0</v>
      </c>
      <c r="D17" s="1969">
        <v>0</v>
      </c>
      <c r="E17" s="1969">
        <v>0</v>
      </c>
      <c r="F17" s="1969">
        <v>0</v>
      </c>
      <c r="G17" s="1969">
        <v>0</v>
      </c>
      <c r="H17" s="1969">
        <v>0</v>
      </c>
      <c r="I17" s="1969">
        <v>0</v>
      </c>
      <c r="J17" s="1969">
        <v>0</v>
      </c>
      <c r="K17" s="1644">
        <f t="shared" si="0"/>
        <v>0</v>
      </c>
      <c r="L17" s="1990">
        <v>0</v>
      </c>
    </row>
    <row r="18" spans="1:12" x14ac:dyDescent="0.2">
      <c r="A18" s="1477" t="s">
        <v>1087</v>
      </c>
      <c r="B18" s="591">
        <v>1800</v>
      </c>
      <c r="C18" s="1968">
        <v>0</v>
      </c>
      <c r="D18" s="1968">
        <v>0</v>
      </c>
      <c r="E18" s="1968">
        <v>0</v>
      </c>
      <c r="F18" s="1968">
        <v>0</v>
      </c>
      <c r="G18" s="1968">
        <v>0</v>
      </c>
      <c r="H18" s="1968">
        <v>0</v>
      </c>
      <c r="I18" s="1969">
        <v>0</v>
      </c>
      <c r="J18" s="1969">
        <v>0</v>
      </c>
      <c r="K18" s="1644">
        <f t="shared" si="0"/>
        <v>0</v>
      </c>
      <c r="L18" s="1990">
        <v>0</v>
      </c>
    </row>
    <row r="19" spans="1:12" x14ac:dyDescent="0.2">
      <c r="A19" s="1477" t="s">
        <v>134</v>
      </c>
      <c r="B19" s="591">
        <v>1900</v>
      </c>
      <c r="C19" s="1968">
        <v>0</v>
      </c>
      <c r="D19" s="1968">
        <v>0</v>
      </c>
      <c r="E19" s="1968">
        <v>0</v>
      </c>
      <c r="F19" s="1968">
        <v>0</v>
      </c>
      <c r="G19" s="1968">
        <v>0</v>
      </c>
      <c r="H19" s="1968">
        <v>0</v>
      </c>
      <c r="I19" s="1969">
        <v>0</v>
      </c>
      <c r="J19" s="1969">
        <v>0</v>
      </c>
      <c r="K19" s="1644">
        <f t="shared" si="0"/>
        <v>0</v>
      </c>
      <c r="L19" s="1990">
        <v>0</v>
      </c>
    </row>
    <row r="20" spans="1:12" x14ac:dyDescent="0.2">
      <c r="A20" s="1478" t="s">
        <v>738</v>
      </c>
      <c r="B20" s="579" t="s">
        <v>725</v>
      </c>
      <c r="C20" s="473"/>
      <c r="D20" s="473"/>
      <c r="E20" s="473"/>
      <c r="F20" s="473"/>
      <c r="G20" s="473"/>
      <c r="H20" s="1971">
        <v>0</v>
      </c>
      <c r="I20" s="593"/>
      <c r="J20" s="472"/>
      <c r="K20" s="1644">
        <f t="shared" si="0"/>
        <v>0</v>
      </c>
      <c r="L20" s="1992">
        <v>0</v>
      </c>
    </row>
    <row r="21" spans="1:12" x14ac:dyDescent="0.2">
      <c r="A21" s="1478" t="s">
        <v>739</v>
      </c>
      <c r="B21" s="579" t="s">
        <v>726</v>
      </c>
      <c r="C21" s="473"/>
      <c r="D21" s="473"/>
      <c r="E21" s="473"/>
      <c r="F21" s="473"/>
      <c r="G21" s="473"/>
      <c r="H21" s="1971">
        <v>0</v>
      </c>
      <c r="I21" s="593"/>
      <c r="J21" s="473"/>
      <c r="K21" s="1644">
        <f t="shared" si="0"/>
        <v>0</v>
      </c>
      <c r="L21" s="1992">
        <v>0</v>
      </c>
    </row>
    <row r="22" spans="1:12" x14ac:dyDescent="0.2">
      <c r="A22" s="1478" t="s">
        <v>740</v>
      </c>
      <c r="B22" s="579" t="s">
        <v>727</v>
      </c>
      <c r="C22" s="473"/>
      <c r="D22" s="473"/>
      <c r="E22" s="473"/>
      <c r="F22" s="473"/>
      <c r="G22" s="473"/>
      <c r="H22" s="1971">
        <v>96702</v>
      </c>
      <c r="I22" s="593"/>
      <c r="J22" s="473"/>
      <c r="K22" s="1644">
        <f t="shared" si="0"/>
        <v>96702</v>
      </c>
      <c r="L22" s="1992">
        <v>125000</v>
      </c>
    </row>
    <row r="23" spans="1:12" x14ac:dyDescent="0.2">
      <c r="A23" s="1478" t="s">
        <v>741</v>
      </c>
      <c r="B23" s="579" t="s">
        <v>728</v>
      </c>
      <c r="C23" s="473"/>
      <c r="D23" s="473"/>
      <c r="E23" s="473"/>
      <c r="F23" s="473"/>
      <c r="G23" s="473"/>
      <c r="H23" s="1971">
        <v>0</v>
      </c>
      <c r="I23" s="593"/>
      <c r="J23" s="473"/>
      <c r="K23" s="1644">
        <f t="shared" si="0"/>
        <v>0</v>
      </c>
      <c r="L23" s="1992">
        <v>0</v>
      </c>
    </row>
    <row r="24" spans="1:12" ht="12.75" customHeight="1" x14ac:dyDescent="0.2">
      <c r="A24" s="1478" t="s">
        <v>742</v>
      </c>
      <c r="B24" s="579" t="s">
        <v>729</v>
      </c>
      <c r="C24" s="473"/>
      <c r="D24" s="473"/>
      <c r="E24" s="473"/>
      <c r="F24" s="473"/>
      <c r="G24" s="473"/>
      <c r="H24" s="1971">
        <v>0</v>
      </c>
      <c r="I24" s="593"/>
      <c r="J24" s="473"/>
      <c r="K24" s="1644">
        <f t="shared" si="0"/>
        <v>0</v>
      </c>
      <c r="L24" s="1992">
        <v>0</v>
      </c>
    </row>
    <row r="25" spans="1:12" ht="12.75" customHeight="1" x14ac:dyDescent="0.2">
      <c r="A25" s="1478" t="s">
        <v>802</v>
      </c>
      <c r="B25" s="579" t="s">
        <v>730</v>
      </c>
      <c r="C25" s="473"/>
      <c r="D25" s="473"/>
      <c r="E25" s="473"/>
      <c r="F25" s="473"/>
      <c r="G25" s="473"/>
      <c r="H25" s="1971">
        <v>0</v>
      </c>
      <c r="I25" s="593"/>
      <c r="J25" s="473"/>
      <c r="K25" s="1644">
        <f t="shared" si="0"/>
        <v>0</v>
      </c>
      <c r="L25" s="1992">
        <v>0</v>
      </c>
    </row>
    <row r="26" spans="1:12" x14ac:dyDescent="0.2">
      <c r="A26" s="1478" t="s">
        <v>622</v>
      </c>
      <c r="B26" s="579" t="s">
        <v>731</v>
      </c>
      <c r="C26" s="473"/>
      <c r="D26" s="473"/>
      <c r="E26" s="473"/>
      <c r="F26" s="473"/>
      <c r="G26" s="473"/>
      <c r="H26" s="1971">
        <v>0</v>
      </c>
      <c r="I26" s="593"/>
      <c r="J26" s="473"/>
      <c r="K26" s="1644">
        <f t="shared" si="0"/>
        <v>0</v>
      </c>
      <c r="L26" s="1992">
        <v>0</v>
      </c>
    </row>
    <row r="27" spans="1:12" x14ac:dyDescent="0.2">
      <c r="A27" s="1478" t="s">
        <v>623</v>
      </c>
      <c r="B27" s="579" t="s">
        <v>732</v>
      </c>
      <c r="C27" s="473"/>
      <c r="D27" s="473"/>
      <c r="E27" s="473"/>
      <c r="F27" s="473"/>
      <c r="G27" s="473"/>
      <c r="H27" s="1971">
        <v>0</v>
      </c>
      <c r="I27" s="593"/>
      <c r="J27" s="473"/>
      <c r="K27" s="1644">
        <f t="shared" si="0"/>
        <v>0</v>
      </c>
      <c r="L27" s="1992">
        <v>0</v>
      </c>
    </row>
    <row r="28" spans="1:12" x14ac:dyDescent="0.2">
      <c r="A28" s="1478" t="s">
        <v>150</v>
      </c>
      <c r="B28" s="579" t="s">
        <v>733</v>
      </c>
      <c r="C28" s="473"/>
      <c r="D28" s="473"/>
      <c r="E28" s="473"/>
      <c r="F28" s="473"/>
      <c r="G28" s="473"/>
      <c r="H28" s="1971">
        <v>0</v>
      </c>
      <c r="I28" s="593"/>
      <c r="J28" s="473"/>
      <c r="K28" s="1644">
        <f t="shared" si="0"/>
        <v>0</v>
      </c>
      <c r="L28" s="1992">
        <v>0</v>
      </c>
    </row>
    <row r="29" spans="1:12" x14ac:dyDescent="0.2">
      <c r="A29" s="1478" t="s">
        <v>151</v>
      </c>
      <c r="B29" s="579" t="s">
        <v>734</v>
      </c>
      <c r="C29" s="473"/>
      <c r="D29" s="473"/>
      <c r="E29" s="473"/>
      <c r="F29" s="473"/>
      <c r="G29" s="473"/>
      <c r="H29" s="1971">
        <v>0</v>
      </c>
      <c r="I29" s="593"/>
      <c r="J29" s="473"/>
      <c r="K29" s="1644">
        <f t="shared" si="0"/>
        <v>0</v>
      </c>
      <c r="L29" s="1992">
        <v>0</v>
      </c>
    </row>
    <row r="30" spans="1:12" x14ac:dyDescent="0.2">
      <c r="A30" s="1478" t="s">
        <v>152</v>
      </c>
      <c r="B30" s="579" t="s">
        <v>735</v>
      </c>
      <c r="C30" s="473"/>
      <c r="D30" s="473"/>
      <c r="E30" s="473"/>
      <c r="F30" s="473"/>
      <c r="G30" s="473"/>
      <c r="H30" s="1971">
        <v>0</v>
      </c>
      <c r="I30" s="593"/>
      <c r="J30" s="473"/>
      <c r="K30" s="1644">
        <f t="shared" si="0"/>
        <v>0</v>
      </c>
      <c r="L30" s="1992">
        <v>0</v>
      </c>
    </row>
    <row r="31" spans="1:12" x14ac:dyDescent="0.2">
      <c r="A31" s="1478" t="s">
        <v>153</v>
      </c>
      <c r="B31" s="579" t="s">
        <v>736</v>
      </c>
      <c r="C31" s="473"/>
      <c r="D31" s="473"/>
      <c r="E31" s="473"/>
      <c r="F31" s="473"/>
      <c r="G31" s="473"/>
      <c r="H31" s="1971">
        <v>0</v>
      </c>
      <c r="I31" s="593"/>
      <c r="J31" s="473"/>
      <c r="K31" s="1644">
        <f t="shared" si="0"/>
        <v>0</v>
      </c>
      <c r="L31" s="1992">
        <v>0</v>
      </c>
    </row>
    <row r="32" spans="1:12" x14ac:dyDescent="0.2">
      <c r="A32" s="1479" t="s">
        <v>1129</v>
      </c>
      <c r="B32" s="591" t="s">
        <v>737</v>
      </c>
      <c r="C32" s="473"/>
      <c r="D32" s="473"/>
      <c r="E32" s="473"/>
      <c r="F32" s="473"/>
      <c r="G32" s="473"/>
      <c r="H32" s="1971">
        <v>0</v>
      </c>
      <c r="I32" s="593"/>
      <c r="J32" s="476"/>
      <c r="K32" s="1644">
        <f t="shared" si="0"/>
        <v>0</v>
      </c>
      <c r="L32" s="1992">
        <v>0</v>
      </c>
    </row>
    <row r="33" spans="1:14" ht="12.75" customHeight="1" thickBot="1" x14ac:dyDescent="0.25">
      <c r="A33" s="1641" t="s">
        <v>1668</v>
      </c>
      <c r="B33" s="1642" t="s">
        <v>570</v>
      </c>
      <c r="C33" s="1643">
        <f>SUM(C5:C32)</f>
        <v>1656395</v>
      </c>
      <c r="D33" s="1643">
        <f t="shared" ref="D33:L33" si="1">SUM(D5:D32)</f>
        <v>387117</v>
      </c>
      <c r="E33" s="1643">
        <f t="shared" si="1"/>
        <v>83198</v>
      </c>
      <c r="F33" s="1643">
        <f t="shared" si="1"/>
        <v>166296</v>
      </c>
      <c r="G33" s="1643">
        <f t="shared" si="1"/>
        <v>0</v>
      </c>
      <c r="H33" s="1643">
        <f t="shared" si="1"/>
        <v>97822</v>
      </c>
      <c r="I33" s="1643">
        <f t="shared" si="1"/>
        <v>8415</v>
      </c>
      <c r="J33" s="1643">
        <f t="shared" si="1"/>
        <v>0</v>
      </c>
      <c r="K33" s="1643">
        <f t="shared" si="1"/>
        <v>2399243</v>
      </c>
      <c r="L33" s="1643">
        <f t="shared" si="1"/>
        <v>2449974</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42143</v>
      </c>
      <c r="D36" s="477">
        <v>12959</v>
      </c>
      <c r="E36" s="477">
        <v>11830</v>
      </c>
      <c r="F36" s="477">
        <v>0</v>
      </c>
      <c r="G36" s="477">
        <v>0</v>
      </c>
      <c r="H36" s="477">
        <v>0</v>
      </c>
      <c r="I36" s="1969">
        <v>0</v>
      </c>
      <c r="J36" s="1969">
        <v>0</v>
      </c>
      <c r="K36" s="1644">
        <f t="shared" ref="K36:K41" si="2">SUM(C36:J36)</f>
        <v>66932</v>
      </c>
      <c r="L36" s="1990">
        <v>75222</v>
      </c>
    </row>
    <row r="37" spans="1:14" x14ac:dyDescent="0.2">
      <c r="A37" s="1477" t="s">
        <v>1090</v>
      </c>
      <c r="B37" s="591">
        <v>2120</v>
      </c>
      <c r="C37" s="1968">
        <v>0</v>
      </c>
      <c r="D37" s="1968">
        <v>0</v>
      </c>
      <c r="E37" s="1968">
        <v>0</v>
      </c>
      <c r="F37" s="1968">
        <v>0</v>
      </c>
      <c r="G37" s="1968">
        <v>0</v>
      </c>
      <c r="H37" s="1968">
        <v>0</v>
      </c>
      <c r="I37" s="1969">
        <v>0</v>
      </c>
      <c r="J37" s="1969">
        <v>0</v>
      </c>
      <c r="K37" s="1644">
        <f t="shared" si="2"/>
        <v>0</v>
      </c>
      <c r="L37" s="1990">
        <v>0</v>
      </c>
    </row>
    <row r="38" spans="1:14" x14ac:dyDescent="0.2">
      <c r="A38" s="1477" t="s">
        <v>198</v>
      </c>
      <c r="B38" s="591">
        <v>2130</v>
      </c>
      <c r="C38" s="1968">
        <v>132723</v>
      </c>
      <c r="D38" s="1968">
        <v>10381</v>
      </c>
      <c r="E38" s="1968">
        <v>8130</v>
      </c>
      <c r="F38" s="1968">
        <v>0</v>
      </c>
      <c r="G38" s="1968">
        <v>0</v>
      </c>
      <c r="H38" s="1968">
        <v>0</v>
      </c>
      <c r="I38" s="1969">
        <v>0</v>
      </c>
      <c r="J38" s="1969">
        <v>0</v>
      </c>
      <c r="K38" s="1644">
        <f t="shared" si="2"/>
        <v>151234</v>
      </c>
      <c r="L38" s="1990">
        <v>151426</v>
      </c>
    </row>
    <row r="39" spans="1:14" x14ac:dyDescent="0.2">
      <c r="A39" s="1477" t="s">
        <v>199</v>
      </c>
      <c r="B39" s="591">
        <v>2140</v>
      </c>
      <c r="C39" s="1968">
        <v>70000</v>
      </c>
      <c r="D39" s="1968">
        <v>12101</v>
      </c>
      <c r="E39" s="1968">
        <v>0</v>
      </c>
      <c r="F39" s="1968">
        <v>0</v>
      </c>
      <c r="G39" s="1968">
        <v>0</v>
      </c>
      <c r="H39" s="1968">
        <v>0</v>
      </c>
      <c r="I39" s="1969">
        <v>0</v>
      </c>
      <c r="J39" s="1969">
        <v>0</v>
      </c>
      <c r="K39" s="1644">
        <f t="shared" si="2"/>
        <v>82101</v>
      </c>
      <c r="L39" s="1990">
        <v>83150</v>
      </c>
    </row>
    <row r="40" spans="1:14" x14ac:dyDescent="0.2">
      <c r="A40" s="1477" t="s">
        <v>200</v>
      </c>
      <c r="B40" s="591">
        <v>2150</v>
      </c>
      <c r="C40" s="1968">
        <v>47222</v>
      </c>
      <c r="D40" s="1968">
        <v>13346</v>
      </c>
      <c r="E40" s="1968">
        <v>46118</v>
      </c>
      <c r="F40" s="1968">
        <v>0</v>
      </c>
      <c r="G40" s="1968">
        <v>0</v>
      </c>
      <c r="H40" s="1968">
        <v>0</v>
      </c>
      <c r="I40" s="1969">
        <v>0</v>
      </c>
      <c r="J40" s="1969">
        <v>0</v>
      </c>
      <c r="K40" s="1644">
        <f t="shared" si="2"/>
        <v>106686</v>
      </c>
      <c r="L40" s="1990">
        <v>59347</v>
      </c>
    </row>
    <row r="41" spans="1:14" x14ac:dyDescent="0.2">
      <c r="A41" s="1477" t="s">
        <v>1669</v>
      </c>
      <c r="B41" s="591">
        <v>2190</v>
      </c>
      <c r="C41" s="1968">
        <v>0</v>
      </c>
      <c r="D41" s="1968">
        <v>0</v>
      </c>
      <c r="E41" s="1968">
        <v>0</v>
      </c>
      <c r="F41" s="1968">
        <v>0</v>
      </c>
      <c r="G41" s="1968">
        <v>0</v>
      </c>
      <c r="H41" s="1968">
        <v>0</v>
      </c>
      <c r="I41" s="1969">
        <v>0</v>
      </c>
      <c r="J41" s="1969">
        <v>0</v>
      </c>
      <c r="K41" s="1644">
        <f t="shared" si="2"/>
        <v>0</v>
      </c>
      <c r="L41" s="1990">
        <v>54600</v>
      </c>
    </row>
    <row r="42" spans="1:14" ht="12.75" customHeight="1" thickBot="1" x14ac:dyDescent="0.25">
      <c r="A42" s="1641" t="s">
        <v>560</v>
      </c>
      <c r="B42" s="1642" t="s">
        <v>716</v>
      </c>
      <c r="C42" s="1643">
        <f>SUM(C36:C41)</f>
        <v>292088</v>
      </c>
      <c r="D42" s="1643">
        <f t="shared" ref="D42:L42" si="3">SUM(D36:D41)</f>
        <v>48787</v>
      </c>
      <c r="E42" s="1643">
        <f t="shared" si="3"/>
        <v>66078</v>
      </c>
      <c r="F42" s="1643">
        <f t="shared" si="3"/>
        <v>0</v>
      </c>
      <c r="G42" s="1643">
        <f t="shared" si="3"/>
        <v>0</v>
      </c>
      <c r="H42" s="1643">
        <f t="shared" si="3"/>
        <v>0</v>
      </c>
      <c r="I42" s="1643">
        <f t="shared" si="3"/>
        <v>0</v>
      </c>
      <c r="J42" s="1643">
        <f t="shared" si="3"/>
        <v>0</v>
      </c>
      <c r="K42" s="1643">
        <f t="shared" si="3"/>
        <v>406953</v>
      </c>
      <c r="L42" s="1643">
        <f t="shared" si="3"/>
        <v>423745</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61174</v>
      </c>
      <c r="D44" s="477">
        <v>3843</v>
      </c>
      <c r="E44" s="477">
        <v>18782</v>
      </c>
      <c r="F44" s="477">
        <v>0</v>
      </c>
      <c r="G44" s="477">
        <v>0</v>
      </c>
      <c r="H44" s="477">
        <v>0</v>
      </c>
      <c r="I44" s="1969">
        <v>0</v>
      </c>
      <c r="J44" s="1969">
        <v>0</v>
      </c>
      <c r="K44" s="1645">
        <f>SUM(C44:J44)</f>
        <v>83799</v>
      </c>
      <c r="L44" s="477">
        <v>84920</v>
      </c>
    </row>
    <row r="45" spans="1:14" x14ac:dyDescent="0.2">
      <c r="A45" s="1477" t="s">
        <v>815</v>
      </c>
      <c r="B45" s="591">
        <v>2220</v>
      </c>
      <c r="C45" s="1968">
        <v>0</v>
      </c>
      <c r="D45" s="1968">
        <v>0</v>
      </c>
      <c r="E45" s="1968">
        <v>126816</v>
      </c>
      <c r="F45" s="1968">
        <v>4014</v>
      </c>
      <c r="G45" s="1968">
        <v>3016</v>
      </c>
      <c r="H45" s="1968">
        <v>0</v>
      </c>
      <c r="I45" s="1969">
        <v>36470</v>
      </c>
      <c r="J45" s="1969">
        <v>0</v>
      </c>
      <c r="K45" s="1645">
        <f>SUM(C45:J45)</f>
        <v>170316</v>
      </c>
      <c r="L45" s="1990">
        <v>233850</v>
      </c>
    </row>
    <row r="46" spans="1:14" x14ac:dyDescent="0.2">
      <c r="A46" s="1477" t="s">
        <v>816</v>
      </c>
      <c r="B46" s="591">
        <v>2230</v>
      </c>
      <c r="C46" s="1968">
        <v>0</v>
      </c>
      <c r="D46" s="1968">
        <v>0</v>
      </c>
      <c r="E46" s="1968">
        <v>0</v>
      </c>
      <c r="F46" s="1968">
        <v>0</v>
      </c>
      <c r="G46" s="1968">
        <v>0</v>
      </c>
      <c r="H46" s="1968">
        <v>0</v>
      </c>
      <c r="I46" s="1969">
        <v>0</v>
      </c>
      <c r="J46" s="1969">
        <v>0</v>
      </c>
      <c r="K46" s="1645">
        <f>SUM(C46:J46)</f>
        <v>0</v>
      </c>
      <c r="L46" s="1990">
        <v>0</v>
      </c>
    </row>
    <row r="47" spans="1:14" ht="12.75" customHeight="1" thickBot="1" x14ac:dyDescent="0.25">
      <c r="A47" s="1641" t="s">
        <v>561</v>
      </c>
      <c r="B47" s="1642" t="s">
        <v>32</v>
      </c>
      <c r="C47" s="1643">
        <f>SUM(C44:C46)</f>
        <v>61174</v>
      </c>
      <c r="D47" s="1643">
        <f t="shared" ref="D47:K47" si="4">SUM(D44:D46)</f>
        <v>3843</v>
      </c>
      <c r="E47" s="1643">
        <f t="shared" si="4"/>
        <v>145598</v>
      </c>
      <c r="F47" s="1643">
        <f t="shared" si="4"/>
        <v>4014</v>
      </c>
      <c r="G47" s="1643">
        <f t="shared" si="4"/>
        <v>3016</v>
      </c>
      <c r="H47" s="1643">
        <f t="shared" si="4"/>
        <v>0</v>
      </c>
      <c r="I47" s="1643">
        <f t="shared" si="4"/>
        <v>36470</v>
      </c>
      <c r="J47" s="1643">
        <f t="shared" si="4"/>
        <v>0</v>
      </c>
      <c r="K47" s="1643">
        <f t="shared" si="4"/>
        <v>254115</v>
      </c>
      <c r="L47" s="1643">
        <f>SUM(L44:L46)</f>
        <v>318770</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0</v>
      </c>
      <c r="D49" s="477">
        <v>0</v>
      </c>
      <c r="E49" s="477">
        <v>47712</v>
      </c>
      <c r="F49" s="477">
        <v>0</v>
      </c>
      <c r="G49" s="477">
        <v>0</v>
      </c>
      <c r="H49" s="477">
        <v>0</v>
      </c>
      <c r="I49" s="1969">
        <v>0</v>
      </c>
      <c r="J49" s="1969">
        <v>0</v>
      </c>
      <c r="K49" s="1645">
        <f>SUM(C49:J49)</f>
        <v>47712</v>
      </c>
      <c r="L49" s="477">
        <v>53550</v>
      </c>
    </row>
    <row r="50" spans="1:14" x14ac:dyDescent="0.2">
      <c r="A50" s="1477" t="s">
        <v>818</v>
      </c>
      <c r="B50" s="591">
        <v>2320</v>
      </c>
      <c r="C50" s="1968">
        <v>102483</v>
      </c>
      <c r="D50" s="1968">
        <v>33886</v>
      </c>
      <c r="E50" s="1968">
        <v>1278</v>
      </c>
      <c r="F50" s="1968">
        <v>1199</v>
      </c>
      <c r="G50" s="1968">
        <v>0</v>
      </c>
      <c r="H50" s="1968">
        <v>1251</v>
      </c>
      <c r="I50" s="1969">
        <v>0</v>
      </c>
      <c r="J50" s="1969">
        <v>0</v>
      </c>
      <c r="K50" s="1645">
        <f>SUM(C50:J50)</f>
        <v>140097</v>
      </c>
      <c r="L50" s="1990">
        <v>140516</v>
      </c>
    </row>
    <row r="51" spans="1:14" x14ac:dyDescent="0.2">
      <c r="A51" s="1477" t="s">
        <v>42</v>
      </c>
      <c r="B51" s="591">
        <v>2330</v>
      </c>
      <c r="C51" s="1968">
        <v>0</v>
      </c>
      <c r="D51" s="1968">
        <v>0</v>
      </c>
      <c r="E51" s="1968">
        <v>0</v>
      </c>
      <c r="F51" s="1968">
        <v>0</v>
      </c>
      <c r="G51" s="1968">
        <v>0</v>
      </c>
      <c r="H51" s="1968">
        <v>0</v>
      </c>
      <c r="I51" s="1969">
        <v>0</v>
      </c>
      <c r="J51" s="1969">
        <v>0</v>
      </c>
      <c r="K51" s="1645">
        <f>SUM(C51:J51)</f>
        <v>0</v>
      </c>
      <c r="L51" s="1990">
        <v>0</v>
      </c>
    </row>
    <row r="52" spans="1:14" ht="22.5" x14ac:dyDescent="0.2">
      <c r="A52" s="1478" t="s">
        <v>298</v>
      </c>
      <c r="B52" s="604" t="s">
        <v>366</v>
      </c>
      <c r="C52" s="1971">
        <v>0</v>
      </c>
      <c r="D52" s="1971">
        <v>0</v>
      </c>
      <c r="E52" s="1971">
        <v>0</v>
      </c>
      <c r="F52" s="1971">
        <v>0</v>
      </c>
      <c r="G52" s="1971">
        <v>0</v>
      </c>
      <c r="H52" s="1971">
        <v>0</v>
      </c>
      <c r="I52" s="1971">
        <v>0</v>
      </c>
      <c r="J52" s="1971">
        <v>0</v>
      </c>
      <c r="K52" s="1645">
        <f>SUM(C52:J52)</f>
        <v>0</v>
      </c>
      <c r="L52" s="1993">
        <v>0</v>
      </c>
    </row>
    <row r="53" spans="1:14" ht="12.75" customHeight="1" thickBot="1" x14ac:dyDescent="0.25">
      <c r="A53" s="1641" t="s">
        <v>717</v>
      </c>
      <c r="B53" s="1642" t="s">
        <v>33</v>
      </c>
      <c r="C53" s="1643">
        <f>SUM(C49:C52)</f>
        <v>102483</v>
      </c>
      <c r="D53" s="1643">
        <f t="shared" ref="D53:L53" si="5">SUM(D49:D52)</f>
        <v>33886</v>
      </c>
      <c r="E53" s="1643">
        <f t="shared" si="5"/>
        <v>48990</v>
      </c>
      <c r="F53" s="1643">
        <f t="shared" si="5"/>
        <v>1199</v>
      </c>
      <c r="G53" s="1643">
        <f t="shared" si="5"/>
        <v>0</v>
      </c>
      <c r="H53" s="1643">
        <f t="shared" si="5"/>
        <v>1251</v>
      </c>
      <c r="I53" s="1643">
        <f t="shared" si="5"/>
        <v>0</v>
      </c>
      <c r="J53" s="1643">
        <f t="shared" si="5"/>
        <v>0</v>
      </c>
      <c r="K53" s="1643">
        <f t="shared" si="5"/>
        <v>187809</v>
      </c>
      <c r="L53" s="1643">
        <f t="shared" si="5"/>
        <v>194066</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225641</v>
      </c>
      <c r="D55" s="477">
        <v>50313</v>
      </c>
      <c r="E55" s="477">
        <v>0</v>
      </c>
      <c r="F55" s="477">
        <v>0</v>
      </c>
      <c r="G55" s="477">
        <v>0</v>
      </c>
      <c r="H55" s="477">
        <v>385</v>
      </c>
      <c r="I55" s="1969">
        <v>0</v>
      </c>
      <c r="J55" s="1969">
        <v>0</v>
      </c>
      <c r="K55" s="1645">
        <f>SUM(C55:J55)</f>
        <v>276339</v>
      </c>
      <c r="L55" s="477">
        <v>273077</v>
      </c>
    </row>
    <row r="56" spans="1:14" ht="12.75" customHeight="1" x14ac:dyDescent="0.2">
      <c r="A56" s="1481" t="s">
        <v>376</v>
      </c>
      <c r="B56" s="605">
        <v>2490</v>
      </c>
      <c r="C56" s="1968">
        <v>0</v>
      </c>
      <c r="D56" s="1968">
        <v>0</v>
      </c>
      <c r="E56" s="1968">
        <v>0</v>
      </c>
      <c r="F56" s="1968">
        <v>0</v>
      </c>
      <c r="G56" s="1968">
        <v>0</v>
      </c>
      <c r="H56" s="1968">
        <v>0</v>
      </c>
      <c r="I56" s="1969">
        <v>0</v>
      </c>
      <c r="J56" s="1969">
        <v>0</v>
      </c>
      <c r="K56" s="1645">
        <f>SUM(C56:J56)</f>
        <v>0</v>
      </c>
      <c r="L56" s="1990">
        <v>0</v>
      </c>
    </row>
    <row r="57" spans="1:14" s="343" customFormat="1" ht="12.75" customHeight="1" thickBot="1" x14ac:dyDescent="0.25">
      <c r="A57" s="1641" t="s">
        <v>263</v>
      </c>
      <c r="B57" s="1646" t="s">
        <v>34</v>
      </c>
      <c r="C57" s="1647">
        <f>SUM(C55:C56)</f>
        <v>225641</v>
      </c>
      <c r="D57" s="1647">
        <f t="shared" ref="D57:K57" si="6">SUM(D55:D56)</f>
        <v>50313</v>
      </c>
      <c r="E57" s="1647">
        <f t="shared" si="6"/>
        <v>0</v>
      </c>
      <c r="F57" s="1647">
        <f t="shared" si="6"/>
        <v>0</v>
      </c>
      <c r="G57" s="1647">
        <f t="shared" si="6"/>
        <v>0</v>
      </c>
      <c r="H57" s="1647">
        <f t="shared" si="6"/>
        <v>385</v>
      </c>
      <c r="I57" s="1647">
        <f t="shared" si="6"/>
        <v>0</v>
      </c>
      <c r="J57" s="1647">
        <f t="shared" si="6"/>
        <v>0</v>
      </c>
      <c r="K57" s="1647">
        <f t="shared" si="6"/>
        <v>276339</v>
      </c>
      <c r="L57" s="1643">
        <f>SUM(L55:L56)</f>
        <v>273077</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0</v>
      </c>
      <c r="D59" s="477">
        <v>0</v>
      </c>
      <c r="E59" s="477">
        <v>0</v>
      </c>
      <c r="F59" s="477">
        <v>0</v>
      </c>
      <c r="G59" s="477">
        <v>0</v>
      </c>
      <c r="H59" s="477">
        <v>0</v>
      </c>
      <c r="I59" s="1969">
        <v>0</v>
      </c>
      <c r="J59" s="1969">
        <v>0</v>
      </c>
      <c r="K59" s="1645">
        <f t="shared" ref="K59:K64" si="7">SUM(C59:J59)</f>
        <v>0</v>
      </c>
      <c r="L59" s="477">
        <v>0</v>
      </c>
      <c r="M59" s="586"/>
      <c r="N59" s="586"/>
    </row>
    <row r="60" spans="1:14" s="343" customFormat="1" x14ac:dyDescent="0.2">
      <c r="A60" s="1477" t="s">
        <v>463</v>
      </c>
      <c r="B60" s="591">
        <v>2520</v>
      </c>
      <c r="C60" s="1968">
        <v>65064</v>
      </c>
      <c r="D60" s="1968">
        <v>10381</v>
      </c>
      <c r="E60" s="1968">
        <v>29172</v>
      </c>
      <c r="F60" s="1968">
        <v>951</v>
      </c>
      <c r="G60" s="1968">
        <v>2027</v>
      </c>
      <c r="H60" s="1968">
        <v>0</v>
      </c>
      <c r="I60" s="1969">
        <v>0</v>
      </c>
      <c r="J60" s="1969">
        <v>0</v>
      </c>
      <c r="K60" s="1645">
        <f t="shared" si="7"/>
        <v>107595</v>
      </c>
      <c r="L60" s="1990">
        <v>106702</v>
      </c>
      <c r="M60" s="586"/>
      <c r="N60" s="586"/>
    </row>
    <row r="61" spans="1:14" s="343" customFormat="1" x14ac:dyDescent="0.2">
      <c r="A61" s="1477" t="s">
        <v>197</v>
      </c>
      <c r="B61" s="591">
        <v>2540</v>
      </c>
      <c r="C61" s="1968">
        <v>0</v>
      </c>
      <c r="D61" s="1968">
        <v>0</v>
      </c>
      <c r="E61" s="1968">
        <v>21217</v>
      </c>
      <c r="F61" s="1968">
        <v>1805</v>
      </c>
      <c r="G61" s="1968">
        <v>0</v>
      </c>
      <c r="H61" s="1968">
        <v>0</v>
      </c>
      <c r="I61" s="1969">
        <v>0</v>
      </c>
      <c r="J61" s="1969">
        <v>0</v>
      </c>
      <c r="K61" s="1645">
        <f t="shared" si="7"/>
        <v>23022</v>
      </c>
      <c r="L61" s="1990">
        <v>27000</v>
      </c>
      <c r="M61" s="586"/>
      <c r="N61" s="586"/>
    </row>
    <row r="62" spans="1:14" s="343" customFormat="1" x14ac:dyDescent="0.2">
      <c r="A62" s="1477" t="s">
        <v>953</v>
      </c>
      <c r="B62" s="591">
        <v>2550</v>
      </c>
      <c r="C62" s="1968">
        <v>0</v>
      </c>
      <c r="D62" s="1968">
        <v>0</v>
      </c>
      <c r="E62" s="1968">
        <v>0</v>
      </c>
      <c r="F62" s="1968">
        <v>0</v>
      </c>
      <c r="G62" s="1968">
        <v>0</v>
      </c>
      <c r="H62" s="1968">
        <v>0</v>
      </c>
      <c r="I62" s="1969">
        <v>0</v>
      </c>
      <c r="J62" s="1969">
        <v>0</v>
      </c>
      <c r="K62" s="1645">
        <f t="shared" si="7"/>
        <v>0</v>
      </c>
      <c r="L62" s="1990">
        <v>0</v>
      </c>
      <c r="M62" s="586"/>
      <c r="N62" s="586"/>
    </row>
    <row r="63" spans="1:14" s="586" customFormat="1" x14ac:dyDescent="0.2">
      <c r="A63" s="1477" t="s">
        <v>100</v>
      </c>
      <c r="B63" s="591">
        <v>2560</v>
      </c>
      <c r="C63" s="1968">
        <v>70127</v>
      </c>
      <c r="D63" s="1968">
        <v>16301</v>
      </c>
      <c r="E63" s="1968">
        <v>1250</v>
      </c>
      <c r="F63" s="1968">
        <v>123326</v>
      </c>
      <c r="G63" s="1968">
        <v>3232</v>
      </c>
      <c r="H63" s="1968">
        <v>152</v>
      </c>
      <c r="I63" s="1969">
        <v>599</v>
      </c>
      <c r="J63" s="1969">
        <v>0</v>
      </c>
      <c r="K63" s="1645">
        <f t="shared" si="7"/>
        <v>214987</v>
      </c>
      <c r="L63" s="1990">
        <v>281200</v>
      </c>
    </row>
    <row r="64" spans="1:14" s="586" customFormat="1" x14ac:dyDescent="0.2">
      <c r="A64" s="1482" t="s">
        <v>101</v>
      </c>
      <c r="B64" s="607">
        <v>2570</v>
      </c>
      <c r="C64" s="477">
        <v>0</v>
      </c>
      <c r="D64" s="477">
        <v>0</v>
      </c>
      <c r="E64" s="477">
        <v>0</v>
      </c>
      <c r="F64" s="477">
        <v>0</v>
      </c>
      <c r="G64" s="477">
        <v>0</v>
      </c>
      <c r="H64" s="477">
        <v>0</v>
      </c>
      <c r="I64" s="1969">
        <v>0</v>
      </c>
      <c r="J64" s="1969">
        <v>0</v>
      </c>
      <c r="K64" s="1645">
        <f t="shared" si="7"/>
        <v>0</v>
      </c>
      <c r="L64" s="477">
        <v>0</v>
      </c>
    </row>
    <row r="65" spans="1:14" s="343" customFormat="1" ht="12.75" customHeight="1" thickBot="1" x14ac:dyDescent="0.25">
      <c r="A65" s="1641" t="s">
        <v>719</v>
      </c>
      <c r="B65" s="1642" t="s">
        <v>35</v>
      </c>
      <c r="C65" s="1643">
        <f>SUM(C59:C64)</f>
        <v>135191</v>
      </c>
      <c r="D65" s="1643">
        <f t="shared" ref="D65:L65" si="8">SUM(D59:D64)</f>
        <v>26682</v>
      </c>
      <c r="E65" s="1643">
        <f t="shared" si="8"/>
        <v>51639</v>
      </c>
      <c r="F65" s="1643">
        <f t="shared" si="8"/>
        <v>126082</v>
      </c>
      <c r="G65" s="1643">
        <f t="shared" si="8"/>
        <v>5259</v>
      </c>
      <c r="H65" s="1643">
        <f t="shared" si="8"/>
        <v>152</v>
      </c>
      <c r="I65" s="1643">
        <f t="shared" si="8"/>
        <v>599</v>
      </c>
      <c r="J65" s="1643">
        <f t="shared" si="8"/>
        <v>0</v>
      </c>
      <c r="K65" s="1643">
        <f t="shared" si="8"/>
        <v>345604</v>
      </c>
      <c r="L65" s="1643">
        <f t="shared" si="8"/>
        <v>414902</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8">
        <v>0</v>
      </c>
      <c r="D67" s="1968">
        <v>0</v>
      </c>
      <c r="E67" s="1968">
        <v>0</v>
      </c>
      <c r="F67" s="1968">
        <v>0</v>
      </c>
      <c r="G67" s="1968">
        <v>0</v>
      </c>
      <c r="H67" s="1968">
        <v>0</v>
      </c>
      <c r="I67" s="1969">
        <v>0</v>
      </c>
      <c r="J67" s="1969">
        <v>0</v>
      </c>
      <c r="K67" s="1645">
        <f>SUM(C67:J67)</f>
        <v>0</v>
      </c>
      <c r="L67" s="477">
        <v>0</v>
      </c>
      <c r="M67" s="586"/>
      <c r="N67" s="586"/>
    </row>
    <row r="68" spans="1:14" s="343" customFormat="1" x14ac:dyDescent="0.2">
      <c r="A68" s="1477" t="s">
        <v>607</v>
      </c>
      <c r="B68" s="591">
        <v>2620</v>
      </c>
      <c r="C68" s="1968">
        <v>0</v>
      </c>
      <c r="D68" s="1968">
        <v>0</v>
      </c>
      <c r="E68" s="1968">
        <v>0</v>
      </c>
      <c r="F68" s="1968">
        <v>0</v>
      </c>
      <c r="G68" s="1968">
        <v>0</v>
      </c>
      <c r="H68" s="1968">
        <v>0</v>
      </c>
      <c r="I68" s="1969">
        <v>0</v>
      </c>
      <c r="J68" s="1969">
        <v>0</v>
      </c>
      <c r="K68" s="1645">
        <f>SUM(C68:J68)</f>
        <v>0</v>
      </c>
      <c r="L68" s="1990">
        <v>0</v>
      </c>
      <c r="M68" s="586"/>
      <c r="N68" s="586"/>
    </row>
    <row r="69" spans="1:14" s="343" customFormat="1" x14ac:dyDescent="0.2">
      <c r="A69" s="1477" t="s">
        <v>1061</v>
      </c>
      <c r="B69" s="591">
        <v>2630</v>
      </c>
      <c r="C69" s="1968">
        <v>0</v>
      </c>
      <c r="D69" s="1968">
        <v>0</v>
      </c>
      <c r="E69" s="1968">
        <v>0</v>
      </c>
      <c r="F69" s="1968">
        <v>0</v>
      </c>
      <c r="G69" s="1968">
        <v>0</v>
      </c>
      <c r="H69" s="1968">
        <v>0</v>
      </c>
      <c r="I69" s="1969">
        <v>0</v>
      </c>
      <c r="J69" s="1969">
        <v>0</v>
      </c>
      <c r="K69" s="1645">
        <f>SUM(C69:J69)</f>
        <v>0</v>
      </c>
      <c r="L69" s="1990">
        <v>0</v>
      </c>
      <c r="M69" s="586"/>
      <c r="N69" s="586"/>
    </row>
    <row r="70" spans="1:14" s="343" customFormat="1" x14ac:dyDescent="0.2">
      <c r="A70" s="1477" t="s">
        <v>403</v>
      </c>
      <c r="B70" s="591">
        <v>2640</v>
      </c>
      <c r="C70" s="1968">
        <v>0</v>
      </c>
      <c r="D70" s="1968">
        <v>0</v>
      </c>
      <c r="E70" s="1968">
        <v>0</v>
      </c>
      <c r="F70" s="1968">
        <v>0</v>
      </c>
      <c r="G70" s="1968">
        <v>0</v>
      </c>
      <c r="H70" s="1968">
        <v>0</v>
      </c>
      <c r="I70" s="1969">
        <v>0</v>
      </c>
      <c r="J70" s="1969">
        <v>0</v>
      </c>
      <c r="K70" s="1645">
        <f>SUM(C70:J70)</f>
        <v>0</v>
      </c>
      <c r="L70" s="1990">
        <v>0</v>
      </c>
      <c r="M70" s="586"/>
      <c r="N70" s="586"/>
    </row>
    <row r="71" spans="1:14" s="343" customFormat="1" x14ac:dyDescent="0.2">
      <c r="A71" s="1477" t="s">
        <v>404</v>
      </c>
      <c r="B71" s="591">
        <v>2660</v>
      </c>
      <c r="C71" s="1968">
        <v>0</v>
      </c>
      <c r="D71" s="1968">
        <v>0</v>
      </c>
      <c r="E71" s="1968">
        <v>0</v>
      </c>
      <c r="F71" s="1968">
        <v>0</v>
      </c>
      <c r="G71" s="1968">
        <v>0</v>
      </c>
      <c r="H71" s="1968">
        <v>0</v>
      </c>
      <c r="I71" s="1969">
        <v>0</v>
      </c>
      <c r="J71" s="1969">
        <v>0</v>
      </c>
      <c r="K71" s="1645">
        <f>SUM(C71:J71)</f>
        <v>0</v>
      </c>
      <c r="L71" s="1990">
        <v>0</v>
      </c>
      <c r="M71" s="586"/>
      <c r="N71" s="586"/>
    </row>
    <row r="72" spans="1:14" s="343" customFormat="1" ht="12.75" customHeight="1" thickBot="1" x14ac:dyDescent="0.25">
      <c r="A72" s="1641" t="s">
        <v>37</v>
      </c>
      <c r="B72" s="1648" t="s">
        <v>36</v>
      </c>
      <c r="C72" s="1643">
        <f>SUM(C67:C71)</f>
        <v>0</v>
      </c>
      <c r="D72" s="1643">
        <f t="shared" ref="D72:K72" si="9">SUM(D67:D71)</f>
        <v>0</v>
      </c>
      <c r="E72" s="1643">
        <f t="shared" si="9"/>
        <v>0</v>
      </c>
      <c r="F72" s="1643">
        <f t="shared" si="9"/>
        <v>0</v>
      </c>
      <c r="G72" s="1643">
        <f t="shared" si="9"/>
        <v>0</v>
      </c>
      <c r="H72" s="1643">
        <f t="shared" si="9"/>
        <v>0</v>
      </c>
      <c r="I72" s="1643">
        <f t="shared" si="9"/>
        <v>0</v>
      </c>
      <c r="J72" s="1643">
        <f t="shared" si="9"/>
        <v>0</v>
      </c>
      <c r="K72" s="1643">
        <f t="shared" si="9"/>
        <v>0</v>
      </c>
      <c r="L72" s="1643">
        <f>SUM(L67:L71)</f>
        <v>0</v>
      </c>
      <c r="M72" s="586"/>
      <c r="N72" s="586"/>
    </row>
    <row r="73" spans="1:14" s="343" customFormat="1" ht="14.25" thickTop="1" thickBot="1" x14ac:dyDescent="0.25">
      <c r="A73" s="1483" t="s">
        <v>980</v>
      </c>
      <c r="B73" s="609" t="s">
        <v>574</v>
      </c>
      <c r="C73" s="1979">
        <v>0</v>
      </c>
      <c r="D73" s="1979">
        <v>0</v>
      </c>
      <c r="E73" s="1979">
        <v>402</v>
      </c>
      <c r="F73" s="1979">
        <v>0</v>
      </c>
      <c r="G73" s="1979">
        <v>0</v>
      </c>
      <c r="H73" s="1979">
        <v>0</v>
      </c>
      <c r="I73" s="1976">
        <v>0</v>
      </c>
      <c r="J73" s="1976">
        <v>0</v>
      </c>
      <c r="K73" s="1643">
        <f>SUM(C73:J73)</f>
        <v>402</v>
      </c>
      <c r="L73" s="2003">
        <v>750</v>
      </c>
      <c r="M73" s="586"/>
      <c r="N73" s="586"/>
    </row>
    <row r="74" spans="1:14" ht="12.75" customHeight="1" thickTop="1" thickBot="1" x14ac:dyDescent="0.25">
      <c r="A74" s="1641" t="s">
        <v>811</v>
      </c>
      <c r="B74" s="1649">
        <v>2000</v>
      </c>
      <c r="C74" s="1650">
        <f>SUM(C42,C47,C53,C57,C65,C72,C73)</f>
        <v>816577</v>
      </c>
      <c r="D74" s="1650">
        <f t="shared" ref="D74:K74" si="10">SUM(D42,D47,D53,D57,D65,D72,D73)</f>
        <v>163511</v>
      </c>
      <c r="E74" s="1650">
        <f t="shared" si="10"/>
        <v>312707</v>
      </c>
      <c r="F74" s="1650">
        <f t="shared" si="10"/>
        <v>131295</v>
      </c>
      <c r="G74" s="1650">
        <f t="shared" si="10"/>
        <v>8275</v>
      </c>
      <c r="H74" s="1650">
        <f t="shared" si="10"/>
        <v>1788</v>
      </c>
      <c r="I74" s="1650">
        <f t="shared" si="10"/>
        <v>37069</v>
      </c>
      <c r="J74" s="1650">
        <f t="shared" si="10"/>
        <v>0</v>
      </c>
      <c r="K74" s="1650">
        <f t="shared" si="10"/>
        <v>1471222</v>
      </c>
      <c r="L74" s="1650">
        <f>SUM(L42,L47,L53,L57,L65,L72,L73)</f>
        <v>1625310</v>
      </c>
    </row>
    <row r="75" spans="1:14" s="259" customFormat="1" ht="15.75" customHeight="1" thickTop="1" thickBot="1" x14ac:dyDescent="0.25">
      <c r="A75" s="1583" t="s">
        <v>47</v>
      </c>
      <c r="B75" s="1584" t="s">
        <v>575</v>
      </c>
      <c r="C75" s="1979">
        <v>0</v>
      </c>
      <c r="D75" s="1979">
        <v>0</v>
      </c>
      <c r="E75" s="1979">
        <v>0</v>
      </c>
      <c r="F75" s="1979">
        <v>0</v>
      </c>
      <c r="G75" s="1979">
        <v>0</v>
      </c>
      <c r="H75" s="1979">
        <v>0</v>
      </c>
      <c r="I75" s="1976">
        <v>0</v>
      </c>
      <c r="J75" s="1976">
        <v>0</v>
      </c>
      <c r="K75" s="1643">
        <f>SUM(C75:J75)</f>
        <v>0</v>
      </c>
      <c r="L75" s="2003">
        <v>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8">
        <v>420</v>
      </c>
      <c r="F79" s="593"/>
      <c r="G79" s="593"/>
      <c r="H79" s="1968">
        <v>0</v>
      </c>
      <c r="I79" s="473"/>
      <c r="J79" s="473"/>
      <c r="K79" s="1644">
        <f t="shared" si="11"/>
        <v>420</v>
      </c>
      <c r="L79" s="1990">
        <v>1000</v>
      </c>
    </row>
    <row r="80" spans="1:14" x14ac:dyDescent="0.2">
      <c r="A80" s="1477" t="s">
        <v>305</v>
      </c>
      <c r="B80" s="591">
        <v>4130</v>
      </c>
      <c r="C80" s="593"/>
      <c r="D80" s="593"/>
      <c r="E80" s="1968">
        <v>0</v>
      </c>
      <c r="F80" s="593"/>
      <c r="G80" s="593"/>
      <c r="H80" s="1968">
        <v>0</v>
      </c>
      <c r="I80" s="473"/>
      <c r="J80" s="473"/>
      <c r="K80" s="1644">
        <f t="shared" si="11"/>
        <v>0</v>
      </c>
      <c r="L80" s="1990">
        <v>0</v>
      </c>
    </row>
    <row r="81" spans="1:12" x14ac:dyDescent="0.2">
      <c r="A81" s="1477" t="s">
        <v>697</v>
      </c>
      <c r="B81" s="591">
        <v>4140</v>
      </c>
      <c r="C81" s="593"/>
      <c r="D81" s="593"/>
      <c r="E81" s="1968">
        <v>0</v>
      </c>
      <c r="F81" s="593"/>
      <c r="G81" s="593"/>
      <c r="H81" s="1968">
        <v>0</v>
      </c>
      <c r="I81" s="473"/>
      <c r="J81" s="473"/>
      <c r="K81" s="1644">
        <f t="shared" si="11"/>
        <v>0</v>
      </c>
      <c r="L81" s="1990">
        <v>0</v>
      </c>
    </row>
    <row r="82" spans="1:12" x14ac:dyDescent="0.2">
      <c r="A82" s="1477" t="s">
        <v>86</v>
      </c>
      <c r="B82" s="591">
        <v>4170</v>
      </c>
      <c r="C82" s="593"/>
      <c r="D82" s="593"/>
      <c r="E82" s="1968">
        <v>0</v>
      </c>
      <c r="F82" s="593"/>
      <c r="G82" s="593"/>
      <c r="H82" s="1968">
        <v>0</v>
      </c>
      <c r="I82" s="473"/>
      <c r="J82" s="473"/>
      <c r="K82" s="1644">
        <f t="shared" si="11"/>
        <v>0</v>
      </c>
      <c r="L82" s="1990">
        <v>0</v>
      </c>
    </row>
    <row r="83" spans="1:12" x14ac:dyDescent="0.2">
      <c r="A83" s="1481" t="s">
        <v>698</v>
      </c>
      <c r="B83" s="605">
        <v>4190</v>
      </c>
      <c r="C83" s="593"/>
      <c r="D83" s="593"/>
      <c r="E83" s="1968">
        <v>0</v>
      </c>
      <c r="F83" s="593"/>
      <c r="G83" s="593"/>
      <c r="H83" s="1968">
        <v>0</v>
      </c>
      <c r="I83" s="473"/>
      <c r="J83" s="473"/>
      <c r="K83" s="1644">
        <f t="shared" si="11"/>
        <v>0</v>
      </c>
      <c r="L83" s="1990">
        <v>0</v>
      </c>
    </row>
    <row r="84" spans="1:12" ht="13.5" thickBot="1" x14ac:dyDescent="0.25">
      <c r="A84" s="1641" t="s">
        <v>1485</v>
      </c>
      <c r="B84" s="1651">
        <v>4100</v>
      </c>
      <c r="C84" s="593"/>
      <c r="D84" s="593"/>
      <c r="E84" s="1643">
        <f>SUM(E78:E83)</f>
        <v>420</v>
      </c>
      <c r="F84" s="593"/>
      <c r="G84" s="593"/>
      <c r="H84" s="1643">
        <f>SUM(H78:H83)</f>
        <v>0</v>
      </c>
      <c r="I84" s="473"/>
      <c r="J84" s="473"/>
      <c r="K84" s="1643">
        <f>SUM(K78:K83)</f>
        <v>420</v>
      </c>
      <c r="L84" s="1643">
        <f>SUM(L78:L83)</f>
        <v>1000</v>
      </c>
    </row>
    <row r="85" spans="1:12" ht="12.75" customHeight="1" thickTop="1" thickBot="1" x14ac:dyDescent="0.25">
      <c r="A85" s="1484" t="s">
        <v>255</v>
      </c>
      <c r="B85" s="612">
        <v>4210</v>
      </c>
      <c r="C85" s="593"/>
      <c r="D85" s="593"/>
      <c r="E85" s="613"/>
      <c r="F85" s="593"/>
      <c r="G85" s="593"/>
      <c r="H85" s="1978">
        <v>7040</v>
      </c>
      <c r="I85" s="473"/>
      <c r="J85" s="473"/>
      <c r="K85" s="1650">
        <f>H85</f>
        <v>7040</v>
      </c>
      <c r="L85" s="1998">
        <v>7000</v>
      </c>
    </row>
    <row r="86" spans="1:12" ht="12.75" customHeight="1" thickTop="1" thickBot="1" x14ac:dyDescent="0.25">
      <c r="A86" s="1485" t="s">
        <v>699</v>
      </c>
      <c r="B86" s="614">
        <v>4220</v>
      </c>
      <c r="C86" s="593"/>
      <c r="D86" s="593"/>
      <c r="E86" s="615"/>
      <c r="F86" s="593"/>
      <c r="G86" s="593"/>
      <c r="H86" s="1969">
        <v>437810</v>
      </c>
      <c r="I86" s="473"/>
      <c r="J86" s="473"/>
      <c r="K86" s="1650">
        <f t="shared" ref="K86:K98" si="12">H86</f>
        <v>437810</v>
      </c>
      <c r="L86" s="1998">
        <v>582766</v>
      </c>
    </row>
    <row r="87" spans="1:12" ht="14.25" thickTop="1" thickBot="1" x14ac:dyDescent="0.25">
      <c r="A87" s="1486" t="s">
        <v>700</v>
      </c>
      <c r="B87" s="616">
        <v>4230</v>
      </c>
      <c r="C87" s="593"/>
      <c r="D87" s="593"/>
      <c r="E87" s="615"/>
      <c r="F87" s="593"/>
      <c r="G87" s="593"/>
      <c r="H87" s="1969">
        <v>0</v>
      </c>
      <c r="I87" s="473"/>
      <c r="J87" s="473"/>
      <c r="K87" s="1650">
        <f t="shared" si="12"/>
        <v>0</v>
      </c>
      <c r="L87" s="1998">
        <v>0</v>
      </c>
    </row>
    <row r="88" spans="1:12" ht="12.75" customHeight="1" thickTop="1" thickBot="1" x14ac:dyDescent="0.25">
      <c r="A88" s="1486" t="s">
        <v>765</v>
      </c>
      <c r="B88" s="616">
        <v>4240</v>
      </c>
      <c r="C88" s="593"/>
      <c r="D88" s="593"/>
      <c r="E88" s="615"/>
      <c r="F88" s="593"/>
      <c r="G88" s="593"/>
      <c r="H88" s="1969">
        <v>0</v>
      </c>
      <c r="I88" s="473"/>
      <c r="J88" s="473"/>
      <c r="K88" s="1650">
        <f t="shared" si="12"/>
        <v>0</v>
      </c>
      <c r="L88" s="1998">
        <v>0</v>
      </c>
    </row>
    <row r="89" spans="1:12" ht="12.75" customHeight="1" thickTop="1" thickBot="1" x14ac:dyDescent="0.25">
      <c r="A89" s="1486" t="s">
        <v>701</v>
      </c>
      <c r="B89" s="616">
        <v>4270</v>
      </c>
      <c r="C89" s="593"/>
      <c r="D89" s="593"/>
      <c r="E89" s="615"/>
      <c r="F89" s="593"/>
      <c r="G89" s="593"/>
      <c r="H89" s="1969">
        <v>0</v>
      </c>
      <c r="I89" s="473"/>
      <c r="J89" s="473"/>
      <c r="K89" s="1650">
        <f t="shared" si="12"/>
        <v>0</v>
      </c>
      <c r="L89" s="1998">
        <v>0</v>
      </c>
    </row>
    <row r="90" spans="1:12" ht="12.75" customHeight="1" thickTop="1" thickBot="1" x14ac:dyDescent="0.25">
      <c r="A90" s="1486" t="s">
        <v>686</v>
      </c>
      <c r="B90" s="616">
        <v>4280</v>
      </c>
      <c r="C90" s="593"/>
      <c r="D90" s="593"/>
      <c r="E90" s="615"/>
      <c r="F90" s="593"/>
      <c r="G90" s="593"/>
      <c r="H90" s="1969">
        <v>0</v>
      </c>
      <c r="I90" s="473"/>
      <c r="J90" s="473"/>
      <c r="K90" s="1650">
        <f t="shared" si="12"/>
        <v>0</v>
      </c>
      <c r="L90" s="1998">
        <v>0</v>
      </c>
    </row>
    <row r="91" spans="1:12" ht="12.75" customHeight="1" thickTop="1" thickBot="1" x14ac:dyDescent="0.25">
      <c r="A91" s="1486" t="s">
        <v>687</v>
      </c>
      <c r="B91" s="616">
        <v>4290</v>
      </c>
      <c r="C91" s="593"/>
      <c r="D91" s="593"/>
      <c r="E91" s="615"/>
      <c r="F91" s="593"/>
      <c r="G91" s="593"/>
      <c r="H91" s="1969">
        <v>0</v>
      </c>
      <c r="I91" s="473"/>
      <c r="J91" s="473"/>
      <c r="K91" s="1650">
        <f t="shared" si="12"/>
        <v>0</v>
      </c>
      <c r="L91" s="1998">
        <v>0</v>
      </c>
    </row>
    <row r="92" spans="1:12" ht="14.25" thickTop="1" thickBot="1" x14ac:dyDescent="0.25">
      <c r="A92" s="1653" t="s">
        <v>1560</v>
      </c>
      <c r="B92" s="1651">
        <v>4200</v>
      </c>
      <c r="C92" s="593"/>
      <c r="D92" s="593"/>
      <c r="E92" s="615"/>
      <c r="F92" s="593"/>
      <c r="G92" s="593"/>
      <c r="H92" s="1643">
        <f>SUM(H85:H91)</f>
        <v>444850</v>
      </c>
      <c r="I92" s="473"/>
      <c r="J92" s="473"/>
      <c r="K92" s="1650">
        <f t="shared" si="12"/>
        <v>444850</v>
      </c>
      <c r="L92" s="1643">
        <f>SUM(L85:L91)</f>
        <v>589766</v>
      </c>
    </row>
    <row r="93" spans="1:12" ht="14.25" thickTop="1" thickBot="1" x14ac:dyDescent="0.25">
      <c r="A93" s="1485" t="s">
        <v>688</v>
      </c>
      <c r="B93" s="617">
        <v>4310</v>
      </c>
      <c r="C93" s="593"/>
      <c r="D93" s="593"/>
      <c r="E93" s="615"/>
      <c r="F93" s="593"/>
      <c r="G93" s="593"/>
      <c r="H93" s="1972">
        <v>0</v>
      </c>
      <c r="I93" s="473"/>
      <c r="J93" s="473"/>
      <c r="K93" s="1650">
        <f t="shared" si="12"/>
        <v>0</v>
      </c>
      <c r="L93" s="2000">
        <v>0</v>
      </c>
    </row>
    <row r="94" spans="1:12" ht="12.75" customHeight="1" thickTop="1" thickBot="1" x14ac:dyDescent="0.25">
      <c r="A94" s="1486" t="s">
        <v>689</v>
      </c>
      <c r="B94" s="616">
        <v>4320</v>
      </c>
      <c r="C94" s="593"/>
      <c r="D94" s="593"/>
      <c r="E94" s="615"/>
      <c r="F94" s="593"/>
      <c r="G94" s="593"/>
      <c r="H94" s="1969">
        <v>0</v>
      </c>
      <c r="I94" s="473"/>
      <c r="J94" s="473"/>
      <c r="K94" s="1650">
        <f t="shared" si="12"/>
        <v>0</v>
      </c>
      <c r="L94" s="1998">
        <v>0</v>
      </c>
    </row>
    <row r="95" spans="1:12" ht="15" customHeight="1" thickTop="1" thickBot="1" x14ac:dyDescent="0.25">
      <c r="A95" s="1486" t="s">
        <v>1488</v>
      </c>
      <c r="B95" s="616">
        <v>4330</v>
      </c>
      <c r="C95" s="593"/>
      <c r="D95" s="593"/>
      <c r="E95" s="615"/>
      <c r="F95" s="593"/>
      <c r="G95" s="593"/>
      <c r="H95" s="1969">
        <v>0</v>
      </c>
      <c r="I95" s="473"/>
      <c r="J95" s="473"/>
      <c r="K95" s="1650">
        <f t="shared" si="12"/>
        <v>0</v>
      </c>
      <c r="L95" s="1998">
        <v>0</v>
      </c>
    </row>
    <row r="96" spans="1:12" ht="14.25" thickTop="1" thickBot="1" x14ac:dyDescent="0.25">
      <c r="A96" s="1486" t="s">
        <v>690</v>
      </c>
      <c r="B96" s="616">
        <v>4340</v>
      </c>
      <c r="C96" s="593"/>
      <c r="D96" s="593"/>
      <c r="E96" s="615"/>
      <c r="F96" s="593"/>
      <c r="G96" s="593"/>
      <c r="H96" s="1969">
        <v>0</v>
      </c>
      <c r="I96" s="473"/>
      <c r="J96" s="473"/>
      <c r="K96" s="1650">
        <f t="shared" si="12"/>
        <v>0</v>
      </c>
      <c r="L96" s="1998">
        <v>0</v>
      </c>
    </row>
    <row r="97" spans="1:14" ht="12.75" customHeight="1" thickTop="1" thickBot="1" x14ac:dyDescent="0.25">
      <c r="A97" s="1486" t="s">
        <v>763</v>
      </c>
      <c r="B97" s="616">
        <v>4370</v>
      </c>
      <c r="C97" s="593"/>
      <c r="D97" s="593"/>
      <c r="E97" s="615"/>
      <c r="F97" s="593"/>
      <c r="G97" s="593"/>
      <c r="H97" s="1969">
        <v>0</v>
      </c>
      <c r="I97" s="473"/>
      <c r="J97" s="473"/>
      <c r="K97" s="1650">
        <f t="shared" si="12"/>
        <v>0</v>
      </c>
      <c r="L97" s="1998">
        <v>0</v>
      </c>
    </row>
    <row r="98" spans="1:14" ht="14.25" thickTop="1" thickBot="1" x14ac:dyDescent="0.25">
      <c r="A98" s="1486" t="s">
        <v>764</v>
      </c>
      <c r="B98" s="616">
        <v>4380</v>
      </c>
      <c r="C98" s="593"/>
      <c r="D98" s="593"/>
      <c r="E98" s="618"/>
      <c r="F98" s="593"/>
      <c r="G98" s="593"/>
      <c r="H98" s="1969">
        <v>0</v>
      </c>
      <c r="I98" s="473"/>
      <c r="J98" s="473"/>
      <c r="K98" s="1650">
        <f t="shared" si="12"/>
        <v>0</v>
      </c>
      <c r="L98" s="1998">
        <v>0</v>
      </c>
    </row>
    <row r="99" spans="1:14" ht="14.25" thickTop="1" thickBot="1" x14ac:dyDescent="0.25">
      <c r="A99" s="1486" t="s">
        <v>367</v>
      </c>
      <c r="B99" s="616">
        <v>4390</v>
      </c>
      <c r="C99" s="593"/>
      <c r="D99" s="593"/>
      <c r="E99" s="1977">
        <v>0</v>
      </c>
      <c r="F99" s="593"/>
      <c r="G99" s="593"/>
      <c r="H99" s="1969">
        <v>0</v>
      </c>
      <c r="I99" s="473"/>
      <c r="J99" s="473"/>
      <c r="K99" s="1650">
        <f>SUM(E99,H99)</f>
        <v>0</v>
      </c>
      <c r="L99" s="1998">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6">
        <v>10000</v>
      </c>
      <c r="F101" s="593"/>
      <c r="G101" s="593"/>
      <c r="H101" s="1976">
        <v>0</v>
      </c>
      <c r="I101" s="473"/>
      <c r="J101" s="473"/>
      <c r="K101" s="1652">
        <f>SUM(C101:J101)</f>
        <v>10000</v>
      </c>
      <c r="L101" s="1998">
        <v>10000</v>
      </c>
    </row>
    <row r="102" spans="1:14" ht="12.75" customHeight="1" thickTop="1" thickBot="1" x14ac:dyDescent="0.25">
      <c r="A102" s="1641" t="s">
        <v>1487</v>
      </c>
      <c r="B102" s="1651">
        <v>4000</v>
      </c>
      <c r="C102" s="593"/>
      <c r="D102" s="593"/>
      <c r="E102" s="1650">
        <f>SUM(E84,E92,E100,E101)</f>
        <v>10420</v>
      </c>
      <c r="F102" s="593"/>
      <c r="G102" s="593"/>
      <c r="H102" s="1650">
        <f>SUM(H84,H92,H100,H101)</f>
        <v>444850</v>
      </c>
      <c r="I102" s="473"/>
      <c r="J102" s="473"/>
      <c r="K102" s="1650">
        <f>SUM(K84,K92,K100,K101)</f>
        <v>455270</v>
      </c>
      <c r="L102" s="1650">
        <f>SUM(L84,L92,L100,L101)</f>
        <v>600766</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8">
        <v>0</v>
      </c>
      <c r="I106" s="467"/>
      <c r="J106" s="467"/>
      <c r="K106" s="1644">
        <f>H106</f>
        <v>0</v>
      </c>
      <c r="L106" s="1990">
        <v>0</v>
      </c>
      <c r="M106" s="210"/>
      <c r="N106" s="210"/>
    </row>
    <row r="107" spans="1:14" s="574" customFormat="1" ht="12.75" customHeight="1" x14ac:dyDescent="0.2">
      <c r="A107" s="1477" t="s">
        <v>1170</v>
      </c>
      <c r="B107" s="591">
        <v>5130</v>
      </c>
      <c r="C107" s="593"/>
      <c r="D107" s="593"/>
      <c r="E107" s="593"/>
      <c r="F107" s="593"/>
      <c r="G107" s="593"/>
      <c r="H107" s="1968">
        <v>0</v>
      </c>
      <c r="I107" s="467"/>
      <c r="J107" s="467"/>
      <c r="K107" s="1644">
        <f>H107</f>
        <v>0</v>
      </c>
      <c r="L107" s="1990">
        <v>0</v>
      </c>
      <c r="M107" s="210"/>
      <c r="N107" s="210"/>
    </row>
    <row r="108" spans="1:14" s="574" customFormat="1" x14ac:dyDescent="0.2">
      <c r="A108" s="1477" t="s">
        <v>89</v>
      </c>
      <c r="B108" s="591" t="s">
        <v>589</v>
      </c>
      <c r="C108" s="593"/>
      <c r="D108" s="593"/>
      <c r="E108" s="593"/>
      <c r="F108" s="593"/>
      <c r="G108" s="593"/>
      <c r="H108" s="1968">
        <v>0</v>
      </c>
      <c r="I108" s="467"/>
      <c r="J108" s="467"/>
      <c r="K108" s="1644">
        <f>H108</f>
        <v>0</v>
      </c>
      <c r="L108" s="1990">
        <v>0</v>
      </c>
      <c r="M108" s="210"/>
      <c r="N108" s="210"/>
    </row>
    <row r="109" spans="1:14" s="574" customFormat="1" x14ac:dyDescent="0.2">
      <c r="A109" s="1477" t="s">
        <v>254</v>
      </c>
      <c r="B109" s="605">
        <v>5150</v>
      </c>
      <c r="C109" s="593"/>
      <c r="D109" s="593"/>
      <c r="E109" s="593"/>
      <c r="F109" s="593"/>
      <c r="G109" s="593"/>
      <c r="H109" s="1968">
        <v>0</v>
      </c>
      <c r="I109" s="467"/>
      <c r="J109" s="467"/>
      <c r="K109" s="1644">
        <f>H109</f>
        <v>0</v>
      </c>
      <c r="L109" s="1990">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8">
        <v>0</v>
      </c>
      <c r="I111" s="467"/>
      <c r="J111" s="467"/>
      <c r="K111" s="1656">
        <f>H111</f>
        <v>0</v>
      </c>
      <c r="L111" s="2000">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9">
        <v>0</v>
      </c>
      <c r="M113" s="590"/>
      <c r="N113" s="590"/>
    </row>
    <row r="114" spans="1:14" ht="12.75" customHeight="1" thickTop="1" thickBot="1" x14ac:dyDescent="0.25">
      <c r="A114" s="1641" t="s">
        <v>48</v>
      </c>
      <c r="B114" s="1655"/>
      <c r="C114" s="1643">
        <f>SUM(C33,C74,C75,C102,C112,C113)</f>
        <v>2472972</v>
      </c>
      <c r="D114" s="1643">
        <f t="shared" ref="D114:K114" si="13">SUM(D33,D74,D75,D102,D112,D113)</f>
        <v>550628</v>
      </c>
      <c r="E114" s="1643">
        <f t="shared" si="13"/>
        <v>406325</v>
      </c>
      <c r="F114" s="1643">
        <f t="shared" si="13"/>
        <v>297591</v>
      </c>
      <c r="G114" s="1643">
        <f t="shared" si="13"/>
        <v>8275</v>
      </c>
      <c r="H114" s="1643">
        <f>SUM(H33,H74,H75,H102,H112,H113)</f>
        <v>544460</v>
      </c>
      <c r="I114" s="1643">
        <f t="shared" si="13"/>
        <v>45484</v>
      </c>
      <c r="J114" s="1643">
        <f t="shared" si="13"/>
        <v>0</v>
      </c>
      <c r="K114" s="1643">
        <f t="shared" si="13"/>
        <v>4325735</v>
      </c>
      <c r="L114" s="1643">
        <f>SUM(L33,L74,L75,L102,L112,L113)</f>
        <v>4676050</v>
      </c>
    </row>
    <row r="115" spans="1:14" ht="13.5" thickTop="1" x14ac:dyDescent="0.2">
      <c r="A115" s="2250" t="s">
        <v>996</v>
      </c>
      <c r="B115" s="2251"/>
      <c r="C115" s="595"/>
      <c r="D115" s="595"/>
      <c r="E115" s="595"/>
      <c r="F115" s="595"/>
      <c r="G115" s="595"/>
      <c r="H115" s="595"/>
      <c r="I115" s="595"/>
      <c r="J115" s="595"/>
      <c r="K115" s="1657">
        <f>'Revenues 9-14'!C268-'Expenditures 15-22'!K114</f>
        <v>158793</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28" t="s">
        <v>296</v>
      </c>
      <c r="B117" s="2229"/>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90">
        <v>0</v>
      </c>
      <c r="F120" s="1990">
        <v>0</v>
      </c>
      <c r="G120" s="1990">
        <v>0</v>
      </c>
      <c r="H120" s="1990">
        <v>0</v>
      </c>
      <c r="I120" s="1990">
        <v>0</v>
      </c>
      <c r="J120" s="1990">
        <v>0</v>
      </c>
      <c r="K120" s="1644">
        <f>SUM(C120:J120)</f>
        <v>0</v>
      </c>
      <c r="L120" s="1990">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8">
        <v>0</v>
      </c>
      <c r="D122" s="1968">
        <v>0</v>
      </c>
      <c r="E122" s="1968">
        <v>0</v>
      </c>
      <c r="F122" s="1968">
        <v>0</v>
      </c>
      <c r="G122" s="1968">
        <v>0</v>
      </c>
      <c r="H122" s="1968">
        <v>0</v>
      </c>
      <c r="I122" s="1969">
        <v>0</v>
      </c>
      <c r="J122" s="1969">
        <v>0</v>
      </c>
      <c r="K122" s="1643">
        <f>SUM(C122:J122)</f>
        <v>0</v>
      </c>
      <c r="L122" s="1990">
        <v>0</v>
      </c>
    </row>
    <row r="123" spans="1:14" ht="14.25" thickTop="1" thickBot="1" x14ac:dyDescent="0.25">
      <c r="A123" s="1477" t="s">
        <v>4</v>
      </c>
      <c r="B123" s="591">
        <v>2530</v>
      </c>
      <c r="C123" s="1968">
        <v>0</v>
      </c>
      <c r="D123" s="1968">
        <v>0</v>
      </c>
      <c r="E123" s="1968">
        <v>2600</v>
      </c>
      <c r="F123" s="1968">
        <v>0</v>
      </c>
      <c r="G123" s="1968">
        <v>30008</v>
      </c>
      <c r="H123" s="1968">
        <v>0</v>
      </c>
      <c r="I123" s="1969">
        <v>1340</v>
      </c>
      <c r="J123" s="1969">
        <v>0</v>
      </c>
      <c r="K123" s="1643">
        <f>SUM(C123:J123)</f>
        <v>33948</v>
      </c>
      <c r="L123" s="1990">
        <v>33948</v>
      </c>
    </row>
    <row r="124" spans="1:14" ht="14.25" thickTop="1" thickBot="1" x14ac:dyDescent="0.25">
      <c r="A124" s="1477" t="s">
        <v>197</v>
      </c>
      <c r="B124" s="591">
        <v>2540</v>
      </c>
      <c r="C124" s="1968">
        <v>54415</v>
      </c>
      <c r="D124" s="1968">
        <v>9182</v>
      </c>
      <c r="E124" s="1968">
        <v>391225</v>
      </c>
      <c r="F124" s="1968">
        <v>92991</v>
      </c>
      <c r="G124" s="1968">
        <v>56191</v>
      </c>
      <c r="H124" s="1968">
        <v>0</v>
      </c>
      <c r="I124" s="1969">
        <v>583</v>
      </c>
      <c r="J124" s="1969">
        <v>0</v>
      </c>
      <c r="K124" s="1643">
        <f>SUM(C124:J124)</f>
        <v>604587</v>
      </c>
      <c r="L124" s="1990">
        <v>654282</v>
      </c>
    </row>
    <row r="125" spans="1:14" ht="14.25" thickTop="1" thickBot="1" x14ac:dyDescent="0.25">
      <c r="A125" s="1477" t="s">
        <v>953</v>
      </c>
      <c r="B125" s="591">
        <v>2550</v>
      </c>
      <c r="C125" s="1968">
        <v>0</v>
      </c>
      <c r="D125" s="1968">
        <v>0</v>
      </c>
      <c r="E125" s="1968">
        <v>0</v>
      </c>
      <c r="F125" s="1968">
        <v>0</v>
      </c>
      <c r="G125" s="1968">
        <v>0</v>
      </c>
      <c r="H125" s="1968">
        <v>0</v>
      </c>
      <c r="I125" s="1969">
        <v>0</v>
      </c>
      <c r="J125" s="1969">
        <v>0</v>
      </c>
      <c r="K125" s="1643">
        <f>SUM(C125:J125)</f>
        <v>0</v>
      </c>
      <c r="L125" s="1990">
        <v>0</v>
      </c>
    </row>
    <row r="126" spans="1:14" ht="14.25" thickTop="1" thickBot="1" x14ac:dyDescent="0.25">
      <c r="A126" s="1477" t="s">
        <v>100</v>
      </c>
      <c r="B126" s="591">
        <v>2560</v>
      </c>
      <c r="C126" s="630"/>
      <c r="D126" s="630"/>
      <c r="E126" s="630"/>
      <c r="F126" s="630"/>
      <c r="G126" s="1968">
        <v>0</v>
      </c>
      <c r="H126" s="630"/>
      <c r="I126" s="1971">
        <v>0</v>
      </c>
      <c r="J126" s="593"/>
      <c r="K126" s="1643">
        <f>SUM(C126:J126)</f>
        <v>0</v>
      </c>
      <c r="L126" s="1990">
        <v>0</v>
      </c>
    </row>
    <row r="127" spans="1:14" ht="12.75" customHeight="1" thickTop="1" thickBot="1" x14ac:dyDescent="0.25">
      <c r="A127" s="1641" t="s">
        <v>719</v>
      </c>
      <c r="B127" s="1642" t="s">
        <v>35</v>
      </c>
      <c r="C127" s="1643">
        <f>SUM(C122:C126)</f>
        <v>54415</v>
      </c>
      <c r="D127" s="1643">
        <f t="shared" ref="D127:L127" si="14">SUM(D122:D126)</f>
        <v>9182</v>
      </c>
      <c r="E127" s="1643">
        <f t="shared" si="14"/>
        <v>393825</v>
      </c>
      <c r="F127" s="1643">
        <f t="shared" si="14"/>
        <v>92991</v>
      </c>
      <c r="G127" s="1643">
        <f t="shared" si="14"/>
        <v>86199</v>
      </c>
      <c r="H127" s="1643">
        <f t="shared" si="14"/>
        <v>0</v>
      </c>
      <c r="I127" s="1643">
        <f t="shared" si="14"/>
        <v>1923</v>
      </c>
      <c r="J127" s="1643">
        <f t="shared" si="14"/>
        <v>0</v>
      </c>
      <c r="K127" s="1643">
        <f t="shared" si="14"/>
        <v>638535</v>
      </c>
      <c r="L127" s="1643">
        <f t="shared" si="14"/>
        <v>688230</v>
      </c>
    </row>
    <row r="128" spans="1:14" ht="12.75" customHeight="1" thickTop="1" x14ac:dyDescent="0.2">
      <c r="A128" s="1484" t="s">
        <v>980</v>
      </c>
      <c r="B128" s="631" t="s">
        <v>574</v>
      </c>
      <c r="C128" s="1984">
        <v>0</v>
      </c>
      <c r="D128" s="1984">
        <v>0</v>
      </c>
      <c r="E128" s="1984">
        <v>0</v>
      </c>
      <c r="F128" s="1984">
        <v>0</v>
      </c>
      <c r="G128" s="1984">
        <v>0</v>
      </c>
      <c r="H128" s="1984">
        <v>0</v>
      </c>
      <c r="I128" s="1978">
        <v>0</v>
      </c>
      <c r="J128" s="1978">
        <v>0</v>
      </c>
      <c r="K128" s="1658">
        <f>SUM(C128:J128)</f>
        <v>0</v>
      </c>
      <c r="L128" s="1984">
        <v>0</v>
      </c>
    </row>
    <row r="129" spans="1:14" ht="12.75" customHeight="1" thickBot="1" x14ac:dyDescent="0.25">
      <c r="A129" s="1659" t="s">
        <v>811</v>
      </c>
      <c r="B129" s="1660" t="s">
        <v>569</v>
      </c>
      <c r="C129" s="1650">
        <f>SUM(C120,C127,C128)</f>
        <v>54415</v>
      </c>
      <c r="D129" s="1650">
        <f t="shared" ref="D129:L129" si="15">SUM(D120,D127,D128)</f>
        <v>9182</v>
      </c>
      <c r="E129" s="1650">
        <f t="shared" si="15"/>
        <v>393825</v>
      </c>
      <c r="F129" s="1650">
        <f t="shared" si="15"/>
        <v>92991</v>
      </c>
      <c r="G129" s="1650">
        <f t="shared" si="15"/>
        <v>86199</v>
      </c>
      <c r="H129" s="1650">
        <f t="shared" si="15"/>
        <v>0</v>
      </c>
      <c r="I129" s="1650">
        <f t="shared" si="15"/>
        <v>1923</v>
      </c>
      <c r="J129" s="1650">
        <f t="shared" si="15"/>
        <v>0</v>
      </c>
      <c r="K129" s="1650">
        <f t="shared" si="15"/>
        <v>638535</v>
      </c>
      <c r="L129" s="1650">
        <f t="shared" si="15"/>
        <v>688230</v>
      </c>
    </row>
    <row r="130" spans="1:14" ht="15.75" customHeight="1" thickTop="1" thickBot="1" x14ac:dyDescent="0.25">
      <c r="A130" s="1583" t="s">
        <v>1036</v>
      </c>
      <c r="B130" s="1584" t="s">
        <v>575</v>
      </c>
      <c r="C130" s="1981">
        <v>0</v>
      </c>
      <c r="D130" s="1981">
        <v>0</v>
      </c>
      <c r="E130" s="1981">
        <v>0</v>
      </c>
      <c r="F130" s="1981">
        <v>0</v>
      </c>
      <c r="G130" s="1981">
        <v>0</v>
      </c>
      <c r="H130" s="1981">
        <v>0</v>
      </c>
      <c r="I130" s="1976">
        <v>0</v>
      </c>
      <c r="J130" s="1976">
        <v>0</v>
      </c>
      <c r="K130" s="1643">
        <f>SUM(C130:J130)</f>
        <v>0</v>
      </c>
      <c r="L130" s="2003">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2">
        <v>0</v>
      </c>
      <c r="F133" s="467"/>
      <c r="G133" s="467"/>
      <c r="H133" s="1972">
        <v>0</v>
      </c>
      <c r="I133" s="467"/>
      <c r="J133" s="467"/>
      <c r="K133" s="1794">
        <f>SUM(E133,H133)</f>
        <v>0</v>
      </c>
      <c r="L133" s="1994">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9">
        <v>0</v>
      </c>
      <c r="F135" s="593"/>
      <c r="G135" s="593"/>
      <c r="H135" s="1968">
        <v>0</v>
      </c>
      <c r="I135" s="473"/>
      <c r="J135" s="593"/>
      <c r="K135" s="1645">
        <f>SUM(E135,H135)</f>
        <v>0</v>
      </c>
      <c r="L135" s="1990">
        <v>0</v>
      </c>
    </row>
    <row r="136" spans="1:14" x14ac:dyDescent="0.2">
      <c r="A136" s="1481" t="s">
        <v>698</v>
      </c>
      <c r="B136" s="605">
        <v>4190</v>
      </c>
      <c r="C136" s="593"/>
      <c r="D136" s="593"/>
      <c r="E136" s="1969">
        <v>0</v>
      </c>
      <c r="F136" s="593"/>
      <c r="G136" s="593"/>
      <c r="H136" s="1968">
        <v>0</v>
      </c>
      <c r="I136" s="473"/>
      <c r="J136" s="593"/>
      <c r="K136" s="1645">
        <f>SUM(E136,H136)</f>
        <v>0</v>
      </c>
      <c r="L136" s="1990">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1">
        <v>0</v>
      </c>
      <c r="I138" s="473"/>
      <c r="J138" s="593"/>
      <c r="K138" s="1645">
        <f>SUM(E138,H138)</f>
        <v>0</v>
      </c>
      <c r="L138" s="1981">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8">
        <v>0</v>
      </c>
      <c r="I143" s="467"/>
      <c r="J143" s="593"/>
      <c r="K143" s="1645">
        <f>SUM(H143)</f>
        <v>0</v>
      </c>
      <c r="L143" s="1990">
        <v>0</v>
      </c>
    </row>
    <row r="144" spans="1:14" ht="12.75" customHeight="1" x14ac:dyDescent="0.2">
      <c r="A144" s="1477" t="s">
        <v>1170</v>
      </c>
      <c r="B144" s="605" t="s">
        <v>617</v>
      </c>
      <c r="C144" s="593"/>
      <c r="D144" s="593"/>
      <c r="E144" s="593"/>
      <c r="F144" s="593"/>
      <c r="G144" s="593"/>
      <c r="H144" s="1968">
        <v>0</v>
      </c>
      <c r="I144" s="467"/>
      <c r="J144" s="593"/>
      <c r="K144" s="1645">
        <f>SUM(H144)</f>
        <v>0</v>
      </c>
      <c r="L144" s="1990">
        <v>0</v>
      </c>
    </row>
    <row r="145" spans="1:14" x14ac:dyDescent="0.2">
      <c r="A145" s="1477" t="s">
        <v>89</v>
      </c>
      <c r="B145" s="591" t="s">
        <v>589</v>
      </c>
      <c r="C145" s="593"/>
      <c r="D145" s="593"/>
      <c r="E145" s="593"/>
      <c r="F145" s="593"/>
      <c r="G145" s="593"/>
      <c r="H145" s="1968">
        <v>0</v>
      </c>
      <c r="I145" s="467"/>
      <c r="J145" s="593"/>
      <c r="K145" s="1645">
        <f>SUM(H145)</f>
        <v>0</v>
      </c>
      <c r="L145" s="1990">
        <v>0</v>
      </c>
    </row>
    <row r="146" spans="1:14" ht="12.75" customHeight="1" x14ac:dyDescent="0.2">
      <c r="A146" s="1477" t="s">
        <v>619</v>
      </c>
      <c r="B146" s="591" t="s">
        <v>618</v>
      </c>
      <c r="C146" s="593"/>
      <c r="D146" s="593"/>
      <c r="E146" s="593"/>
      <c r="F146" s="593"/>
      <c r="G146" s="593"/>
      <c r="H146" s="1968">
        <v>0</v>
      </c>
      <c r="I146" s="467"/>
      <c r="J146" s="593"/>
      <c r="K146" s="1645">
        <f>SUM(H146)</f>
        <v>0</v>
      </c>
      <c r="L146" s="1990">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3">
        <v>0</v>
      </c>
      <c r="I148" s="467"/>
      <c r="J148" s="593"/>
      <c r="K148" s="1645">
        <f>SUM(H148)</f>
        <v>0</v>
      </c>
      <c r="L148" s="1997">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2">
        <v>0</v>
      </c>
    </row>
    <row r="151" spans="1:14" ht="12.75" customHeight="1" thickTop="1" thickBot="1" x14ac:dyDescent="0.25">
      <c r="A151" s="2240" t="s">
        <v>620</v>
      </c>
      <c r="B151" s="2222"/>
      <c r="C151" s="1643">
        <f>SUM(C129,C130,C139,C149,C150)</f>
        <v>54415</v>
      </c>
      <c r="D151" s="1643">
        <f t="shared" ref="D151:K151" si="16">SUM(D129,D130,D139,D149,D150)</f>
        <v>9182</v>
      </c>
      <c r="E151" s="1643">
        <f t="shared" si="16"/>
        <v>393825</v>
      </c>
      <c r="F151" s="1643">
        <f t="shared" si="16"/>
        <v>92991</v>
      </c>
      <c r="G151" s="1643">
        <f t="shared" si="16"/>
        <v>86199</v>
      </c>
      <c r="H151" s="1643">
        <f t="shared" si="16"/>
        <v>0</v>
      </c>
      <c r="I151" s="1643">
        <f t="shared" si="16"/>
        <v>1923</v>
      </c>
      <c r="J151" s="1643">
        <f t="shared" si="16"/>
        <v>0</v>
      </c>
      <c r="K151" s="1643">
        <f t="shared" si="16"/>
        <v>638535</v>
      </c>
      <c r="L151" s="1643">
        <f>SUM(L129,L130,L139,L149,L150)</f>
        <v>688230</v>
      </c>
    </row>
    <row r="152" spans="1:14" ht="12.75" customHeight="1" thickTop="1" x14ac:dyDescent="0.2">
      <c r="A152" s="2243" t="s">
        <v>1178</v>
      </c>
      <c r="B152" s="2244"/>
      <c r="C152" s="595"/>
      <c r="D152" s="595"/>
      <c r="E152" s="595"/>
      <c r="F152" s="595"/>
      <c r="G152" s="595"/>
      <c r="H152" s="595"/>
      <c r="I152" s="595"/>
      <c r="J152" s="593"/>
      <c r="K152" s="1657">
        <f>'Revenues 9-14'!D268-'Expenditures 15-22'!K151</f>
        <v>-299055</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28" t="s">
        <v>621</v>
      </c>
      <c r="B154" s="2230"/>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2">
        <v>0</v>
      </c>
      <c r="I157" s="593"/>
      <c r="J157" s="593"/>
      <c r="K157" s="1644">
        <f>H157</f>
        <v>0</v>
      </c>
      <c r="L157" s="1991">
        <v>0</v>
      </c>
      <c r="M157" s="596"/>
      <c r="N157" s="596"/>
    </row>
    <row r="158" spans="1:14" s="597" customFormat="1" ht="12" x14ac:dyDescent="0.2">
      <c r="A158" s="1799" t="s">
        <v>304</v>
      </c>
      <c r="B158" s="1800" t="s">
        <v>1847</v>
      </c>
      <c r="C158" s="593"/>
      <c r="D158" s="593"/>
      <c r="E158" s="593"/>
      <c r="F158" s="593"/>
      <c r="G158" s="593"/>
      <c r="H158" s="1969">
        <v>0</v>
      </c>
      <c r="I158" s="593"/>
      <c r="J158" s="593"/>
      <c r="K158" s="1644">
        <f>H158</f>
        <v>0</v>
      </c>
      <c r="L158" s="1991">
        <v>0</v>
      </c>
      <c r="M158" s="596"/>
      <c r="N158" s="596"/>
    </row>
    <row r="159" spans="1:14" s="597" customFormat="1" ht="12" x14ac:dyDescent="0.2">
      <c r="A159" s="1799" t="s">
        <v>1848</v>
      </c>
      <c r="B159" s="1800" t="s">
        <v>558</v>
      </c>
      <c r="C159" s="593"/>
      <c r="D159" s="593"/>
      <c r="E159" s="593"/>
      <c r="F159" s="593"/>
      <c r="G159" s="593"/>
      <c r="H159" s="1969">
        <v>0</v>
      </c>
      <c r="I159" s="593"/>
      <c r="J159" s="593"/>
      <c r="K159" s="1644">
        <f>H159</f>
        <v>0</v>
      </c>
      <c r="L159" s="1991">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8">
        <v>0</v>
      </c>
      <c r="I163" s="593"/>
      <c r="J163" s="593"/>
      <c r="K163" s="1644">
        <f>SUM(C163:J163)</f>
        <v>0</v>
      </c>
      <c r="L163" s="1990">
        <v>0</v>
      </c>
    </row>
    <row r="164" spans="1:14" x14ac:dyDescent="0.2">
      <c r="A164" s="1477" t="s">
        <v>88</v>
      </c>
      <c r="B164" s="591">
        <v>5120</v>
      </c>
      <c r="C164" s="593"/>
      <c r="D164" s="593"/>
      <c r="E164" s="593"/>
      <c r="F164" s="593"/>
      <c r="G164" s="593"/>
      <c r="H164" s="1968">
        <v>0</v>
      </c>
      <c r="I164" s="593"/>
      <c r="J164" s="593"/>
      <c r="K164" s="1644">
        <f>SUM(C164:J164)</f>
        <v>0</v>
      </c>
      <c r="L164" s="1990">
        <v>0</v>
      </c>
    </row>
    <row r="165" spans="1:14" ht="12.75" customHeight="1" x14ac:dyDescent="0.2">
      <c r="A165" s="1477" t="s">
        <v>1170</v>
      </c>
      <c r="B165" s="591" t="s">
        <v>617</v>
      </c>
      <c r="C165" s="593"/>
      <c r="D165" s="593"/>
      <c r="E165" s="593"/>
      <c r="F165" s="593"/>
      <c r="G165" s="593"/>
      <c r="H165" s="1968">
        <v>0</v>
      </c>
      <c r="I165" s="593"/>
      <c r="J165" s="593"/>
      <c r="K165" s="1644">
        <f>SUM(C165:J165)</f>
        <v>0</v>
      </c>
      <c r="L165" s="1990">
        <v>0</v>
      </c>
    </row>
    <row r="166" spans="1:14" x14ac:dyDescent="0.2">
      <c r="A166" s="1477" t="s">
        <v>89</v>
      </c>
      <c r="B166" s="605" t="s">
        <v>589</v>
      </c>
      <c r="C166" s="593"/>
      <c r="D166" s="593"/>
      <c r="E166" s="593"/>
      <c r="F166" s="593"/>
      <c r="G166" s="593"/>
      <c r="H166" s="1968">
        <v>0</v>
      </c>
      <c r="I166" s="593"/>
      <c r="J166" s="593"/>
      <c r="K166" s="1644">
        <f>SUM(C166:J166)</f>
        <v>0</v>
      </c>
      <c r="L166" s="1990">
        <v>0</v>
      </c>
    </row>
    <row r="167" spans="1:14" ht="12.75" customHeight="1" x14ac:dyDescent="0.2">
      <c r="A167" s="1477" t="s">
        <v>619</v>
      </c>
      <c r="B167" s="591" t="s">
        <v>618</v>
      </c>
      <c r="C167" s="593"/>
      <c r="D167" s="593"/>
      <c r="E167" s="593"/>
      <c r="F167" s="593"/>
      <c r="G167" s="593"/>
      <c r="H167" s="1968">
        <v>0</v>
      </c>
      <c r="I167" s="593"/>
      <c r="J167" s="593"/>
      <c r="K167" s="1644">
        <f>SUM(C167:J167)</f>
        <v>0</v>
      </c>
      <c r="L167" s="1990">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4">
        <v>0</v>
      </c>
      <c r="I169" s="593"/>
      <c r="J169" s="593"/>
      <c r="K169" s="1644">
        <f>SUM(C169:H169)</f>
        <v>0</v>
      </c>
      <c r="L169" s="2005">
        <v>0</v>
      </c>
    </row>
    <row r="170" spans="1:14" ht="33.75" customHeight="1" x14ac:dyDescent="0.2">
      <c r="A170" s="644" t="s">
        <v>1670</v>
      </c>
      <c r="B170" s="646" t="s">
        <v>31</v>
      </c>
      <c r="C170" s="593"/>
      <c r="D170" s="593"/>
      <c r="E170" s="593"/>
      <c r="F170" s="593"/>
      <c r="G170" s="593"/>
      <c r="H170" s="1974">
        <v>0</v>
      </c>
      <c r="I170" s="593"/>
      <c r="J170" s="593"/>
      <c r="K170" s="1644">
        <f>SUM(C170:J170)</f>
        <v>0</v>
      </c>
      <c r="L170" s="1996">
        <v>0</v>
      </c>
    </row>
    <row r="171" spans="1:14" ht="15.75" customHeight="1" x14ac:dyDescent="0.2">
      <c r="A171" s="598" t="s">
        <v>766</v>
      </c>
      <c r="B171" s="647" t="s">
        <v>84</v>
      </c>
      <c r="C171" s="593"/>
      <c r="D171" s="593"/>
      <c r="E171" s="1968">
        <v>0</v>
      </c>
      <c r="F171" s="593"/>
      <c r="G171" s="593"/>
      <c r="H171" s="1974">
        <v>0</v>
      </c>
      <c r="I171" s="473"/>
      <c r="J171" s="593"/>
      <c r="K171" s="1644">
        <f>SUM(C171:J171)</f>
        <v>0</v>
      </c>
      <c r="L171" s="1996">
        <v>0</v>
      </c>
    </row>
    <row r="172" spans="1:14" ht="12.75" customHeight="1" thickBot="1" x14ac:dyDescent="0.25">
      <c r="A172" s="1641" t="s">
        <v>638</v>
      </c>
      <c r="B172" s="1642" t="s">
        <v>492</v>
      </c>
      <c r="C172" s="593"/>
      <c r="D172" s="593"/>
      <c r="E172" s="1650">
        <f>SUM(E168,E169,E170,E171)</f>
        <v>0</v>
      </c>
      <c r="F172" s="593"/>
      <c r="G172" s="593"/>
      <c r="H172" s="1650">
        <f>SUM(H168,H169,H170,H171)</f>
        <v>0</v>
      </c>
      <c r="I172" s="615"/>
      <c r="J172" s="593"/>
      <c r="K172" s="1650">
        <f>SUM(K168,K169,K170,K171)</f>
        <v>0</v>
      </c>
      <c r="L172" s="1650">
        <f>SUM(L168,L169,L170,L171)</f>
        <v>0</v>
      </c>
    </row>
    <row r="173" spans="1:14" ht="15.75" customHeight="1" thickTop="1" thickBot="1" x14ac:dyDescent="0.25">
      <c r="A173" s="1592" t="s">
        <v>85</v>
      </c>
      <c r="B173" s="1584" t="s">
        <v>861</v>
      </c>
      <c r="C173" s="593"/>
      <c r="D173" s="593"/>
      <c r="E173" s="600"/>
      <c r="F173" s="593"/>
      <c r="G173" s="593"/>
      <c r="H173" s="603"/>
      <c r="I173" s="615"/>
      <c r="J173" s="593"/>
      <c r="K173" s="600"/>
      <c r="L173" s="2003">
        <v>0</v>
      </c>
    </row>
    <row r="174" spans="1:14" ht="12.75" customHeight="1" thickTop="1" thickBot="1" x14ac:dyDescent="0.25">
      <c r="A174" s="1662" t="s">
        <v>90</v>
      </c>
      <c r="B174" s="1663"/>
      <c r="C174" s="593"/>
      <c r="D174" s="593"/>
      <c r="E174" s="1650">
        <f>SUM(E172,E173)</f>
        <v>0</v>
      </c>
      <c r="F174" s="593"/>
      <c r="G174" s="593"/>
      <c r="H174" s="1650">
        <f>SUM(H160,H172,H173)</f>
        <v>0</v>
      </c>
      <c r="I174" s="615"/>
      <c r="J174" s="593"/>
      <c r="K174" s="1650">
        <f>SUM(K160,K172,K173)</f>
        <v>0</v>
      </c>
      <c r="L174" s="1650">
        <f>SUM(L160,L172,L173)</f>
        <v>0</v>
      </c>
    </row>
    <row r="175" spans="1:14" ht="13.5" thickTop="1" x14ac:dyDescent="0.2">
      <c r="A175" s="2250" t="s">
        <v>996</v>
      </c>
      <c r="B175" s="2251"/>
      <c r="C175" s="593"/>
      <c r="D175" s="593"/>
      <c r="E175" s="593"/>
      <c r="F175" s="593"/>
      <c r="G175" s="593"/>
      <c r="H175" s="595"/>
      <c r="I175" s="593"/>
      <c r="J175" s="593"/>
      <c r="K175" s="1657">
        <f>'Revenues 9-14'!E268-'Expenditures 15-22'!K174</f>
        <v>0</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90">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8">
        <v>8912</v>
      </c>
      <c r="D182" s="1968">
        <v>2601</v>
      </c>
      <c r="E182" s="1968">
        <v>683966</v>
      </c>
      <c r="F182" s="1968">
        <v>0</v>
      </c>
      <c r="G182" s="1968">
        <v>0</v>
      </c>
      <c r="H182" s="1968">
        <v>0</v>
      </c>
      <c r="I182" s="1969">
        <v>0</v>
      </c>
      <c r="J182" s="1969">
        <v>0</v>
      </c>
      <c r="K182" s="1644">
        <f>SUM(C182:J182)</f>
        <v>695479</v>
      </c>
      <c r="L182" s="1990">
        <v>710668</v>
      </c>
    </row>
    <row r="183" spans="1:14" ht="12.75" customHeight="1" thickBot="1" x14ac:dyDescent="0.25">
      <c r="A183" s="1482" t="s">
        <v>980</v>
      </c>
      <c r="B183" s="652">
        <v>2900</v>
      </c>
      <c r="C183" s="1979">
        <v>0</v>
      </c>
      <c r="D183" s="1979">
        <v>0</v>
      </c>
      <c r="E183" s="1979">
        <v>0</v>
      </c>
      <c r="F183" s="1979">
        <v>0</v>
      </c>
      <c r="G183" s="1979">
        <v>0</v>
      </c>
      <c r="H183" s="1979">
        <v>0</v>
      </c>
      <c r="I183" s="1977">
        <v>0</v>
      </c>
      <c r="J183" s="1977">
        <v>0</v>
      </c>
      <c r="K183" s="1650">
        <f>SUM(C183:J183)</f>
        <v>0</v>
      </c>
      <c r="L183" s="2002">
        <v>0</v>
      </c>
    </row>
    <row r="184" spans="1:14" ht="12.75" customHeight="1" thickTop="1" thickBot="1" x14ac:dyDescent="0.25">
      <c r="A184" s="1664" t="s">
        <v>811</v>
      </c>
      <c r="B184" s="1642" t="s">
        <v>569</v>
      </c>
      <c r="C184" s="1650">
        <f>SUM(C180,C182,C183)</f>
        <v>8912</v>
      </c>
      <c r="D184" s="1650">
        <f t="shared" ref="D184:J184" si="17">SUM(D180,D182,D183)</f>
        <v>2601</v>
      </c>
      <c r="E184" s="1650">
        <f t="shared" si="17"/>
        <v>683966</v>
      </c>
      <c r="F184" s="1650">
        <f t="shared" si="17"/>
        <v>0</v>
      </c>
      <c r="G184" s="1650">
        <f t="shared" si="17"/>
        <v>0</v>
      </c>
      <c r="H184" s="1650">
        <f t="shared" si="17"/>
        <v>0</v>
      </c>
      <c r="I184" s="1650">
        <f t="shared" si="17"/>
        <v>0</v>
      </c>
      <c r="J184" s="1650">
        <f t="shared" si="17"/>
        <v>0</v>
      </c>
      <c r="K184" s="1650">
        <f>SUM(K180,K182,K183)</f>
        <v>695479</v>
      </c>
      <c r="L184" s="1650">
        <f>SUM(L180, L182:L183)</f>
        <v>710668</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3">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8">
        <v>0</v>
      </c>
      <c r="F188" s="593"/>
      <c r="G188" s="593"/>
      <c r="H188" s="1968">
        <v>0</v>
      </c>
      <c r="I188" s="473"/>
      <c r="J188" s="593"/>
      <c r="K188" s="1644">
        <f t="shared" ref="K188:K193" si="18">SUM(E188,H188)</f>
        <v>0</v>
      </c>
      <c r="L188" s="1990">
        <v>0</v>
      </c>
    </row>
    <row r="189" spans="1:14" x14ac:dyDescent="0.2">
      <c r="A189" s="1477" t="s">
        <v>304</v>
      </c>
      <c r="B189" s="591">
        <v>4120</v>
      </c>
      <c r="C189" s="593"/>
      <c r="D189" s="593"/>
      <c r="E189" s="1968">
        <v>0</v>
      </c>
      <c r="F189" s="593"/>
      <c r="G189" s="593"/>
      <c r="H189" s="1968">
        <v>0</v>
      </c>
      <c r="I189" s="473"/>
      <c r="J189" s="593"/>
      <c r="K189" s="1644">
        <f t="shared" si="18"/>
        <v>0</v>
      </c>
      <c r="L189" s="1990">
        <v>0</v>
      </c>
    </row>
    <row r="190" spans="1:14" x14ac:dyDescent="0.2">
      <c r="A190" s="1477" t="s">
        <v>305</v>
      </c>
      <c r="B190" s="605">
        <v>4130</v>
      </c>
      <c r="C190" s="593"/>
      <c r="D190" s="593"/>
      <c r="E190" s="1968">
        <v>0</v>
      </c>
      <c r="F190" s="593"/>
      <c r="G190" s="593"/>
      <c r="H190" s="1968">
        <v>0</v>
      </c>
      <c r="I190" s="473"/>
      <c r="J190" s="593"/>
      <c r="K190" s="1644">
        <f t="shared" si="18"/>
        <v>0</v>
      </c>
      <c r="L190" s="1990">
        <v>0</v>
      </c>
    </row>
    <row r="191" spans="1:14" x14ac:dyDescent="0.2">
      <c r="A191" s="1477" t="s">
        <v>697</v>
      </c>
      <c r="B191" s="591">
        <v>4140</v>
      </c>
      <c r="C191" s="593"/>
      <c r="D191" s="593"/>
      <c r="E191" s="1968">
        <v>0</v>
      </c>
      <c r="F191" s="593"/>
      <c r="G191" s="593"/>
      <c r="H191" s="1968">
        <v>0</v>
      </c>
      <c r="I191" s="473"/>
      <c r="J191" s="593"/>
      <c r="K191" s="1644">
        <f t="shared" si="18"/>
        <v>0</v>
      </c>
      <c r="L191" s="1990">
        <v>0</v>
      </c>
    </row>
    <row r="192" spans="1:14" x14ac:dyDescent="0.2">
      <c r="A192" s="1477" t="s">
        <v>86</v>
      </c>
      <c r="B192" s="591">
        <v>4170</v>
      </c>
      <c r="C192" s="593"/>
      <c r="D192" s="593"/>
      <c r="E192" s="1968">
        <v>0</v>
      </c>
      <c r="F192" s="593"/>
      <c r="G192" s="593"/>
      <c r="H192" s="1968">
        <v>0</v>
      </c>
      <c r="I192" s="473"/>
      <c r="J192" s="593"/>
      <c r="K192" s="1644">
        <f t="shared" si="18"/>
        <v>0</v>
      </c>
      <c r="L192" s="1990">
        <v>0</v>
      </c>
    </row>
    <row r="193" spans="1:14" x14ac:dyDescent="0.2">
      <c r="A193" s="1481" t="s">
        <v>698</v>
      </c>
      <c r="B193" s="605">
        <v>4190</v>
      </c>
      <c r="C193" s="593"/>
      <c r="D193" s="593"/>
      <c r="E193" s="1968">
        <v>0</v>
      </c>
      <c r="F193" s="593"/>
      <c r="G193" s="593"/>
      <c r="H193" s="1968">
        <v>0</v>
      </c>
      <c r="I193" s="473"/>
      <c r="J193" s="593"/>
      <c r="K193" s="1644">
        <f t="shared" si="18"/>
        <v>0</v>
      </c>
      <c r="L193" s="1990">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4">
        <v>0</v>
      </c>
      <c r="F195" s="593"/>
      <c r="G195" s="593"/>
      <c r="H195" s="1984">
        <v>0</v>
      </c>
      <c r="I195" s="473"/>
      <c r="J195" s="593"/>
      <c r="K195" s="1658">
        <f>SUM(E195,H195)</f>
        <v>0</v>
      </c>
      <c r="L195" s="2005">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8">
        <v>0</v>
      </c>
      <c r="I199" s="593"/>
      <c r="J199" s="593"/>
      <c r="K199" s="1644">
        <f>SUM(H199)</f>
        <v>0</v>
      </c>
      <c r="L199" s="1990">
        <v>0</v>
      </c>
    </row>
    <row r="200" spans="1:14" x14ac:dyDescent="0.2">
      <c r="A200" s="1477" t="s">
        <v>88</v>
      </c>
      <c r="B200" s="591">
        <v>5120</v>
      </c>
      <c r="C200" s="593"/>
      <c r="D200" s="593"/>
      <c r="E200" s="593"/>
      <c r="F200" s="593"/>
      <c r="G200" s="593"/>
      <c r="H200" s="1968">
        <v>0</v>
      </c>
      <c r="I200" s="593"/>
      <c r="J200" s="593"/>
      <c r="K200" s="1644">
        <f>SUM(H200)</f>
        <v>0</v>
      </c>
      <c r="L200" s="1990">
        <v>0</v>
      </c>
    </row>
    <row r="201" spans="1:14" ht="12.75" customHeight="1" x14ac:dyDescent="0.2">
      <c r="A201" s="1477" t="s">
        <v>1170</v>
      </c>
      <c r="B201" s="605" t="s">
        <v>617</v>
      </c>
      <c r="C201" s="593"/>
      <c r="D201" s="593"/>
      <c r="E201" s="593"/>
      <c r="F201" s="593"/>
      <c r="G201" s="593"/>
      <c r="H201" s="1968">
        <v>0</v>
      </c>
      <c r="I201" s="593"/>
      <c r="J201" s="593"/>
      <c r="K201" s="1644">
        <f>SUM(H201)</f>
        <v>0</v>
      </c>
      <c r="L201" s="1990">
        <v>0</v>
      </c>
    </row>
    <row r="202" spans="1:14" x14ac:dyDescent="0.2">
      <c r="A202" s="1477" t="s">
        <v>89</v>
      </c>
      <c r="B202" s="591" t="s">
        <v>589</v>
      </c>
      <c r="C202" s="593"/>
      <c r="D202" s="593"/>
      <c r="E202" s="593"/>
      <c r="F202" s="593"/>
      <c r="G202" s="593"/>
      <c r="H202" s="1968">
        <v>0</v>
      </c>
      <c r="I202" s="593"/>
      <c r="J202" s="593"/>
      <c r="K202" s="1644">
        <f>SUM(H202)</f>
        <v>0</v>
      </c>
      <c r="L202" s="1990">
        <v>0</v>
      </c>
    </row>
    <row r="203" spans="1:14" x14ac:dyDescent="0.2">
      <c r="A203" s="1489" t="s">
        <v>619</v>
      </c>
      <c r="B203" s="591" t="s">
        <v>618</v>
      </c>
      <c r="C203" s="593"/>
      <c r="D203" s="593"/>
      <c r="E203" s="593"/>
      <c r="F203" s="593"/>
      <c r="G203" s="593"/>
      <c r="H203" s="1970">
        <v>0</v>
      </c>
      <c r="I203" s="593"/>
      <c r="J203" s="593"/>
      <c r="K203" s="1644">
        <f>SUM(H203)</f>
        <v>0</v>
      </c>
      <c r="L203" s="1992">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8">
        <v>0</v>
      </c>
      <c r="I205" s="593"/>
      <c r="J205" s="593"/>
      <c r="K205" s="1658">
        <f>SUM(H205)</f>
        <v>0</v>
      </c>
      <c r="L205" s="2001">
        <v>0</v>
      </c>
    </row>
    <row r="206" spans="1:14" ht="30" customHeight="1" x14ac:dyDescent="0.2">
      <c r="A206" s="656" t="s">
        <v>1671</v>
      </c>
      <c r="B206" s="647" t="s">
        <v>31</v>
      </c>
      <c r="C206" s="593"/>
      <c r="D206" s="593"/>
      <c r="E206" s="593"/>
      <c r="F206" s="593"/>
      <c r="G206" s="593"/>
      <c r="H206" s="1968">
        <v>0</v>
      </c>
      <c r="I206" s="593"/>
      <c r="J206" s="593"/>
      <c r="K206" s="1644">
        <f>SUM(H206)</f>
        <v>0</v>
      </c>
      <c r="L206" s="1990">
        <v>0</v>
      </c>
    </row>
    <row r="207" spans="1:14" ht="15.75" customHeight="1" x14ac:dyDescent="0.2">
      <c r="A207" s="598" t="s">
        <v>766</v>
      </c>
      <c r="B207" s="647" t="s">
        <v>84</v>
      </c>
      <c r="C207" s="593"/>
      <c r="D207" s="593"/>
      <c r="E207" s="593"/>
      <c r="F207" s="593"/>
      <c r="G207" s="593"/>
      <c r="H207" s="1969">
        <v>0</v>
      </c>
      <c r="I207" s="593"/>
      <c r="J207" s="593"/>
      <c r="K207" s="1644">
        <f>H207</f>
        <v>0</v>
      </c>
      <c r="L207" s="1990">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3">
        <v>0</v>
      </c>
    </row>
    <row r="210" spans="1:14" ht="12.75" customHeight="1" thickTop="1" thickBot="1" x14ac:dyDescent="0.25">
      <c r="A210" s="1665" t="s">
        <v>277</v>
      </c>
      <c r="B210" s="1666"/>
      <c r="C210" s="1643">
        <f>SUM(C184,C185)</f>
        <v>8912</v>
      </c>
      <c r="D210" s="1643">
        <f>SUM(D184,D185)</f>
        <v>2601</v>
      </c>
      <c r="E210" s="1643">
        <f>SUM(E184,E185,E196)</f>
        <v>683966</v>
      </c>
      <c r="F210" s="1643">
        <f>SUM(F184,F185)</f>
        <v>0</v>
      </c>
      <c r="G210" s="1643">
        <f>SUM(G184,G185)</f>
        <v>0</v>
      </c>
      <c r="H210" s="1643">
        <f>SUM(H184,H185,H196,H208,H209)</f>
        <v>0</v>
      </c>
      <c r="I210" s="1643">
        <f>SUM(I184,I185)</f>
        <v>0</v>
      </c>
      <c r="J210" s="1643">
        <f>SUM(J184,J185)</f>
        <v>0</v>
      </c>
      <c r="K210" s="1644">
        <f>SUM(K184,K185,K196,K208,K209)</f>
        <v>695479</v>
      </c>
      <c r="L210" s="1643">
        <f>SUM(L184,L185,L196,L208,L209)</f>
        <v>710668</v>
      </c>
    </row>
    <row r="211" spans="1:14" ht="13.5" thickTop="1" x14ac:dyDescent="0.2">
      <c r="A211" s="2250" t="s">
        <v>996</v>
      </c>
      <c r="B211" s="2251"/>
      <c r="C211" s="595"/>
      <c r="D211" s="595"/>
      <c r="E211" s="595"/>
      <c r="F211" s="595"/>
      <c r="G211" s="595"/>
      <c r="H211" s="595"/>
      <c r="I211" s="593"/>
      <c r="J211" s="593"/>
      <c r="K211" s="1657">
        <f>'Revenues 9-14'!F268-'Expenditures 15-22'!K210</f>
        <v>10022</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5" t="s">
        <v>965</v>
      </c>
      <c r="B213" s="2246"/>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8">
        <v>19216</v>
      </c>
      <c r="E215" s="593"/>
      <c r="F215" s="593"/>
      <c r="G215" s="593"/>
      <c r="H215" s="593"/>
      <c r="I215" s="593"/>
      <c r="J215" s="593"/>
      <c r="K215" s="1644">
        <f>D215</f>
        <v>19216</v>
      </c>
      <c r="L215" s="1990">
        <v>21755</v>
      </c>
    </row>
    <row r="216" spans="1:14" x14ac:dyDescent="0.2">
      <c r="A216" s="1477" t="s">
        <v>163</v>
      </c>
      <c r="B216" s="591" t="s">
        <v>967</v>
      </c>
      <c r="C216" s="593"/>
      <c r="D216" s="1969">
        <v>3328</v>
      </c>
      <c r="E216" s="593"/>
      <c r="F216" s="593"/>
      <c r="G216" s="593"/>
      <c r="H216" s="593"/>
      <c r="I216" s="593"/>
      <c r="J216" s="593"/>
      <c r="K216" s="1644">
        <f t="shared" ref="K216:K228" si="19">D216</f>
        <v>3328</v>
      </c>
      <c r="L216" s="1990">
        <v>6795</v>
      </c>
    </row>
    <row r="217" spans="1:14" x14ac:dyDescent="0.2">
      <c r="A217" s="1477" t="s">
        <v>164</v>
      </c>
      <c r="B217" s="591">
        <v>1200</v>
      </c>
      <c r="C217" s="593"/>
      <c r="D217" s="1968">
        <v>13918</v>
      </c>
      <c r="E217" s="593"/>
      <c r="F217" s="593"/>
      <c r="G217" s="593"/>
      <c r="H217" s="593"/>
      <c r="I217" s="593"/>
      <c r="J217" s="593"/>
      <c r="K217" s="1644">
        <f t="shared" si="19"/>
        <v>13918</v>
      </c>
      <c r="L217" s="1990">
        <v>11980</v>
      </c>
    </row>
    <row r="218" spans="1:14" x14ac:dyDescent="0.2">
      <c r="A218" s="1477" t="s">
        <v>278</v>
      </c>
      <c r="B218" s="591" t="s">
        <v>968</v>
      </c>
      <c r="C218" s="593"/>
      <c r="D218" s="1969">
        <v>537</v>
      </c>
      <c r="E218" s="593"/>
      <c r="F218" s="593"/>
      <c r="G218" s="593"/>
      <c r="H218" s="593"/>
      <c r="I218" s="593"/>
      <c r="J218" s="593"/>
      <c r="K218" s="1644">
        <f t="shared" si="19"/>
        <v>537</v>
      </c>
      <c r="L218" s="1990">
        <v>2935</v>
      </c>
    </row>
    <row r="219" spans="1:14" x14ac:dyDescent="0.2">
      <c r="A219" s="1477" t="s">
        <v>279</v>
      </c>
      <c r="B219" s="591">
        <v>1250</v>
      </c>
      <c r="C219" s="593"/>
      <c r="D219" s="1968">
        <v>261</v>
      </c>
      <c r="E219" s="593"/>
      <c r="F219" s="593"/>
      <c r="G219" s="593"/>
      <c r="H219" s="593"/>
      <c r="I219" s="593"/>
      <c r="J219" s="593"/>
      <c r="K219" s="1644">
        <f t="shared" si="19"/>
        <v>261</v>
      </c>
      <c r="L219" s="1990">
        <v>289</v>
      </c>
    </row>
    <row r="220" spans="1:14" x14ac:dyDescent="0.2">
      <c r="A220" s="1477" t="s">
        <v>280</v>
      </c>
      <c r="B220" s="591" t="s">
        <v>161</v>
      </c>
      <c r="C220" s="593"/>
      <c r="D220" s="1969">
        <v>0</v>
      </c>
      <c r="E220" s="593"/>
      <c r="F220" s="593"/>
      <c r="G220" s="593"/>
      <c r="H220" s="593"/>
      <c r="I220" s="593"/>
      <c r="J220" s="593"/>
      <c r="K220" s="1644">
        <f t="shared" si="19"/>
        <v>0</v>
      </c>
      <c r="L220" s="1990">
        <v>0</v>
      </c>
    </row>
    <row r="221" spans="1:14" x14ac:dyDescent="0.2">
      <c r="A221" s="1477" t="s">
        <v>962</v>
      </c>
      <c r="B221" s="591">
        <v>1300</v>
      </c>
      <c r="C221" s="593"/>
      <c r="D221" s="1968">
        <v>0</v>
      </c>
      <c r="E221" s="593"/>
      <c r="F221" s="593"/>
      <c r="G221" s="593"/>
      <c r="H221" s="593"/>
      <c r="I221" s="593"/>
      <c r="J221" s="593"/>
      <c r="K221" s="1644">
        <f t="shared" si="19"/>
        <v>0</v>
      </c>
      <c r="L221" s="1990">
        <v>0</v>
      </c>
    </row>
    <row r="222" spans="1:14" x14ac:dyDescent="0.2">
      <c r="A222" s="1477" t="s">
        <v>723</v>
      </c>
      <c r="B222" s="591">
        <v>1400</v>
      </c>
      <c r="C222" s="593"/>
      <c r="D222" s="1968">
        <v>0</v>
      </c>
      <c r="E222" s="593"/>
      <c r="F222" s="593"/>
      <c r="G222" s="593"/>
      <c r="H222" s="593"/>
      <c r="I222" s="593"/>
      <c r="J222" s="593"/>
      <c r="K222" s="1644">
        <f t="shared" si="19"/>
        <v>0</v>
      </c>
      <c r="L222" s="1990">
        <v>0</v>
      </c>
    </row>
    <row r="223" spans="1:14" x14ac:dyDescent="0.2">
      <c r="A223" s="1477" t="s">
        <v>963</v>
      </c>
      <c r="B223" s="591">
        <v>1500</v>
      </c>
      <c r="C223" s="593"/>
      <c r="D223" s="1968">
        <v>906</v>
      </c>
      <c r="E223" s="593"/>
      <c r="F223" s="593"/>
      <c r="G223" s="593"/>
      <c r="H223" s="593"/>
      <c r="I223" s="593"/>
      <c r="J223" s="593"/>
      <c r="K223" s="1644">
        <f t="shared" si="19"/>
        <v>906</v>
      </c>
      <c r="L223" s="1990">
        <v>4893</v>
      </c>
    </row>
    <row r="224" spans="1:14" x14ac:dyDescent="0.2">
      <c r="A224" s="1477" t="s">
        <v>964</v>
      </c>
      <c r="B224" s="591">
        <v>1600</v>
      </c>
      <c r="C224" s="593"/>
      <c r="D224" s="1968">
        <v>0</v>
      </c>
      <c r="E224" s="593"/>
      <c r="F224" s="593"/>
      <c r="G224" s="593"/>
      <c r="H224" s="593"/>
      <c r="I224" s="593"/>
      <c r="J224" s="593"/>
      <c r="K224" s="1644">
        <f t="shared" si="19"/>
        <v>0</v>
      </c>
      <c r="L224" s="1990">
        <v>0</v>
      </c>
    </row>
    <row r="225" spans="1:12" x14ac:dyDescent="0.2">
      <c r="A225" s="1477" t="s">
        <v>987</v>
      </c>
      <c r="B225" s="591">
        <v>1650</v>
      </c>
      <c r="C225" s="593"/>
      <c r="D225" s="1968">
        <v>0</v>
      </c>
      <c r="E225" s="593"/>
      <c r="F225" s="593"/>
      <c r="G225" s="593"/>
      <c r="H225" s="593"/>
      <c r="I225" s="593"/>
      <c r="J225" s="593"/>
      <c r="K225" s="1644">
        <f t="shared" si="19"/>
        <v>0</v>
      </c>
      <c r="L225" s="1990">
        <v>0</v>
      </c>
    </row>
    <row r="226" spans="1:12" x14ac:dyDescent="0.2">
      <c r="A226" s="1477" t="s">
        <v>724</v>
      </c>
      <c r="B226" s="591" t="s">
        <v>162</v>
      </c>
      <c r="C226" s="593"/>
      <c r="D226" s="1969">
        <v>0</v>
      </c>
      <c r="E226" s="593"/>
      <c r="F226" s="593"/>
      <c r="G226" s="593"/>
      <c r="H226" s="593"/>
      <c r="I226" s="593"/>
      <c r="J226" s="593"/>
      <c r="K226" s="1644">
        <f t="shared" si="19"/>
        <v>0</v>
      </c>
      <c r="L226" s="1990">
        <v>0</v>
      </c>
    </row>
    <row r="227" spans="1:12" x14ac:dyDescent="0.2">
      <c r="A227" s="1477" t="s">
        <v>1087</v>
      </c>
      <c r="B227" s="591">
        <v>1800</v>
      </c>
      <c r="C227" s="593"/>
      <c r="D227" s="1968">
        <v>0</v>
      </c>
      <c r="E227" s="593"/>
      <c r="F227" s="593"/>
      <c r="G227" s="593"/>
      <c r="H227" s="593"/>
      <c r="I227" s="593"/>
      <c r="J227" s="593"/>
      <c r="K227" s="1644">
        <f t="shared" si="19"/>
        <v>0</v>
      </c>
      <c r="L227" s="1990">
        <v>0</v>
      </c>
    </row>
    <row r="228" spans="1:12" x14ac:dyDescent="0.2">
      <c r="A228" s="1477" t="s">
        <v>1088</v>
      </c>
      <c r="B228" s="591">
        <v>1900</v>
      </c>
      <c r="C228" s="593"/>
      <c r="D228" s="1968">
        <v>0</v>
      </c>
      <c r="E228" s="593"/>
      <c r="F228" s="593"/>
      <c r="G228" s="593"/>
      <c r="H228" s="593"/>
      <c r="I228" s="593"/>
      <c r="J228" s="593"/>
      <c r="K228" s="1644">
        <f t="shared" si="19"/>
        <v>0</v>
      </c>
      <c r="L228" s="1990">
        <v>0</v>
      </c>
    </row>
    <row r="229" spans="1:12" ht="12.75" customHeight="1" thickBot="1" x14ac:dyDescent="0.25">
      <c r="A229" s="1641" t="s">
        <v>715</v>
      </c>
      <c r="B229" s="1648" t="s">
        <v>570</v>
      </c>
      <c r="C229" s="593"/>
      <c r="D229" s="1643">
        <f>SUM(D215:D228)</f>
        <v>38166</v>
      </c>
      <c r="E229" s="593"/>
      <c r="F229" s="593"/>
      <c r="G229" s="593"/>
      <c r="H229" s="593"/>
      <c r="I229" s="593"/>
      <c r="J229" s="593"/>
      <c r="K229" s="1643">
        <f>SUM(K215:K228)</f>
        <v>38166</v>
      </c>
      <c r="L229" s="1643">
        <f>SUM(L215:L228)</f>
        <v>48647</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8">
        <v>516</v>
      </c>
      <c r="E232" s="593"/>
      <c r="F232" s="593"/>
      <c r="G232" s="593"/>
      <c r="H232" s="593"/>
      <c r="I232" s="593"/>
      <c r="J232" s="593"/>
      <c r="K232" s="1644">
        <f t="shared" ref="K232:K237" si="20">D232</f>
        <v>516</v>
      </c>
      <c r="L232" s="1990">
        <v>728</v>
      </c>
    </row>
    <row r="233" spans="1:12" x14ac:dyDescent="0.2">
      <c r="A233" s="1477" t="s">
        <v>1090</v>
      </c>
      <c r="B233" s="591">
        <v>2120</v>
      </c>
      <c r="C233" s="593"/>
      <c r="D233" s="1968">
        <v>0</v>
      </c>
      <c r="E233" s="593"/>
      <c r="F233" s="593"/>
      <c r="G233" s="593"/>
      <c r="H233" s="593"/>
      <c r="I233" s="593"/>
      <c r="J233" s="593"/>
      <c r="K233" s="1644">
        <f t="shared" si="20"/>
        <v>0</v>
      </c>
      <c r="L233" s="1990">
        <v>0</v>
      </c>
    </row>
    <row r="234" spans="1:12" x14ac:dyDescent="0.2">
      <c r="A234" s="1477" t="s">
        <v>198</v>
      </c>
      <c r="B234" s="591">
        <v>2130</v>
      </c>
      <c r="C234" s="593"/>
      <c r="D234" s="1968">
        <v>15306</v>
      </c>
      <c r="E234" s="593"/>
      <c r="F234" s="593"/>
      <c r="G234" s="593"/>
      <c r="H234" s="593"/>
      <c r="I234" s="593"/>
      <c r="J234" s="593"/>
      <c r="K234" s="1644">
        <f t="shared" si="20"/>
        <v>15306</v>
      </c>
      <c r="L234" s="1990">
        <v>15472</v>
      </c>
    </row>
    <row r="235" spans="1:12" x14ac:dyDescent="0.2">
      <c r="A235" s="1477" t="s">
        <v>199</v>
      </c>
      <c r="B235" s="591">
        <v>2140</v>
      </c>
      <c r="C235" s="593"/>
      <c r="D235" s="1968">
        <v>995</v>
      </c>
      <c r="E235" s="593"/>
      <c r="F235" s="593"/>
      <c r="G235" s="593"/>
      <c r="H235" s="593"/>
      <c r="I235" s="593"/>
      <c r="J235" s="593"/>
      <c r="K235" s="1644">
        <f t="shared" si="20"/>
        <v>995</v>
      </c>
      <c r="L235" s="1990">
        <v>1015</v>
      </c>
    </row>
    <row r="236" spans="1:12" x14ac:dyDescent="0.2">
      <c r="A236" s="1477" t="s">
        <v>200</v>
      </c>
      <c r="B236" s="591">
        <v>2150</v>
      </c>
      <c r="C236" s="593"/>
      <c r="D236" s="1968">
        <v>668</v>
      </c>
      <c r="E236" s="593"/>
      <c r="F236" s="593"/>
      <c r="G236" s="593"/>
      <c r="H236" s="593"/>
      <c r="I236" s="593"/>
      <c r="J236" s="593"/>
      <c r="K236" s="1644">
        <f t="shared" si="20"/>
        <v>668</v>
      </c>
      <c r="L236" s="1990">
        <v>685</v>
      </c>
    </row>
    <row r="237" spans="1:12" x14ac:dyDescent="0.2">
      <c r="A237" s="1477" t="s">
        <v>165</v>
      </c>
      <c r="B237" s="591">
        <v>2190</v>
      </c>
      <c r="C237" s="593"/>
      <c r="D237" s="1968">
        <v>0</v>
      </c>
      <c r="E237" s="593"/>
      <c r="F237" s="593"/>
      <c r="G237" s="593"/>
      <c r="H237" s="593"/>
      <c r="I237" s="593"/>
      <c r="J237" s="593"/>
      <c r="K237" s="1644">
        <f t="shared" si="20"/>
        <v>0</v>
      </c>
      <c r="L237" s="1990">
        <v>0</v>
      </c>
    </row>
    <row r="238" spans="1:12" ht="12.75" customHeight="1" thickBot="1" x14ac:dyDescent="0.25">
      <c r="A238" s="1641" t="s">
        <v>560</v>
      </c>
      <c r="B238" s="1648" t="s">
        <v>716</v>
      </c>
      <c r="C238" s="593"/>
      <c r="D238" s="1643">
        <f>SUM(D232:D237)</f>
        <v>17485</v>
      </c>
      <c r="E238" s="593"/>
      <c r="F238" s="593"/>
      <c r="G238" s="593"/>
      <c r="H238" s="593"/>
      <c r="I238" s="593"/>
      <c r="J238" s="593"/>
      <c r="K238" s="1643">
        <f>SUM(K232:K237)</f>
        <v>17485</v>
      </c>
      <c r="L238" s="1643">
        <f>SUM(L232:L237)</f>
        <v>17900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815</v>
      </c>
      <c r="E240" s="593"/>
      <c r="F240" s="593"/>
      <c r="G240" s="593"/>
      <c r="H240" s="593"/>
      <c r="I240" s="593"/>
      <c r="J240" s="593"/>
      <c r="K240" s="1645">
        <f>D240</f>
        <v>815</v>
      </c>
      <c r="L240" s="477">
        <v>891</v>
      </c>
    </row>
    <row r="241" spans="1:12" x14ac:dyDescent="0.2">
      <c r="A241" s="1477" t="s">
        <v>815</v>
      </c>
      <c r="B241" s="591">
        <v>2220</v>
      </c>
      <c r="C241" s="593"/>
      <c r="D241" s="1968">
        <v>0</v>
      </c>
      <c r="E241" s="593"/>
      <c r="F241" s="593"/>
      <c r="G241" s="593"/>
      <c r="H241" s="593"/>
      <c r="I241" s="593"/>
      <c r="J241" s="593"/>
      <c r="K241" s="1645">
        <f>D241</f>
        <v>0</v>
      </c>
      <c r="L241" s="1990">
        <v>0</v>
      </c>
    </row>
    <row r="242" spans="1:12" x14ac:dyDescent="0.2">
      <c r="A242" s="1477" t="s">
        <v>816</v>
      </c>
      <c r="B242" s="591">
        <v>2230</v>
      </c>
      <c r="C242" s="593"/>
      <c r="D242" s="1968">
        <v>0</v>
      </c>
      <c r="E242" s="593"/>
      <c r="F242" s="593"/>
      <c r="G242" s="593"/>
      <c r="H242" s="593"/>
      <c r="I242" s="593"/>
      <c r="J242" s="593"/>
      <c r="K242" s="1645">
        <f>D242</f>
        <v>0</v>
      </c>
      <c r="L242" s="1990">
        <v>0</v>
      </c>
    </row>
    <row r="243" spans="1:12" ht="12.75" customHeight="1" thickBot="1" x14ac:dyDescent="0.25">
      <c r="A243" s="1667" t="s">
        <v>561</v>
      </c>
      <c r="B243" s="1668">
        <v>2200</v>
      </c>
      <c r="C243" s="593"/>
      <c r="D243" s="1643">
        <f>SUM(D240:D242)</f>
        <v>815</v>
      </c>
      <c r="E243" s="593"/>
      <c r="F243" s="593"/>
      <c r="G243" s="593"/>
      <c r="H243" s="593"/>
      <c r="I243" s="593"/>
      <c r="J243" s="593"/>
      <c r="K243" s="1643">
        <f>SUM(K240:K242)</f>
        <v>815</v>
      </c>
      <c r="L243" s="1643">
        <f>SUM(L240:L242)</f>
        <v>891</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0</v>
      </c>
      <c r="E245" s="593"/>
      <c r="F245" s="593"/>
      <c r="G245" s="593"/>
      <c r="H245" s="593"/>
      <c r="I245" s="593"/>
      <c r="J245" s="593"/>
      <c r="K245" s="1645">
        <f>D245</f>
        <v>0</v>
      </c>
      <c r="L245" s="477">
        <v>0</v>
      </c>
    </row>
    <row r="246" spans="1:12" x14ac:dyDescent="0.2">
      <c r="A246" s="1477" t="s">
        <v>818</v>
      </c>
      <c r="B246" s="591">
        <v>2320</v>
      </c>
      <c r="C246" s="593"/>
      <c r="D246" s="1968">
        <v>1471</v>
      </c>
      <c r="E246" s="593"/>
      <c r="F246" s="593"/>
      <c r="G246" s="593"/>
      <c r="H246" s="593"/>
      <c r="I246" s="593"/>
      <c r="J246" s="593"/>
      <c r="K246" s="1645">
        <f t="shared" ref="K246:K256" si="21">D246</f>
        <v>1471</v>
      </c>
      <c r="L246" s="1990">
        <v>1486</v>
      </c>
    </row>
    <row r="247" spans="1:12" x14ac:dyDescent="0.2">
      <c r="A247" s="1477" t="s">
        <v>819</v>
      </c>
      <c r="B247" s="591">
        <v>2330</v>
      </c>
      <c r="C247" s="593"/>
      <c r="D247" s="1968">
        <v>0</v>
      </c>
      <c r="E247" s="593"/>
      <c r="F247" s="593"/>
      <c r="G247" s="593"/>
      <c r="H247" s="593"/>
      <c r="I247" s="593"/>
      <c r="J247" s="593"/>
      <c r="K247" s="1645">
        <f t="shared" si="21"/>
        <v>0</v>
      </c>
      <c r="L247" s="1990">
        <v>0</v>
      </c>
    </row>
    <row r="248" spans="1:12" x14ac:dyDescent="0.2">
      <c r="A248" s="1478" t="s">
        <v>299</v>
      </c>
      <c r="B248" s="579" t="s">
        <v>281</v>
      </c>
      <c r="C248" s="593"/>
      <c r="D248" s="1971">
        <v>0</v>
      </c>
      <c r="E248" s="593"/>
      <c r="F248" s="593"/>
      <c r="G248" s="593"/>
      <c r="H248" s="593"/>
      <c r="I248" s="593"/>
      <c r="J248" s="593"/>
      <c r="K248" s="1645">
        <f t="shared" si="21"/>
        <v>0</v>
      </c>
      <c r="L248" s="1990">
        <v>0</v>
      </c>
    </row>
    <row r="249" spans="1:12" x14ac:dyDescent="0.2">
      <c r="A249" s="1479" t="s">
        <v>1805</v>
      </c>
      <c r="B249" s="658" t="s">
        <v>282</v>
      </c>
      <c r="C249" s="593"/>
      <c r="D249" s="1971">
        <v>0</v>
      </c>
      <c r="E249" s="593"/>
      <c r="F249" s="593"/>
      <c r="G249" s="593"/>
      <c r="H249" s="593"/>
      <c r="I249" s="593"/>
      <c r="J249" s="593"/>
      <c r="K249" s="1645">
        <f t="shared" si="21"/>
        <v>0</v>
      </c>
      <c r="L249" s="1990">
        <v>0</v>
      </c>
    </row>
    <row r="250" spans="1:12" x14ac:dyDescent="0.2">
      <c r="A250" s="1478" t="s">
        <v>1806</v>
      </c>
      <c r="B250" s="579" t="s">
        <v>283</v>
      </c>
      <c r="C250" s="593"/>
      <c r="D250" s="1971">
        <v>0</v>
      </c>
      <c r="E250" s="593"/>
      <c r="F250" s="593"/>
      <c r="G250" s="593"/>
      <c r="H250" s="593"/>
      <c r="I250" s="593"/>
      <c r="J250" s="593"/>
      <c r="K250" s="1645">
        <f t="shared" si="21"/>
        <v>0</v>
      </c>
      <c r="L250" s="1990">
        <v>0</v>
      </c>
    </row>
    <row r="251" spans="1:12" x14ac:dyDescent="0.2">
      <c r="A251" s="1478" t="s">
        <v>238</v>
      </c>
      <c r="B251" s="579" t="s">
        <v>284</v>
      </c>
      <c r="C251" s="593"/>
      <c r="D251" s="1971">
        <v>0</v>
      </c>
      <c r="E251" s="593"/>
      <c r="F251" s="593"/>
      <c r="G251" s="593"/>
      <c r="H251" s="593"/>
      <c r="I251" s="593"/>
      <c r="J251" s="593"/>
      <c r="K251" s="1645">
        <f t="shared" si="21"/>
        <v>0</v>
      </c>
      <c r="L251" s="1990">
        <v>0</v>
      </c>
    </row>
    <row r="252" spans="1:12" x14ac:dyDescent="0.2">
      <c r="A252" s="1478" t="s">
        <v>702</v>
      </c>
      <c r="B252" s="579" t="s">
        <v>285</v>
      </c>
      <c r="C252" s="593"/>
      <c r="D252" s="1971">
        <v>0</v>
      </c>
      <c r="E252" s="593"/>
      <c r="F252" s="593"/>
      <c r="G252" s="593"/>
      <c r="H252" s="593"/>
      <c r="I252" s="593"/>
      <c r="J252" s="593"/>
      <c r="K252" s="1645">
        <f t="shared" si="21"/>
        <v>0</v>
      </c>
      <c r="L252" s="1990">
        <v>0</v>
      </c>
    </row>
    <row r="253" spans="1:12" x14ac:dyDescent="0.2">
      <c r="A253" s="1478" t="s">
        <v>239</v>
      </c>
      <c r="B253" s="579" t="s">
        <v>286</v>
      </c>
      <c r="C253" s="593"/>
      <c r="D253" s="1971">
        <v>0</v>
      </c>
      <c r="E253" s="593"/>
      <c r="F253" s="593"/>
      <c r="G253" s="593"/>
      <c r="H253" s="593"/>
      <c r="I253" s="593"/>
      <c r="J253" s="593"/>
      <c r="K253" s="1645">
        <f t="shared" si="21"/>
        <v>0</v>
      </c>
      <c r="L253" s="1990">
        <v>0</v>
      </c>
    </row>
    <row r="254" spans="1:12" ht="22.5" x14ac:dyDescent="0.2">
      <c r="A254" s="1478" t="s">
        <v>1029</v>
      </c>
      <c r="B254" s="658" t="s">
        <v>287</v>
      </c>
      <c r="C254" s="593"/>
      <c r="D254" s="1971">
        <v>0</v>
      </c>
      <c r="E254" s="593"/>
      <c r="F254" s="593"/>
      <c r="G254" s="593"/>
      <c r="H254" s="593"/>
      <c r="I254" s="593"/>
      <c r="J254" s="593"/>
      <c r="K254" s="1645">
        <f t="shared" si="21"/>
        <v>0</v>
      </c>
      <c r="L254" s="1990">
        <v>0</v>
      </c>
    </row>
    <row r="255" spans="1:12" x14ac:dyDescent="0.2">
      <c r="A255" s="1478" t="s">
        <v>1030</v>
      </c>
      <c r="B255" s="579" t="s">
        <v>288</v>
      </c>
      <c r="C255" s="593"/>
      <c r="D255" s="1971">
        <v>0</v>
      </c>
      <c r="E255" s="593"/>
      <c r="F255" s="593"/>
      <c r="G255" s="593"/>
      <c r="H255" s="593"/>
      <c r="I255" s="593"/>
      <c r="J255" s="593"/>
      <c r="K255" s="1645">
        <f t="shared" si="21"/>
        <v>0</v>
      </c>
      <c r="L255" s="1990">
        <v>0</v>
      </c>
    </row>
    <row r="256" spans="1:12" x14ac:dyDescent="0.2">
      <c r="A256" s="1478" t="s">
        <v>971</v>
      </c>
      <c r="B256" s="591" t="s">
        <v>289</v>
      </c>
      <c r="C256" s="593"/>
      <c r="D256" s="1971">
        <v>0</v>
      </c>
      <c r="E256" s="593"/>
      <c r="F256" s="593"/>
      <c r="G256" s="593"/>
      <c r="H256" s="593"/>
      <c r="I256" s="593"/>
      <c r="J256" s="593"/>
      <c r="K256" s="1645">
        <f t="shared" si="21"/>
        <v>0</v>
      </c>
      <c r="L256" s="1990">
        <v>0</v>
      </c>
    </row>
    <row r="257" spans="1:14" ht="12.75" customHeight="1" thickBot="1" x14ac:dyDescent="0.25">
      <c r="A257" s="1641" t="s">
        <v>717</v>
      </c>
      <c r="B257" s="1669">
        <v>2300</v>
      </c>
      <c r="C257" s="593"/>
      <c r="D257" s="1643">
        <f>SUM(D245:D256)</f>
        <v>1471</v>
      </c>
      <c r="E257" s="593"/>
      <c r="F257" s="593"/>
      <c r="G257" s="593"/>
      <c r="H257" s="593"/>
      <c r="I257" s="593"/>
      <c r="J257" s="593"/>
      <c r="K257" s="1643">
        <f>SUM(K245:K256)</f>
        <v>1471</v>
      </c>
      <c r="L257" s="1643">
        <f>SUM(L245:L256)</f>
        <v>1486</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8935</v>
      </c>
      <c r="E259" s="593"/>
      <c r="F259" s="593"/>
      <c r="G259" s="593"/>
      <c r="H259" s="593"/>
      <c r="I259" s="593"/>
      <c r="J259" s="593"/>
      <c r="K259" s="1645">
        <f>D259</f>
        <v>8935</v>
      </c>
      <c r="L259" s="477">
        <v>8955</v>
      </c>
    </row>
    <row r="260" spans="1:14" s="574" customFormat="1" x14ac:dyDescent="0.2">
      <c r="A260" s="1495" t="s">
        <v>1804</v>
      </c>
      <c r="B260" s="605">
        <v>2490</v>
      </c>
      <c r="C260" s="593"/>
      <c r="D260" s="1968">
        <v>0</v>
      </c>
      <c r="E260" s="593"/>
      <c r="F260" s="593"/>
      <c r="G260" s="593"/>
      <c r="H260" s="593"/>
      <c r="I260" s="593"/>
      <c r="J260" s="593"/>
      <c r="K260" s="1645">
        <f>D260</f>
        <v>0</v>
      </c>
      <c r="L260" s="1990">
        <v>0</v>
      </c>
      <c r="M260" s="210"/>
      <c r="N260" s="210"/>
    </row>
    <row r="261" spans="1:14" ht="12.75" customHeight="1" thickBot="1" x14ac:dyDescent="0.25">
      <c r="A261" s="1665" t="s">
        <v>263</v>
      </c>
      <c r="B261" s="1670" t="s">
        <v>34</v>
      </c>
      <c r="C261" s="593"/>
      <c r="D261" s="1643">
        <f>SUM(D259:D260)</f>
        <v>8935</v>
      </c>
      <c r="E261" s="593"/>
      <c r="F261" s="593"/>
      <c r="G261" s="593"/>
      <c r="H261" s="593"/>
      <c r="I261" s="593"/>
      <c r="J261" s="593"/>
      <c r="K261" s="1643">
        <f>SUM(K259:K260)</f>
        <v>8935</v>
      </c>
      <c r="L261" s="1643">
        <f>SUM(L259:L260)</f>
        <v>8955</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8">
        <v>0</v>
      </c>
      <c r="E263" s="593"/>
      <c r="F263" s="593"/>
      <c r="G263" s="593"/>
      <c r="H263" s="593"/>
      <c r="I263" s="593"/>
      <c r="J263" s="593"/>
      <c r="K263" s="1645">
        <f>D263</f>
        <v>0</v>
      </c>
      <c r="L263" s="477">
        <v>0</v>
      </c>
    </row>
    <row r="264" spans="1:14" x14ac:dyDescent="0.2">
      <c r="A264" s="1477" t="s">
        <v>463</v>
      </c>
      <c r="B264" s="660">
        <v>2520</v>
      </c>
      <c r="C264" s="593"/>
      <c r="D264" s="1968">
        <v>7652</v>
      </c>
      <c r="E264" s="593"/>
      <c r="F264" s="593"/>
      <c r="G264" s="593"/>
      <c r="H264" s="593"/>
      <c r="I264" s="593"/>
      <c r="J264" s="593"/>
      <c r="K264" s="1645">
        <f t="shared" ref="K264:K269" si="22">D264</f>
        <v>7652</v>
      </c>
      <c r="L264" s="1990">
        <v>7602</v>
      </c>
    </row>
    <row r="265" spans="1:14" x14ac:dyDescent="0.2">
      <c r="A265" s="1477" t="s">
        <v>4</v>
      </c>
      <c r="B265" s="591">
        <v>2530</v>
      </c>
      <c r="C265" s="593"/>
      <c r="D265" s="1968">
        <v>0</v>
      </c>
      <c r="E265" s="593"/>
      <c r="F265" s="593"/>
      <c r="G265" s="593"/>
      <c r="H265" s="593"/>
      <c r="I265" s="593"/>
      <c r="J265" s="593"/>
      <c r="K265" s="1645">
        <f t="shared" si="22"/>
        <v>0</v>
      </c>
      <c r="L265" s="1990">
        <v>0</v>
      </c>
    </row>
    <row r="266" spans="1:14" x14ac:dyDescent="0.2">
      <c r="A266" s="1477" t="s">
        <v>197</v>
      </c>
      <c r="B266" s="591">
        <v>2540</v>
      </c>
      <c r="C266" s="593"/>
      <c r="D266" s="1968">
        <v>6523</v>
      </c>
      <c r="E266" s="593"/>
      <c r="F266" s="593"/>
      <c r="G266" s="593"/>
      <c r="H266" s="593"/>
      <c r="I266" s="593"/>
      <c r="J266" s="593"/>
      <c r="K266" s="1645">
        <f t="shared" si="22"/>
        <v>6523</v>
      </c>
      <c r="L266" s="1990">
        <v>6296</v>
      </c>
    </row>
    <row r="267" spans="1:14" x14ac:dyDescent="0.2">
      <c r="A267" s="1477" t="s">
        <v>953</v>
      </c>
      <c r="B267" s="591">
        <v>2550</v>
      </c>
      <c r="C267" s="593"/>
      <c r="D267" s="1968">
        <v>128</v>
      </c>
      <c r="E267" s="593"/>
      <c r="F267" s="593"/>
      <c r="G267" s="593"/>
      <c r="H267" s="593"/>
      <c r="I267" s="593"/>
      <c r="J267" s="593"/>
      <c r="K267" s="1645">
        <f t="shared" si="22"/>
        <v>128</v>
      </c>
      <c r="L267" s="1990">
        <v>129</v>
      </c>
    </row>
    <row r="268" spans="1:14" x14ac:dyDescent="0.2">
      <c r="A268" s="1477" t="s">
        <v>100</v>
      </c>
      <c r="B268" s="591">
        <v>2560</v>
      </c>
      <c r="C268" s="593"/>
      <c r="D268" s="1968">
        <v>8283</v>
      </c>
      <c r="E268" s="593"/>
      <c r="F268" s="593"/>
      <c r="G268" s="593"/>
      <c r="H268" s="593"/>
      <c r="I268" s="593"/>
      <c r="J268" s="593"/>
      <c r="K268" s="1645">
        <f t="shared" si="22"/>
        <v>8283</v>
      </c>
      <c r="L268" s="1990">
        <v>8099</v>
      </c>
    </row>
    <row r="269" spans="1:14" x14ac:dyDescent="0.2">
      <c r="A269" s="1477" t="s">
        <v>101</v>
      </c>
      <c r="B269" s="591">
        <v>2570</v>
      </c>
      <c r="C269" s="593"/>
      <c r="D269" s="1968">
        <v>0</v>
      </c>
      <c r="E269" s="593"/>
      <c r="F269" s="593"/>
      <c r="G269" s="593"/>
      <c r="H269" s="593"/>
      <c r="I269" s="593"/>
      <c r="J269" s="593"/>
      <c r="K269" s="1645">
        <f t="shared" si="22"/>
        <v>0</v>
      </c>
      <c r="L269" s="1990">
        <v>0</v>
      </c>
    </row>
    <row r="270" spans="1:14" ht="12.75" customHeight="1" thickBot="1" x14ac:dyDescent="0.25">
      <c r="A270" s="1641" t="s">
        <v>719</v>
      </c>
      <c r="B270" s="1648" t="s">
        <v>35</v>
      </c>
      <c r="C270" s="593"/>
      <c r="D270" s="1643">
        <f>SUM(D263:D269)</f>
        <v>22586</v>
      </c>
      <c r="E270" s="593"/>
      <c r="F270" s="593"/>
      <c r="G270" s="593"/>
      <c r="H270" s="593"/>
      <c r="I270" s="593"/>
      <c r="J270" s="593"/>
      <c r="K270" s="1643">
        <f>SUM(K263:K269)</f>
        <v>22586</v>
      </c>
      <c r="L270" s="1643">
        <f>SUM(L263:L269)</f>
        <v>22126</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8">
        <v>0</v>
      </c>
      <c r="E273" s="593"/>
      <c r="F273" s="593"/>
      <c r="G273" s="593"/>
      <c r="H273" s="593"/>
      <c r="I273" s="593"/>
      <c r="J273" s="593"/>
      <c r="K273" s="1645">
        <f>D273</f>
        <v>0</v>
      </c>
      <c r="L273" s="1990">
        <v>0</v>
      </c>
    </row>
    <row r="274" spans="1:12" ht="12" customHeight="1" x14ac:dyDescent="0.2">
      <c r="A274" s="1477" t="s">
        <v>1061</v>
      </c>
      <c r="B274" s="591">
        <v>2630</v>
      </c>
      <c r="C274" s="593"/>
      <c r="D274" s="1968">
        <v>0</v>
      </c>
      <c r="E274" s="593"/>
      <c r="F274" s="593"/>
      <c r="G274" s="593"/>
      <c r="H274" s="593"/>
      <c r="I274" s="593"/>
      <c r="J274" s="593"/>
      <c r="K274" s="1645">
        <f>D274</f>
        <v>0</v>
      </c>
      <c r="L274" s="1990">
        <v>0</v>
      </c>
    </row>
    <row r="275" spans="1:12" x14ac:dyDescent="0.2">
      <c r="A275" s="1477" t="s">
        <v>403</v>
      </c>
      <c r="B275" s="591">
        <v>2640</v>
      </c>
      <c r="C275" s="593"/>
      <c r="D275" s="1968">
        <v>0</v>
      </c>
      <c r="E275" s="593"/>
      <c r="F275" s="593"/>
      <c r="G275" s="593"/>
      <c r="H275" s="593"/>
      <c r="I275" s="593"/>
      <c r="J275" s="593"/>
      <c r="K275" s="1645">
        <f>D275</f>
        <v>0</v>
      </c>
      <c r="L275" s="1990">
        <v>0</v>
      </c>
    </row>
    <row r="276" spans="1:12" x14ac:dyDescent="0.2">
      <c r="A276" s="1477" t="s">
        <v>404</v>
      </c>
      <c r="B276" s="591">
        <v>2660</v>
      </c>
      <c r="C276" s="593"/>
      <c r="D276" s="1968">
        <v>0</v>
      </c>
      <c r="E276" s="593"/>
      <c r="F276" s="593"/>
      <c r="G276" s="593"/>
      <c r="H276" s="593"/>
      <c r="I276" s="593"/>
      <c r="J276" s="593"/>
      <c r="K276" s="1645">
        <f>D276</f>
        <v>0</v>
      </c>
      <c r="L276" s="1990">
        <v>0</v>
      </c>
    </row>
    <row r="277" spans="1:12" ht="12.75" customHeight="1" thickBot="1" x14ac:dyDescent="0.25">
      <c r="A277" s="1664" t="s">
        <v>37</v>
      </c>
      <c r="B277" s="1642" t="s">
        <v>36</v>
      </c>
      <c r="C277" s="593"/>
      <c r="D277" s="1643">
        <f>SUM(D272:D276)</f>
        <v>0</v>
      </c>
      <c r="E277" s="593"/>
      <c r="F277" s="593"/>
      <c r="G277" s="593"/>
      <c r="H277" s="593"/>
      <c r="I277" s="593"/>
      <c r="J277" s="593"/>
      <c r="K277" s="1643">
        <f>SUM(K272:K276)</f>
        <v>0</v>
      </c>
      <c r="L277" s="1643">
        <f>SUM(L272:L276)</f>
        <v>0</v>
      </c>
    </row>
    <row r="278" spans="1:12" ht="13.5" customHeight="1" thickTop="1" x14ac:dyDescent="0.2">
      <c r="A278" s="1483" t="s">
        <v>980</v>
      </c>
      <c r="B278" s="631" t="s">
        <v>574</v>
      </c>
      <c r="C278" s="593"/>
      <c r="D278" s="1984">
        <v>0</v>
      </c>
      <c r="E278" s="593"/>
      <c r="F278" s="593"/>
      <c r="G278" s="593"/>
      <c r="H278" s="593"/>
      <c r="I278" s="593"/>
      <c r="J278" s="593"/>
      <c r="K278" s="1658">
        <f>D278</f>
        <v>0</v>
      </c>
      <c r="L278" s="2005">
        <v>0</v>
      </c>
    </row>
    <row r="279" spans="1:12" ht="12.75" customHeight="1" thickBot="1" x14ac:dyDescent="0.25">
      <c r="A279" s="1671" t="s">
        <v>811</v>
      </c>
      <c r="B279" s="1654">
        <v>2000</v>
      </c>
      <c r="C279" s="593"/>
      <c r="D279" s="1650">
        <f>SUM(D238,D243,D257,D261,D270,D277,D278)</f>
        <v>51292</v>
      </c>
      <c r="E279" s="593"/>
      <c r="F279" s="593"/>
      <c r="G279" s="593"/>
      <c r="H279" s="593"/>
      <c r="I279" s="593"/>
      <c r="J279" s="593"/>
      <c r="K279" s="1650">
        <f>SUM(K238,K243,K257,K261,K270,K277,K278)</f>
        <v>51292</v>
      </c>
      <c r="L279" s="1650">
        <f>SUM(L238,L243,L257,L261,L270,L277,L278)</f>
        <v>51358</v>
      </c>
    </row>
    <row r="280" spans="1:12" ht="15.75" customHeight="1" thickTop="1" thickBot="1" x14ac:dyDescent="0.25">
      <c r="A280" s="1597" t="s">
        <v>875</v>
      </c>
      <c r="B280" s="1586">
        <v>3000</v>
      </c>
      <c r="C280" s="593"/>
      <c r="D280" s="1981">
        <v>0</v>
      </c>
      <c r="E280" s="593"/>
      <c r="F280" s="593"/>
      <c r="G280" s="593"/>
      <c r="H280" s="593"/>
      <c r="I280" s="593"/>
      <c r="J280" s="593"/>
      <c r="K280" s="1652">
        <f>D280</f>
        <v>0</v>
      </c>
      <c r="L280" s="2003">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9">
        <v>0</v>
      </c>
      <c r="E282" s="593"/>
      <c r="F282" s="593"/>
      <c r="G282" s="593"/>
      <c r="H282" s="593"/>
      <c r="I282" s="593"/>
      <c r="J282" s="593"/>
      <c r="K282" s="1644">
        <f>D282</f>
        <v>0</v>
      </c>
      <c r="L282" s="1991">
        <v>0</v>
      </c>
    </row>
    <row r="283" spans="1:12" x14ac:dyDescent="0.2">
      <c r="A283" s="1477" t="s">
        <v>304</v>
      </c>
      <c r="B283" s="591">
        <v>4120</v>
      </c>
      <c r="C283" s="593"/>
      <c r="D283" s="1968">
        <v>0</v>
      </c>
      <c r="E283" s="593"/>
      <c r="F283" s="593"/>
      <c r="G283" s="593"/>
      <c r="H283" s="593"/>
      <c r="I283" s="593"/>
      <c r="J283" s="593"/>
      <c r="K283" s="1644">
        <f>D283</f>
        <v>0</v>
      </c>
      <c r="L283" s="1990">
        <v>0</v>
      </c>
    </row>
    <row r="284" spans="1:12" x14ac:dyDescent="0.2">
      <c r="A284" s="1477" t="s">
        <v>697</v>
      </c>
      <c r="B284" s="591">
        <v>4140</v>
      </c>
      <c r="C284" s="593"/>
      <c r="D284" s="1969">
        <v>0</v>
      </c>
      <c r="E284" s="593"/>
      <c r="F284" s="593"/>
      <c r="G284" s="593"/>
      <c r="H284" s="593"/>
      <c r="I284" s="593"/>
      <c r="J284" s="593"/>
      <c r="K284" s="1644">
        <f>D284</f>
        <v>0</v>
      </c>
      <c r="L284" s="1990">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8">
        <v>0</v>
      </c>
      <c r="I288" s="593"/>
      <c r="J288" s="593"/>
      <c r="K288" s="1644">
        <f>H288</f>
        <v>0</v>
      </c>
      <c r="L288" s="1990">
        <v>0</v>
      </c>
    </row>
    <row r="289" spans="1:14" x14ac:dyDescent="0.2">
      <c r="A289" s="1477" t="s">
        <v>88</v>
      </c>
      <c r="B289" s="591">
        <v>5120</v>
      </c>
      <c r="C289" s="593"/>
      <c r="D289" s="593"/>
      <c r="E289" s="593"/>
      <c r="F289" s="593"/>
      <c r="G289" s="593"/>
      <c r="H289" s="1968">
        <v>0</v>
      </c>
      <c r="I289" s="593"/>
      <c r="J289" s="593"/>
      <c r="K289" s="1644">
        <f>H289</f>
        <v>0</v>
      </c>
      <c r="L289" s="1990">
        <v>0</v>
      </c>
    </row>
    <row r="290" spans="1:14" ht="12.75" customHeight="1" x14ac:dyDescent="0.2">
      <c r="A290" s="1477" t="s">
        <v>1170</v>
      </c>
      <c r="B290" s="605" t="s">
        <v>617</v>
      </c>
      <c r="C290" s="593"/>
      <c r="D290" s="593"/>
      <c r="E290" s="593"/>
      <c r="F290" s="593"/>
      <c r="G290" s="593"/>
      <c r="H290" s="1968">
        <v>0</v>
      </c>
      <c r="I290" s="593"/>
      <c r="J290" s="593"/>
      <c r="K290" s="1644">
        <f>H290</f>
        <v>0</v>
      </c>
      <c r="L290" s="1990">
        <v>0</v>
      </c>
    </row>
    <row r="291" spans="1:14" x14ac:dyDescent="0.2">
      <c r="A291" s="1477" t="s">
        <v>89</v>
      </c>
      <c r="B291" s="591" t="s">
        <v>589</v>
      </c>
      <c r="C291" s="593"/>
      <c r="D291" s="593"/>
      <c r="E291" s="593"/>
      <c r="F291" s="593"/>
      <c r="G291" s="593"/>
      <c r="H291" s="1968">
        <v>0</v>
      </c>
      <c r="I291" s="593"/>
      <c r="J291" s="593"/>
      <c r="K291" s="1644">
        <f>H291</f>
        <v>0</v>
      </c>
      <c r="L291" s="1990">
        <v>0</v>
      </c>
    </row>
    <row r="292" spans="1:14" x14ac:dyDescent="0.2">
      <c r="A292" s="1477" t="s">
        <v>762</v>
      </c>
      <c r="B292" s="591" t="s">
        <v>618</v>
      </c>
      <c r="C292" s="593"/>
      <c r="D292" s="593"/>
      <c r="E292" s="593"/>
      <c r="F292" s="593"/>
      <c r="G292" s="593"/>
      <c r="H292" s="1968">
        <v>0</v>
      </c>
      <c r="I292" s="593"/>
      <c r="J292" s="593"/>
      <c r="K292" s="1644">
        <f>H292</f>
        <v>0</v>
      </c>
      <c r="L292" s="1990">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4">
        <v>0</v>
      </c>
    </row>
    <row r="295" spans="1:14" ht="12.75" customHeight="1" thickTop="1" thickBot="1" x14ac:dyDescent="0.25">
      <c r="A295" s="2241" t="s">
        <v>505</v>
      </c>
      <c r="B295" s="2242"/>
      <c r="C295" s="593"/>
      <c r="D295" s="1643">
        <f>SUM(D229,D279,D280,D285)</f>
        <v>89458</v>
      </c>
      <c r="E295" s="593"/>
      <c r="F295" s="593"/>
      <c r="G295" s="593"/>
      <c r="H295" s="1643">
        <f>H293</f>
        <v>0</v>
      </c>
      <c r="I295" s="593"/>
      <c r="J295" s="593"/>
      <c r="K295" s="1643">
        <f>SUM(K229,K279,K280,K285,K293,K294)</f>
        <v>89458</v>
      </c>
      <c r="L295" s="1643">
        <f>SUM(L229,L279,L280,L285,L293,L294)</f>
        <v>100005</v>
      </c>
    </row>
    <row r="296" spans="1:14" ht="13.5" thickTop="1" x14ac:dyDescent="0.2">
      <c r="A296" s="2250" t="s">
        <v>996</v>
      </c>
      <c r="B296" s="2251"/>
      <c r="C296" s="593"/>
      <c r="D296" s="595"/>
      <c r="E296" s="593"/>
      <c r="F296" s="593"/>
      <c r="G296" s="593"/>
      <c r="H296" s="662"/>
      <c r="I296" s="593"/>
      <c r="J296" s="593"/>
      <c r="K296" s="1657">
        <f>'Revenues 9-14'!G268-'Expenditures 15-22'!K295</f>
        <v>-11232</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3" t="s">
        <v>143</v>
      </c>
      <c r="B298" s="2227"/>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8">
        <v>0</v>
      </c>
      <c r="D301" s="1968">
        <v>0</v>
      </c>
      <c r="E301" s="1968">
        <v>0</v>
      </c>
      <c r="F301" s="1968">
        <v>0</v>
      </c>
      <c r="G301" s="1968">
        <v>1521468</v>
      </c>
      <c r="H301" s="1968">
        <v>0</v>
      </c>
      <c r="I301" s="1969">
        <v>0</v>
      </c>
      <c r="J301" s="1969">
        <v>0</v>
      </c>
      <c r="K301" s="1644">
        <f>SUM(C301:J301)</f>
        <v>1521468</v>
      </c>
      <c r="L301" s="1991">
        <v>1628513</v>
      </c>
    </row>
    <row r="302" spans="1:14" ht="13.5" customHeight="1" x14ac:dyDescent="0.2">
      <c r="A302" s="1490" t="s">
        <v>980</v>
      </c>
      <c r="B302" s="591" t="s">
        <v>574</v>
      </c>
      <c r="C302" s="1968">
        <v>0</v>
      </c>
      <c r="D302" s="1968">
        <v>0</v>
      </c>
      <c r="E302" s="1968">
        <v>0</v>
      </c>
      <c r="F302" s="1968">
        <v>0</v>
      </c>
      <c r="G302" s="1968">
        <v>0</v>
      </c>
      <c r="H302" s="1968">
        <v>0</v>
      </c>
      <c r="I302" s="1969">
        <v>0</v>
      </c>
      <c r="J302" s="1969">
        <v>0</v>
      </c>
      <c r="K302" s="1644">
        <f>SUM(C302:J302)</f>
        <v>0</v>
      </c>
      <c r="L302" s="1990">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1521468</v>
      </c>
      <c r="H303" s="1650">
        <f t="shared" si="23"/>
        <v>0</v>
      </c>
      <c r="I303" s="1650">
        <f t="shared" si="23"/>
        <v>0</v>
      </c>
      <c r="J303" s="1650">
        <f t="shared" si="23"/>
        <v>0</v>
      </c>
      <c r="K303" s="1650">
        <f t="shared" si="23"/>
        <v>1521468</v>
      </c>
      <c r="L303" s="1650">
        <f t="shared" si="23"/>
        <v>1628513</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9">
        <v>0</v>
      </c>
      <c r="F306" s="593"/>
      <c r="G306" s="593"/>
      <c r="H306" s="1969">
        <v>0</v>
      </c>
      <c r="I306" s="593"/>
      <c r="J306" s="593"/>
      <c r="K306" s="1644">
        <f>SUM(E306,H306)</f>
        <v>0</v>
      </c>
      <c r="L306" s="1991">
        <v>0</v>
      </c>
    </row>
    <row r="307" spans="1:14" x14ac:dyDescent="0.2">
      <c r="A307" s="1477" t="s">
        <v>304</v>
      </c>
      <c r="B307" s="591">
        <v>4120</v>
      </c>
      <c r="C307" s="593"/>
      <c r="D307" s="593"/>
      <c r="E307" s="1969">
        <v>0</v>
      </c>
      <c r="F307" s="593"/>
      <c r="G307" s="593"/>
      <c r="H307" s="1969">
        <v>0</v>
      </c>
      <c r="I307" s="473"/>
      <c r="J307" s="593"/>
      <c r="K307" s="1644">
        <f>SUM(E307,H307)</f>
        <v>0</v>
      </c>
      <c r="L307" s="1990">
        <v>0</v>
      </c>
    </row>
    <row r="308" spans="1:14" x14ac:dyDescent="0.2">
      <c r="A308" s="1477" t="s">
        <v>697</v>
      </c>
      <c r="B308" s="591">
        <v>4140</v>
      </c>
      <c r="C308" s="593"/>
      <c r="D308" s="593"/>
      <c r="E308" s="1969">
        <v>0</v>
      </c>
      <c r="F308" s="593"/>
      <c r="G308" s="593"/>
      <c r="H308" s="1969">
        <v>0</v>
      </c>
      <c r="I308" s="473"/>
      <c r="J308" s="593"/>
      <c r="K308" s="1644">
        <f>SUM(E308,H308)</f>
        <v>0</v>
      </c>
      <c r="L308" s="1990">
        <v>0</v>
      </c>
    </row>
    <row r="309" spans="1:14" ht="12.75" customHeight="1" x14ac:dyDescent="0.2">
      <c r="A309" s="1481" t="s">
        <v>698</v>
      </c>
      <c r="B309" s="605">
        <v>4190</v>
      </c>
      <c r="C309" s="593"/>
      <c r="D309" s="593"/>
      <c r="E309" s="1969">
        <v>0</v>
      </c>
      <c r="F309" s="593"/>
      <c r="G309" s="593"/>
      <c r="H309" s="1969">
        <v>0</v>
      </c>
      <c r="I309" s="473"/>
      <c r="J309" s="593"/>
      <c r="K309" s="1644">
        <f>SUM(E309,H309)</f>
        <v>0</v>
      </c>
      <c r="L309" s="1990">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3">
        <v>0</v>
      </c>
    </row>
    <row r="312" spans="1:14" s="649" customFormat="1" ht="12.75" customHeight="1" thickTop="1" thickBot="1" x14ac:dyDescent="0.25">
      <c r="A312" s="2238" t="s">
        <v>277</v>
      </c>
      <c r="B312" s="2239"/>
      <c r="C312" s="1643">
        <f>SUM(C303)</f>
        <v>0</v>
      </c>
      <c r="D312" s="1643">
        <f>SUM(D303)</f>
        <v>0</v>
      </c>
      <c r="E312" s="1643">
        <f>SUM(E303,E310)</f>
        <v>0</v>
      </c>
      <c r="F312" s="1643">
        <f>SUM(F303)</f>
        <v>0</v>
      </c>
      <c r="G312" s="1643">
        <f>SUM(G303)</f>
        <v>1521468</v>
      </c>
      <c r="H312" s="1643">
        <f>SUM(H303,H310)</f>
        <v>0</v>
      </c>
      <c r="I312" s="1643">
        <f>SUM(I303)</f>
        <v>0</v>
      </c>
      <c r="J312" s="1643">
        <f>SUM(J303)</f>
        <v>0</v>
      </c>
      <c r="K312" s="1643">
        <f>SUM(K303,K310,K311)</f>
        <v>1521468</v>
      </c>
      <c r="L312" s="1643">
        <f>SUM(L303,L310,L311)</f>
        <v>1628513</v>
      </c>
      <c r="M312" s="640"/>
      <c r="N312" s="640"/>
    </row>
    <row r="313" spans="1:14" ht="13.5" thickTop="1" x14ac:dyDescent="0.2">
      <c r="A313" s="2234" t="s">
        <v>996</v>
      </c>
      <c r="B313" s="2235"/>
      <c r="C313" s="603"/>
      <c r="D313" s="603"/>
      <c r="E313" s="603"/>
      <c r="F313" s="603"/>
      <c r="G313" s="603"/>
      <c r="H313" s="603"/>
      <c r="I313" s="603"/>
      <c r="J313" s="603"/>
      <c r="K313" s="1658">
        <f>'Revenues 9-14'!H268-'Expenditures 15-22'!K312</f>
        <v>-1521468</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7" t="s">
        <v>149</v>
      </c>
      <c r="B315" s="2248"/>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49" t="s">
        <v>898</v>
      </c>
      <c r="B317" s="2248"/>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9">
        <v>0</v>
      </c>
      <c r="D319" s="1969">
        <v>0</v>
      </c>
      <c r="E319" s="1969">
        <v>0</v>
      </c>
      <c r="F319" s="1969">
        <v>0</v>
      </c>
      <c r="G319" s="1969">
        <v>0</v>
      </c>
      <c r="H319" s="1969">
        <v>0</v>
      </c>
      <c r="I319" s="1969">
        <v>0</v>
      </c>
      <c r="J319" s="1969">
        <v>0</v>
      </c>
      <c r="K319" s="1644">
        <f>SUM(C319:J319)</f>
        <v>0</v>
      </c>
      <c r="L319" s="1991">
        <v>0</v>
      </c>
      <c r="M319" s="640"/>
      <c r="N319" s="640"/>
    </row>
    <row r="320" spans="1:14" s="649" customFormat="1" x14ac:dyDescent="0.2">
      <c r="A320" s="1496" t="s">
        <v>1805</v>
      </c>
      <c r="B320" s="673" t="s">
        <v>282</v>
      </c>
      <c r="C320" s="1969">
        <v>0</v>
      </c>
      <c r="D320" s="1969">
        <v>0</v>
      </c>
      <c r="E320" s="1969">
        <v>0</v>
      </c>
      <c r="F320" s="1969">
        <v>0</v>
      </c>
      <c r="G320" s="1969">
        <v>0</v>
      </c>
      <c r="H320" s="1969">
        <v>0</v>
      </c>
      <c r="I320" s="1969">
        <v>0</v>
      </c>
      <c r="J320" s="1969">
        <v>0</v>
      </c>
      <c r="K320" s="1644">
        <f t="shared" ref="K320:K327" si="24">SUM(C320:J320)</f>
        <v>0</v>
      </c>
      <c r="L320" s="1991">
        <v>0</v>
      </c>
      <c r="M320" s="640"/>
      <c r="N320" s="640"/>
    </row>
    <row r="321" spans="1:14" s="649" customFormat="1" x14ac:dyDescent="0.2">
      <c r="A321" s="1492" t="s">
        <v>300</v>
      </c>
      <c r="B321" s="672" t="s">
        <v>283</v>
      </c>
      <c r="C321" s="1969">
        <v>0</v>
      </c>
      <c r="D321" s="1969">
        <v>0</v>
      </c>
      <c r="E321" s="1969">
        <v>0</v>
      </c>
      <c r="F321" s="1969">
        <v>0</v>
      </c>
      <c r="G321" s="1969">
        <v>0</v>
      </c>
      <c r="H321" s="1969">
        <v>0</v>
      </c>
      <c r="I321" s="1969">
        <v>0</v>
      </c>
      <c r="J321" s="1969">
        <v>0</v>
      </c>
      <c r="K321" s="1644">
        <f t="shared" si="24"/>
        <v>0</v>
      </c>
      <c r="L321" s="1991">
        <v>0</v>
      </c>
      <c r="M321" s="640"/>
      <c r="N321" s="640"/>
    </row>
    <row r="322" spans="1:14" s="649" customFormat="1" x14ac:dyDescent="0.2">
      <c r="A322" s="1492" t="s">
        <v>238</v>
      </c>
      <c r="B322" s="672" t="s">
        <v>284</v>
      </c>
      <c r="C322" s="1969">
        <v>0</v>
      </c>
      <c r="D322" s="1969">
        <v>0</v>
      </c>
      <c r="E322" s="1969">
        <v>40968</v>
      </c>
      <c r="F322" s="1969">
        <v>0</v>
      </c>
      <c r="G322" s="1969">
        <v>0</v>
      </c>
      <c r="H322" s="1969">
        <v>0</v>
      </c>
      <c r="I322" s="1969">
        <v>0</v>
      </c>
      <c r="J322" s="1969">
        <v>0</v>
      </c>
      <c r="K322" s="1644">
        <f t="shared" si="24"/>
        <v>40968</v>
      </c>
      <c r="L322" s="1991">
        <v>40968</v>
      </c>
      <c r="M322" s="640"/>
      <c r="N322" s="640"/>
    </row>
    <row r="323" spans="1:14" s="649" customFormat="1" x14ac:dyDescent="0.2">
      <c r="A323" s="1492" t="s">
        <v>702</v>
      </c>
      <c r="B323" s="672" t="s">
        <v>285</v>
      </c>
      <c r="C323" s="1969">
        <v>0</v>
      </c>
      <c r="D323" s="1969">
        <v>0</v>
      </c>
      <c r="E323" s="1969">
        <v>0</v>
      </c>
      <c r="F323" s="1969">
        <v>0</v>
      </c>
      <c r="G323" s="1969">
        <v>0</v>
      </c>
      <c r="H323" s="1969">
        <v>0</v>
      </c>
      <c r="I323" s="1969">
        <v>0</v>
      </c>
      <c r="J323" s="1969">
        <v>0</v>
      </c>
      <c r="K323" s="1644">
        <f t="shared" si="24"/>
        <v>0</v>
      </c>
      <c r="L323" s="1991">
        <v>0</v>
      </c>
      <c r="M323" s="640"/>
      <c r="N323" s="640"/>
    </row>
    <row r="324" spans="1:14" s="649" customFormat="1" x14ac:dyDescent="0.2">
      <c r="A324" s="1492" t="s">
        <v>239</v>
      </c>
      <c r="B324" s="672" t="s">
        <v>286</v>
      </c>
      <c r="C324" s="1969">
        <v>0</v>
      </c>
      <c r="D324" s="1969">
        <v>0</v>
      </c>
      <c r="E324" s="1969">
        <v>0</v>
      </c>
      <c r="F324" s="1969">
        <v>0</v>
      </c>
      <c r="G324" s="1969">
        <v>0</v>
      </c>
      <c r="H324" s="1969">
        <v>0</v>
      </c>
      <c r="I324" s="1969">
        <v>0</v>
      </c>
      <c r="J324" s="1969">
        <v>0</v>
      </c>
      <c r="K324" s="1644">
        <f t="shared" si="24"/>
        <v>0</v>
      </c>
      <c r="L324" s="1991">
        <v>0</v>
      </c>
      <c r="M324" s="640"/>
      <c r="N324" s="640"/>
    </row>
    <row r="325" spans="1:14" s="649" customFormat="1" ht="22.5" x14ac:dyDescent="0.2">
      <c r="A325" s="1492" t="s">
        <v>1029</v>
      </c>
      <c r="B325" s="673" t="s">
        <v>287</v>
      </c>
      <c r="C325" s="1969">
        <v>0</v>
      </c>
      <c r="D325" s="1969">
        <v>0</v>
      </c>
      <c r="E325" s="1969">
        <v>0</v>
      </c>
      <c r="F325" s="1969">
        <v>0</v>
      </c>
      <c r="G325" s="1969">
        <v>0</v>
      </c>
      <c r="H325" s="1969">
        <v>0</v>
      </c>
      <c r="I325" s="1969">
        <v>0</v>
      </c>
      <c r="J325" s="1969">
        <v>0</v>
      </c>
      <c r="K325" s="1644">
        <f t="shared" si="24"/>
        <v>0</v>
      </c>
      <c r="L325" s="1991">
        <v>0</v>
      </c>
      <c r="M325" s="640"/>
      <c r="N325" s="640"/>
    </row>
    <row r="326" spans="1:14" s="649" customFormat="1" x14ac:dyDescent="0.2">
      <c r="A326" s="1492" t="s">
        <v>1030</v>
      </c>
      <c r="B326" s="672" t="s">
        <v>288</v>
      </c>
      <c r="C326" s="1969">
        <v>0</v>
      </c>
      <c r="D326" s="1969">
        <v>0</v>
      </c>
      <c r="E326" s="1969">
        <v>0</v>
      </c>
      <c r="F326" s="1969">
        <v>0</v>
      </c>
      <c r="G326" s="1969">
        <v>0</v>
      </c>
      <c r="H326" s="1969">
        <v>0</v>
      </c>
      <c r="I326" s="1969">
        <v>0</v>
      </c>
      <c r="J326" s="1969">
        <v>0</v>
      </c>
      <c r="K326" s="1644">
        <f t="shared" si="24"/>
        <v>0</v>
      </c>
      <c r="L326" s="1991">
        <v>0</v>
      </c>
      <c r="M326" s="640"/>
      <c r="N326" s="640"/>
    </row>
    <row r="327" spans="1:14" s="649" customFormat="1" x14ac:dyDescent="0.2">
      <c r="A327" s="1492" t="s">
        <v>971</v>
      </c>
      <c r="B327" s="672" t="s">
        <v>289</v>
      </c>
      <c r="C327" s="1969">
        <v>0</v>
      </c>
      <c r="D327" s="1969">
        <v>0</v>
      </c>
      <c r="E327" s="1969">
        <v>15465</v>
      </c>
      <c r="F327" s="1969">
        <v>0</v>
      </c>
      <c r="G327" s="1969">
        <v>0</v>
      </c>
      <c r="H327" s="1969">
        <v>0</v>
      </c>
      <c r="I327" s="1969">
        <v>0</v>
      </c>
      <c r="J327" s="1969">
        <v>0</v>
      </c>
      <c r="K327" s="1644">
        <f t="shared" si="24"/>
        <v>15465</v>
      </c>
      <c r="L327" s="1991">
        <v>30000</v>
      </c>
      <c r="M327" s="640"/>
      <c r="N327" s="640"/>
    </row>
    <row r="328" spans="1:14" s="649" customFormat="1" x14ac:dyDescent="0.2">
      <c r="A328" s="1493" t="s">
        <v>472</v>
      </c>
      <c r="B328" s="665" t="s">
        <v>1132</v>
      </c>
      <c r="C328" s="1971">
        <v>0</v>
      </c>
      <c r="D328" s="1971">
        <v>0</v>
      </c>
      <c r="E328" s="1971">
        <v>0</v>
      </c>
      <c r="F328" s="1971">
        <v>0</v>
      </c>
      <c r="G328" s="1971">
        <v>0</v>
      </c>
      <c r="H328" s="1971">
        <v>0</v>
      </c>
      <c r="I328" s="1971">
        <v>0</v>
      </c>
      <c r="J328" s="1971">
        <v>0</v>
      </c>
      <c r="K328" s="1672">
        <f>SUM(C328:J328)</f>
        <v>0</v>
      </c>
      <c r="L328" s="1993">
        <v>0</v>
      </c>
      <c r="M328" s="640"/>
      <c r="N328" s="640"/>
    </row>
    <row r="329" spans="1:14" s="649" customFormat="1" x14ac:dyDescent="0.2">
      <c r="A329" s="1493" t="s">
        <v>1133</v>
      </c>
      <c r="B329" s="665" t="s">
        <v>1134</v>
      </c>
      <c r="C329" s="1971">
        <v>0</v>
      </c>
      <c r="D329" s="1971">
        <v>0</v>
      </c>
      <c r="E329" s="1971">
        <v>0</v>
      </c>
      <c r="F329" s="1971">
        <v>0</v>
      </c>
      <c r="G329" s="1971">
        <v>0</v>
      </c>
      <c r="H329" s="1971">
        <v>0</v>
      </c>
      <c r="I329" s="1971">
        <v>0</v>
      </c>
      <c r="J329" s="1971">
        <v>0</v>
      </c>
      <c r="K329" s="1672">
        <f>SUM(C329:J329)</f>
        <v>0</v>
      </c>
      <c r="L329" s="1993">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56433</v>
      </c>
      <c r="F330" s="1643">
        <f t="shared" si="25"/>
        <v>0</v>
      </c>
      <c r="G330" s="1643">
        <f t="shared" si="25"/>
        <v>0</v>
      </c>
      <c r="H330" s="1643">
        <f t="shared" si="25"/>
        <v>0</v>
      </c>
      <c r="I330" s="1643">
        <f t="shared" si="25"/>
        <v>0</v>
      </c>
      <c r="J330" s="1643">
        <f t="shared" si="25"/>
        <v>0</v>
      </c>
      <c r="K330" s="1643">
        <f>SUM(K319:K329)</f>
        <v>56433</v>
      </c>
      <c r="L330" s="1643">
        <f>SUM(L319:L329)</f>
        <v>70968</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9">
        <v>0</v>
      </c>
      <c r="I332" s="1806"/>
      <c r="J332" s="1806"/>
      <c r="K332" s="1644">
        <f>H332</f>
        <v>0</v>
      </c>
      <c r="L332" s="1991">
        <v>0</v>
      </c>
      <c r="M332" s="640"/>
      <c r="N332" s="640"/>
    </row>
    <row r="333" spans="1:14" s="649" customFormat="1" ht="12.75" customHeight="1" x14ac:dyDescent="0.2">
      <c r="A333" s="1805" t="s">
        <v>304</v>
      </c>
      <c r="B333" s="1800" t="s">
        <v>1847</v>
      </c>
      <c r="C333" s="1806"/>
      <c r="D333" s="1806"/>
      <c r="E333" s="1806"/>
      <c r="F333" s="1806"/>
      <c r="G333" s="1806"/>
      <c r="H333" s="1969">
        <v>0</v>
      </c>
      <c r="I333" s="1806"/>
      <c r="J333" s="1806"/>
      <c r="K333" s="1644">
        <f>H333</f>
        <v>0</v>
      </c>
      <c r="L333" s="1991">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9">
        <v>0</v>
      </c>
      <c r="I339" s="615"/>
      <c r="J339" s="615"/>
      <c r="K339" s="1644">
        <f>H339</f>
        <v>0</v>
      </c>
      <c r="L339" s="1991">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3">
        <v>0</v>
      </c>
    </row>
    <row r="342" spans="1:14" ht="12.75" customHeight="1" thickTop="1" thickBot="1" x14ac:dyDescent="0.25">
      <c r="A342" s="1659" t="s">
        <v>505</v>
      </c>
      <c r="B342" s="1674"/>
      <c r="C342" s="1643">
        <f>SUM(C330)</f>
        <v>0</v>
      </c>
      <c r="D342" s="1643">
        <f>SUM(D330)</f>
        <v>0</v>
      </c>
      <c r="E342" s="1643">
        <f>SUM(E330)</f>
        <v>56433</v>
      </c>
      <c r="F342" s="1643">
        <f>SUM(F330)</f>
        <v>0</v>
      </c>
      <c r="G342" s="1643">
        <f>SUM(G330)</f>
        <v>0</v>
      </c>
      <c r="H342" s="1643">
        <f>SUM(H330,H334,H340)</f>
        <v>0</v>
      </c>
      <c r="I342" s="1643">
        <f>SUM(I330)</f>
        <v>0</v>
      </c>
      <c r="J342" s="1643">
        <f>SUM(J330)</f>
        <v>0</v>
      </c>
      <c r="K342" s="1643">
        <f>SUM(K330,K334,K340)</f>
        <v>56433</v>
      </c>
      <c r="L342" s="1650">
        <f>SUM(L330,L340,L341)</f>
        <v>70968</v>
      </c>
    </row>
    <row r="343" spans="1:14" ht="12.75" customHeight="1" thickTop="1" x14ac:dyDescent="0.2">
      <c r="A343" s="2236" t="s">
        <v>996</v>
      </c>
      <c r="B343" s="2237"/>
      <c r="C343" s="593"/>
      <c r="D343" s="593"/>
      <c r="E343" s="593"/>
      <c r="F343" s="593"/>
      <c r="G343" s="593"/>
      <c r="H343" s="593"/>
      <c r="I343" s="593"/>
      <c r="J343" s="593"/>
      <c r="K343" s="1657">
        <f>'Revenues 9-14'!J268-'Expenditures 15-22'!K342</f>
        <v>-4375</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6" t="s">
        <v>966</v>
      </c>
      <c r="B345" s="2227"/>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8">
        <v>0</v>
      </c>
      <c r="D348" s="1968">
        <v>0</v>
      </c>
      <c r="E348" s="1968">
        <v>0</v>
      </c>
      <c r="F348" s="1968">
        <v>0</v>
      </c>
      <c r="G348" s="1968">
        <v>0</v>
      </c>
      <c r="H348" s="1968">
        <v>0</v>
      </c>
      <c r="I348" s="1969">
        <v>0</v>
      </c>
      <c r="J348" s="1969">
        <v>0</v>
      </c>
      <c r="K348" s="1644">
        <f>SUM(C348:J348)</f>
        <v>0</v>
      </c>
      <c r="L348" s="1990">
        <v>0</v>
      </c>
    </row>
    <row r="349" spans="1:14" x14ac:dyDescent="0.2">
      <c r="A349" s="1477" t="s">
        <v>197</v>
      </c>
      <c r="B349" s="591">
        <v>2540</v>
      </c>
      <c r="C349" s="1968">
        <v>0</v>
      </c>
      <c r="D349" s="1968">
        <v>0</v>
      </c>
      <c r="E349" s="1968">
        <v>0</v>
      </c>
      <c r="F349" s="1968">
        <v>0</v>
      </c>
      <c r="G349" s="1968">
        <v>0</v>
      </c>
      <c r="H349" s="1968">
        <v>0</v>
      </c>
      <c r="I349" s="1969">
        <v>0</v>
      </c>
      <c r="J349" s="1969">
        <v>0</v>
      </c>
      <c r="K349" s="1644">
        <f>SUM(C349:J349)</f>
        <v>0</v>
      </c>
      <c r="L349" s="1990">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71">
        <v>0</v>
      </c>
      <c r="I354" s="676"/>
      <c r="J354" s="593"/>
      <c r="K354" s="1672">
        <f>H354</f>
        <v>0</v>
      </c>
      <c r="L354" s="1992">
        <v>0</v>
      </c>
    </row>
    <row r="355" spans="1:14" ht="12.75" customHeight="1" x14ac:dyDescent="0.2">
      <c r="A355" s="1486" t="s">
        <v>1854</v>
      </c>
      <c r="B355" s="665" t="s">
        <v>1847</v>
      </c>
      <c r="C355" s="593"/>
      <c r="D355" s="593"/>
      <c r="E355" s="593"/>
      <c r="F355" s="593"/>
      <c r="G355" s="593"/>
      <c r="H355" s="1969">
        <v>0</v>
      </c>
      <c r="I355" s="676"/>
      <c r="J355" s="593"/>
      <c r="K355" s="1716">
        <f>H355</f>
        <v>0</v>
      </c>
      <c r="L355" s="1991">
        <v>0</v>
      </c>
    </row>
    <row r="356" spans="1:14" ht="12.75" customHeight="1" x14ac:dyDescent="0.2">
      <c r="A356" s="1807" t="s">
        <v>698</v>
      </c>
      <c r="B356" s="658" t="s">
        <v>558</v>
      </c>
      <c r="C356" s="593"/>
      <c r="D356" s="593"/>
      <c r="E356" s="593"/>
      <c r="F356" s="593"/>
      <c r="G356" s="593"/>
      <c r="H356" s="1973">
        <v>0</v>
      </c>
      <c r="I356" s="676"/>
      <c r="J356" s="593"/>
      <c r="K356" s="1713">
        <f>H356</f>
        <v>0</v>
      </c>
      <c r="L356" s="1995">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5">
        <v>0</v>
      </c>
      <c r="I360" s="593"/>
      <c r="J360" s="593"/>
      <c r="K360" s="1644">
        <f>SUM(C360:J360)</f>
        <v>0</v>
      </c>
      <c r="L360" s="1990">
        <v>0</v>
      </c>
    </row>
    <row r="361" spans="1:14" ht="12.75" customHeight="1" x14ac:dyDescent="0.2">
      <c r="A361" s="1478" t="s">
        <v>619</v>
      </c>
      <c r="B361" s="579" t="s">
        <v>618</v>
      </c>
      <c r="C361" s="593"/>
      <c r="D361" s="593"/>
      <c r="E361" s="593"/>
      <c r="F361" s="593"/>
      <c r="G361" s="593"/>
      <c r="H361" s="1985">
        <v>0</v>
      </c>
      <c r="I361" s="593"/>
      <c r="J361" s="593"/>
      <c r="K361" s="1644">
        <f>SUM(C361:J361)</f>
        <v>0</v>
      </c>
      <c r="L361" s="1990">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6">
        <v>0</v>
      </c>
      <c r="I363" s="615"/>
      <c r="J363" s="615"/>
      <c r="K363" s="1672">
        <f>SUM(C363:J363)</f>
        <v>0</v>
      </c>
      <c r="L363" s="1995">
        <v>0</v>
      </c>
      <c r="M363" s="640"/>
      <c r="N363" s="640"/>
    </row>
    <row r="364" spans="1:14" s="681" customFormat="1" ht="29.25" customHeight="1" x14ac:dyDescent="0.2">
      <c r="A364" s="677" t="s">
        <v>1672</v>
      </c>
      <c r="B364" s="678">
        <v>5300</v>
      </c>
      <c r="C364" s="679"/>
      <c r="D364" s="680"/>
      <c r="E364" s="680"/>
      <c r="F364" s="679"/>
      <c r="G364" s="680"/>
      <c r="H364" s="1989">
        <v>0</v>
      </c>
      <c r="I364" s="680"/>
      <c r="J364" s="680"/>
      <c r="K364" s="1644">
        <f>SUM(C364:J364)</f>
        <v>0</v>
      </c>
      <c r="L364" s="2006">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2">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50" t="s">
        <v>996</v>
      </c>
      <c r="B368" s="2251"/>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C19" sqref="C19"/>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2" t="s">
        <v>1802</v>
      </c>
      <c r="B2" s="1501" t="s">
        <v>1951</v>
      </c>
      <c r="C2" s="687" t="s">
        <v>1952</v>
      </c>
      <c r="D2" s="687" t="s">
        <v>1953</v>
      </c>
      <c r="E2" s="687" t="s">
        <v>1954</v>
      </c>
      <c r="F2" s="687" t="s">
        <v>1955</v>
      </c>
    </row>
    <row r="3" spans="1:6" ht="12" customHeight="1" x14ac:dyDescent="0.2">
      <c r="A3" s="2253"/>
      <c r="B3" s="1498"/>
      <c r="C3" s="1499"/>
      <c r="D3" s="1500" t="s">
        <v>256</v>
      </c>
      <c r="E3" s="1499"/>
      <c r="F3" s="1500" t="s">
        <v>257</v>
      </c>
    </row>
    <row r="4" spans="1:6" ht="13.7" customHeight="1" x14ac:dyDescent="0.2">
      <c r="A4" s="688" t="s">
        <v>1155</v>
      </c>
      <c r="B4" s="1722">
        <f>'Revenues 9-14'!C5</f>
        <v>2091669</v>
      </c>
      <c r="C4" s="1497">
        <v>1110857</v>
      </c>
      <c r="D4" s="1725">
        <f>B4-C4</f>
        <v>980812</v>
      </c>
      <c r="E4" s="1497">
        <v>2163484</v>
      </c>
      <c r="F4" s="1725">
        <f>E4-C4</f>
        <v>1052627</v>
      </c>
    </row>
    <row r="5" spans="1:6" ht="13.7" customHeight="1" x14ac:dyDescent="0.2">
      <c r="A5" s="688" t="s">
        <v>870</v>
      </c>
      <c r="B5" s="1723">
        <f>'Revenues 9-14'!D5</f>
        <v>332725</v>
      </c>
      <c r="C5" s="565">
        <v>178598</v>
      </c>
      <c r="D5" s="1726">
        <f t="shared" ref="D5:D18" si="0">B5-C5</f>
        <v>154127</v>
      </c>
      <c r="E5" s="565">
        <v>347834</v>
      </c>
      <c r="F5" s="1726">
        <f>E5-C5</f>
        <v>169236</v>
      </c>
    </row>
    <row r="6" spans="1:6" ht="13.7" customHeight="1" x14ac:dyDescent="0.2">
      <c r="A6" s="688" t="s">
        <v>411</v>
      </c>
      <c r="B6" s="1723">
        <f>'Revenues 9-14'!E5</f>
        <v>0</v>
      </c>
      <c r="C6" s="565"/>
      <c r="D6" s="1726">
        <f t="shared" si="0"/>
        <v>0</v>
      </c>
      <c r="E6" s="565"/>
      <c r="F6" s="1726">
        <f t="shared" ref="F6:F18" si="1">E6-C6</f>
        <v>0</v>
      </c>
    </row>
    <row r="7" spans="1:6" ht="13.7" customHeight="1" x14ac:dyDescent="0.2">
      <c r="A7" s="688" t="s">
        <v>155</v>
      </c>
      <c r="B7" s="1723">
        <f>'Revenues 9-14'!F5</f>
        <v>386893</v>
      </c>
      <c r="C7" s="565">
        <v>205383</v>
      </c>
      <c r="D7" s="1726">
        <f t="shared" si="0"/>
        <v>181510</v>
      </c>
      <c r="E7" s="565">
        <v>400000</v>
      </c>
      <c r="F7" s="1726">
        <f t="shared" si="1"/>
        <v>194617</v>
      </c>
    </row>
    <row r="8" spans="1:6" ht="13.7" customHeight="1" x14ac:dyDescent="0.2">
      <c r="A8" s="688" t="s">
        <v>1179</v>
      </c>
      <c r="B8" s="1723">
        <f>'Revenues 9-14'!G5</f>
        <v>25673</v>
      </c>
      <c r="C8" s="565">
        <v>25673</v>
      </c>
      <c r="D8" s="1726">
        <f t="shared" si="0"/>
        <v>0</v>
      </c>
      <c r="E8" s="565">
        <v>50000</v>
      </c>
      <c r="F8" s="1726">
        <f t="shared" si="1"/>
        <v>24327</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14011</v>
      </c>
      <c r="C10" s="565"/>
      <c r="D10" s="1726">
        <f t="shared" si="0"/>
        <v>14011</v>
      </c>
      <c r="E10" s="565"/>
      <c r="F10" s="1726">
        <f t="shared" si="1"/>
        <v>0</v>
      </c>
    </row>
    <row r="11" spans="1:6" x14ac:dyDescent="0.2">
      <c r="A11" s="688" t="s">
        <v>409</v>
      </c>
      <c r="B11" s="1723">
        <f>'Revenues 9-14'!J5</f>
        <v>48980</v>
      </c>
      <c r="C11" s="565">
        <v>26291</v>
      </c>
      <c r="D11" s="1726">
        <f t="shared" si="0"/>
        <v>22689</v>
      </c>
      <c r="E11" s="565">
        <v>51204</v>
      </c>
      <c r="F11" s="1726">
        <f t="shared" si="1"/>
        <v>24913</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241985</v>
      </c>
      <c r="C14" s="565">
        <v>129890</v>
      </c>
      <c r="D14" s="1726">
        <f t="shared" si="0"/>
        <v>112095</v>
      </c>
      <c r="E14" s="565">
        <v>252972</v>
      </c>
      <c r="F14" s="1726">
        <f t="shared" si="1"/>
        <v>123082</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50536</v>
      </c>
      <c r="C16" s="565">
        <v>27127</v>
      </c>
      <c r="D16" s="1726">
        <f t="shared" si="0"/>
        <v>23409</v>
      </c>
      <c r="E16" s="565">
        <v>52831</v>
      </c>
      <c r="F16" s="1726">
        <f t="shared" si="1"/>
        <v>25704</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3192472</v>
      </c>
      <c r="C19" s="1724">
        <f>SUM(C4:C18)</f>
        <v>1703819</v>
      </c>
      <c r="D19" s="1724">
        <f>SUM(D4:D18)</f>
        <v>1488653</v>
      </c>
      <c r="E19" s="1724">
        <f>SUM(E4:E18)</f>
        <v>3318325</v>
      </c>
      <c r="F19" s="1724">
        <f>SUM(F4:F18)</f>
        <v>1614506</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activeCell="D11" sqref="D11"/>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8" t="s">
        <v>629</v>
      </c>
      <c r="B1" s="2259"/>
      <c r="C1" s="694"/>
    </row>
    <row r="2" spans="1:7" ht="33.75" x14ac:dyDescent="0.2">
      <c r="A2" s="2267" t="s">
        <v>1802</v>
      </c>
      <c r="B2" s="2268"/>
      <c r="C2" s="1857" t="s">
        <v>1956</v>
      </c>
      <c r="D2" s="696" t="s">
        <v>1957</v>
      </c>
      <c r="E2" s="696" t="s">
        <v>1958</v>
      </c>
      <c r="F2" s="1857" t="s">
        <v>1959</v>
      </c>
    </row>
    <row r="3" spans="1:7" ht="15.75" customHeight="1" x14ac:dyDescent="0.2">
      <c r="A3" s="2271" t="s">
        <v>1114</v>
      </c>
      <c r="B3" s="2272"/>
      <c r="C3" s="2260"/>
      <c r="D3" s="2261"/>
      <c r="E3" s="2261"/>
      <c r="F3" s="2262"/>
    </row>
    <row r="4" spans="1:7" ht="12.75" customHeight="1" thickBot="1" x14ac:dyDescent="0.25">
      <c r="A4" s="2269" t="s">
        <v>630</v>
      </c>
      <c r="B4" s="2270"/>
      <c r="C4" s="562"/>
      <c r="D4" s="562"/>
      <c r="E4" s="562"/>
      <c r="F4" s="1728">
        <f>SUM(C4+D4)-E4</f>
        <v>0</v>
      </c>
    </row>
    <row r="5" spans="1:7" ht="15.75" customHeight="1" thickTop="1" x14ac:dyDescent="0.2">
      <c r="A5" s="2254" t="s">
        <v>1110</v>
      </c>
      <c r="B5" s="2255"/>
      <c r="C5" s="2263"/>
      <c r="D5" s="2264"/>
      <c r="E5" s="2264"/>
      <c r="F5" s="2265"/>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56" t="s">
        <v>631</v>
      </c>
      <c r="B15" s="2257"/>
      <c r="C15" s="1728">
        <f>SUM(C6:C14)</f>
        <v>0</v>
      </c>
      <c r="D15" s="1728">
        <f>SUM(D6:D14)</f>
        <v>0</v>
      </c>
      <c r="E15" s="1728">
        <f>SUM(E6:E14)</f>
        <v>0</v>
      </c>
      <c r="F15" s="1728">
        <f>SUM(F6:F14)</f>
        <v>0</v>
      </c>
      <c r="G15" s="540"/>
    </row>
    <row r="16" spans="1:7" s="202" customFormat="1" ht="15.75" customHeight="1" thickTop="1" x14ac:dyDescent="0.2">
      <c r="A16" s="2266" t="s">
        <v>1111</v>
      </c>
      <c r="B16" s="2255"/>
      <c r="C16" s="2263"/>
      <c r="D16" s="2264"/>
      <c r="E16" s="2264"/>
      <c r="F16" s="2265"/>
    </row>
    <row r="17" spans="1:11" ht="12.75" customHeight="1" thickBot="1" x14ac:dyDescent="0.25">
      <c r="A17" s="2279" t="s">
        <v>64</v>
      </c>
      <c r="B17" s="2280"/>
      <c r="C17" s="699"/>
      <c r="D17" s="565"/>
      <c r="E17" s="699"/>
      <c r="F17" s="1728">
        <f>SUM(C17+D17)-E17</f>
        <v>0</v>
      </c>
    </row>
    <row r="18" spans="1:11" ht="12.75" customHeight="1" thickTop="1" thickBot="1" x14ac:dyDescent="0.25">
      <c r="A18" s="2279" t="s">
        <v>6</v>
      </c>
      <c r="B18" s="2280"/>
      <c r="C18" s="699"/>
      <c r="D18" s="565"/>
      <c r="E18" s="699"/>
      <c r="F18" s="1728">
        <f>SUM(C18+D18)-E18</f>
        <v>0</v>
      </c>
    </row>
    <row r="19" spans="1:11" ht="12.75" customHeight="1" thickTop="1" thickBot="1" x14ac:dyDescent="0.25">
      <c r="A19" s="2279" t="s">
        <v>388</v>
      </c>
      <c r="B19" s="2280"/>
      <c r="C19" s="699"/>
      <c r="D19" s="565"/>
      <c r="E19" s="699"/>
      <c r="F19" s="1728">
        <f>SUM(C19+D19)-E19</f>
        <v>0</v>
      </c>
    </row>
    <row r="20" spans="1:11" ht="12.75" customHeight="1" thickTop="1" thickBot="1" x14ac:dyDescent="0.25">
      <c r="A20" s="2279" t="s">
        <v>448</v>
      </c>
      <c r="B20" s="2280"/>
      <c r="C20" s="699"/>
      <c r="D20" s="565"/>
      <c r="E20" s="699"/>
      <c r="F20" s="1728">
        <f>SUM(C20+D20)-E20</f>
        <v>0</v>
      </c>
    </row>
    <row r="21" spans="1:11" ht="14.25" thickTop="1" thickBot="1" x14ac:dyDescent="0.25">
      <c r="A21" s="2256" t="s">
        <v>632</v>
      </c>
      <c r="B21" s="2257"/>
      <c r="C21" s="1728">
        <f>SUM(C17:C20)</f>
        <v>0</v>
      </c>
      <c r="D21" s="1728">
        <f>SUM(D17:D20)</f>
        <v>0</v>
      </c>
      <c r="E21" s="1728">
        <f>SUM(E17:E20)</f>
        <v>0</v>
      </c>
      <c r="F21" s="1728">
        <f>SUM(F17:F20)</f>
        <v>0</v>
      </c>
      <c r="G21" s="540"/>
    </row>
    <row r="22" spans="1:11" ht="15.75" customHeight="1" thickTop="1" x14ac:dyDescent="0.2">
      <c r="A22" s="2281" t="s">
        <v>1112</v>
      </c>
      <c r="B22" s="2255"/>
      <c r="C22" s="2263"/>
      <c r="D22" s="2264"/>
      <c r="E22" s="2264"/>
      <c r="F22" s="2265"/>
    </row>
    <row r="23" spans="1:11" ht="13.5" thickBot="1" x14ac:dyDescent="0.25">
      <c r="A23" s="2269" t="s">
        <v>633</v>
      </c>
      <c r="B23" s="2270"/>
      <c r="C23" s="562"/>
      <c r="D23" s="562"/>
      <c r="E23" s="562"/>
      <c r="F23" s="1728">
        <f>SUM(C23+D23)-E23</f>
        <v>0</v>
      </c>
      <c r="G23" s="540"/>
    </row>
    <row r="24" spans="1:11" ht="15.75" customHeight="1" thickTop="1" x14ac:dyDescent="0.2">
      <c r="A24" s="2281" t="s">
        <v>1113</v>
      </c>
      <c r="B24" s="2255"/>
      <c r="C24" s="2263"/>
      <c r="D24" s="2264"/>
      <c r="E24" s="2264"/>
      <c r="F24" s="2265"/>
    </row>
    <row r="25" spans="1:11" ht="13.5" thickBot="1" x14ac:dyDescent="0.25">
      <c r="A25" s="2269" t="s">
        <v>634</v>
      </c>
      <c r="B25" s="2270"/>
      <c r="C25" s="562"/>
      <c r="D25" s="562"/>
      <c r="E25" s="562"/>
      <c r="F25" s="1728">
        <f>SUM(C25+D25)-E25</f>
        <v>0</v>
      </c>
      <c r="G25" s="540"/>
    </row>
    <row r="26" spans="1:11" ht="15.75" customHeight="1" thickTop="1" x14ac:dyDescent="0.2">
      <c r="A26" s="2254" t="s">
        <v>657</v>
      </c>
      <c r="B26" s="2255"/>
      <c r="C26" s="700"/>
      <c r="D26" s="700"/>
      <c r="E26" s="700"/>
      <c r="F26" s="701"/>
    </row>
    <row r="27" spans="1:11" ht="13.5" thickBot="1" x14ac:dyDescent="0.25">
      <c r="A27" s="2256" t="s">
        <v>1070</v>
      </c>
      <c r="B27" s="2257"/>
      <c r="C27" s="565"/>
      <c r="D27" s="565"/>
      <c r="E27" s="565"/>
      <c r="F27" s="1728">
        <f>SUM(C27+D27)-E27</f>
        <v>0</v>
      </c>
      <c r="G27" s="540"/>
    </row>
    <row r="28" spans="1:11" ht="7.5" customHeight="1" thickTop="1" x14ac:dyDescent="0.2">
      <c r="A28" s="570"/>
    </row>
    <row r="29" spans="1:11" ht="23.25" customHeight="1" x14ac:dyDescent="0.2">
      <c r="A29" s="2282" t="s">
        <v>582</v>
      </c>
      <c r="B29" s="2259"/>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c r="B31" s="706"/>
      <c r="C31" s="707"/>
      <c r="D31" s="708"/>
      <c r="E31" s="707"/>
      <c r="F31" s="707"/>
      <c r="G31" s="707"/>
      <c r="H31" s="707"/>
      <c r="I31" s="1729">
        <f>((E31+F31)-H31)+G31</f>
        <v>0</v>
      </c>
      <c r="J31" s="707"/>
      <c r="K31" s="709"/>
    </row>
    <row r="32" spans="1:11" ht="12" customHeight="1" x14ac:dyDescent="0.2">
      <c r="A32" s="705"/>
      <c r="B32" s="706"/>
      <c r="C32" s="707"/>
      <c r="D32" s="708"/>
      <c r="E32" s="707"/>
      <c r="F32" s="707"/>
      <c r="G32" s="707"/>
      <c r="H32" s="707"/>
      <c r="I32" s="1729">
        <f>((E32+F32)-H32)+G32</f>
        <v>0</v>
      </c>
      <c r="J32" s="707"/>
      <c r="K32" s="709"/>
    </row>
    <row r="33" spans="1:11" ht="12" customHeight="1" x14ac:dyDescent="0.2">
      <c r="A33" s="705"/>
      <c r="B33" s="706"/>
      <c r="C33" s="707"/>
      <c r="D33" s="708"/>
      <c r="E33" s="707"/>
      <c r="F33" s="707"/>
      <c r="G33" s="707"/>
      <c r="H33" s="707"/>
      <c r="I33" s="1729">
        <f t="shared" ref="I33:I48" si="1">((E33+F33)-H33)+G33</f>
        <v>0</v>
      </c>
      <c r="J33" s="707"/>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0</v>
      </c>
      <c r="D49" s="718"/>
      <c r="E49" s="1729">
        <f t="shared" ref="E49:J49" si="2">SUM(E31:E48)</f>
        <v>0</v>
      </c>
      <c r="F49" s="1729">
        <f t="shared" si="2"/>
        <v>0</v>
      </c>
      <c r="G49" s="1729">
        <f t="shared" si="2"/>
        <v>0</v>
      </c>
      <c r="H49" s="1729">
        <f t="shared" si="2"/>
        <v>0</v>
      </c>
      <c r="I49" s="1729">
        <f t="shared" si="2"/>
        <v>0</v>
      </c>
      <c r="J49" s="1729">
        <f t="shared" si="2"/>
        <v>0</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73" t="s">
        <v>584</v>
      </c>
      <c r="C52" s="2274"/>
      <c r="D52" s="2274"/>
      <c r="E52" s="722" t="s">
        <v>845</v>
      </c>
      <c r="F52" s="2275"/>
      <c r="G52" s="2276"/>
      <c r="H52" s="709"/>
      <c r="I52" s="709"/>
      <c r="J52" s="719"/>
    </row>
    <row r="53" spans="1:11" ht="11.25" customHeight="1" x14ac:dyDescent="0.2">
      <c r="A53" s="723" t="s">
        <v>913</v>
      </c>
      <c r="B53" s="724" t="s">
        <v>951</v>
      </c>
      <c r="C53" s="719"/>
      <c r="D53" s="710"/>
      <c r="E53" s="722" t="s">
        <v>497</v>
      </c>
      <c r="F53" s="2277"/>
      <c r="G53" s="2278"/>
      <c r="H53" s="709"/>
      <c r="I53" s="709"/>
      <c r="J53" s="719"/>
    </row>
    <row r="54" spans="1:11" ht="11.25" customHeight="1" x14ac:dyDescent="0.2">
      <c r="A54" s="725" t="s">
        <v>914</v>
      </c>
      <c r="B54" s="720" t="s">
        <v>952</v>
      </c>
      <c r="C54" s="719"/>
      <c r="D54" s="710"/>
      <c r="E54" s="722" t="s">
        <v>498</v>
      </c>
      <c r="F54" s="2277"/>
      <c r="G54" s="2278"/>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7" t="s">
        <v>856</v>
      </c>
      <c r="B1" s="2308"/>
      <c r="C1" s="2308"/>
      <c r="D1" s="2308"/>
      <c r="E1" s="2308"/>
      <c r="F1" s="2308"/>
      <c r="G1" s="2309"/>
      <c r="H1" s="1503"/>
      <c r="I1" s="733"/>
      <c r="J1" s="433"/>
    </row>
    <row r="2" spans="1:11" ht="26.25" x14ac:dyDescent="0.2">
      <c r="A2" s="2286" t="s">
        <v>1677</v>
      </c>
      <c r="B2" s="2287"/>
      <c r="C2" s="2287"/>
      <c r="D2" s="2287"/>
      <c r="E2" s="2288"/>
      <c r="F2" s="734" t="s">
        <v>904</v>
      </c>
      <c r="G2" s="735" t="s">
        <v>1674</v>
      </c>
      <c r="H2" s="735" t="s">
        <v>410</v>
      </c>
      <c r="I2" s="735" t="s">
        <v>1158</v>
      </c>
      <c r="J2" s="735" t="s">
        <v>1812</v>
      </c>
      <c r="K2" s="735" t="s">
        <v>138</v>
      </c>
    </row>
    <row r="3" spans="1:11" x14ac:dyDescent="0.2">
      <c r="A3" s="2289" t="s">
        <v>1964</v>
      </c>
      <c r="B3" s="2290"/>
      <c r="C3" s="2290"/>
      <c r="D3" s="2290"/>
      <c r="E3" s="2291"/>
      <c r="F3" s="736"/>
      <c r="G3" s="737"/>
      <c r="H3" s="737"/>
      <c r="I3" s="737"/>
      <c r="J3" s="738"/>
      <c r="K3" s="738"/>
    </row>
    <row r="4" spans="1:11" x14ac:dyDescent="0.2">
      <c r="A4" s="2292" t="s">
        <v>369</v>
      </c>
      <c r="B4" s="2293"/>
      <c r="C4" s="2293"/>
      <c r="D4" s="2293"/>
      <c r="E4" s="2274"/>
      <c r="F4" s="739"/>
      <c r="G4" s="740"/>
      <c r="H4" s="741"/>
      <c r="I4" s="740"/>
      <c r="J4" s="742"/>
      <c r="K4" s="742"/>
    </row>
    <row r="5" spans="1:11" x14ac:dyDescent="0.2">
      <c r="A5" s="2310" t="s">
        <v>1069</v>
      </c>
      <c r="B5" s="2283"/>
      <c r="C5" s="2283"/>
      <c r="D5" s="2283"/>
      <c r="E5" s="2311"/>
      <c r="F5" s="743" t="s">
        <v>848</v>
      </c>
      <c r="G5" s="744"/>
      <c r="H5" s="737">
        <f>'Revenues 9-14'!C7</f>
        <v>241985</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310" t="s">
        <v>1813</v>
      </c>
      <c r="B10" s="2283"/>
      <c r="C10" s="2283"/>
      <c r="D10" s="2283"/>
      <c r="E10" s="2312"/>
      <c r="F10" s="756" t="s">
        <v>862</v>
      </c>
      <c r="G10" s="755"/>
      <c r="H10" s="757"/>
      <c r="I10" s="737"/>
      <c r="J10" s="738"/>
      <c r="K10" s="738"/>
    </row>
    <row r="11" spans="1:11" x14ac:dyDescent="0.2">
      <c r="A11" s="2310" t="s">
        <v>160</v>
      </c>
      <c r="B11" s="2283"/>
      <c r="C11" s="2283"/>
      <c r="D11" s="2283"/>
      <c r="E11" s="2311"/>
      <c r="F11" s="743" t="s">
        <v>852</v>
      </c>
      <c r="G11" s="744"/>
      <c r="H11" s="737"/>
      <c r="I11" s="737"/>
      <c r="J11" s="738"/>
      <c r="K11" s="746"/>
    </row>
    <row r="12" spans="1:11" ht="13.5" thickBot="1" x14ac:dyDescent="0.25">
      <c r="A12" s="2300" t="s">
        <v>905</v>
      </c>
      <c r="B12" s="2301"/>
      <c r="C12" s="2301"/>
      <c r="D12" s="2301"/>
      <c r="E12" s="2302"/>
      <c r="F12" s="1730"/>
      <c r="G12" s="1731">
        <f>SUM(G5:G11)</f>
        <v>0</v>
      </c>
      <c r="H12" s="1731">
        <f>SUM(H5:H11)</f>
        <v>241985</v>
      </c>
      <c r="I12" s="1731">
        <f>SUM(I5:I11)</f>
        <v>0</v>
      </c>
      <c r="J12" s="1731">
        <f>SUM(J5:J11)</f>
        <v>0</v>
      </c>
      <c r="K12" s="1731">
        <f>SUM(K5:K11)</f>
        <v>0</v>
      </c>
    </row>
    <row r="13" spans="1:11" ht="13.5" thickTop="1" x14ac:dyDescent="0.2">
      <c r="A13" s="2294" t="s">
        <v>370</v>
      </c>
      <c r="B13" s="2295"/>
      <c r="C13" s="2295"/>
      <c r="D13" s="2295"/>
      <c r="E13" s="2296"/>
      <c r="F13" s="758"/>
      <c r="G13" s="759"/>
      <c r="H13" s="760"/>
      <c r="I13" s="761"/>
      <c r="J13" s="761"/>
      <c r="K13" s="761"/>
    </row>
    <row r="14" spans="1:11" x14ac:dyDescent="0.2">
      <c r="A14" s="2316" t="s">
        <v>456</v>
      </c>
      <c r="B14" s="2316"/>
      <c r="C14" s="2316"/>
      <c r="D14" s="2316"/>
      <c r="E14" s="2317"/>
      <c r="F14" s="762" t="s">
        <v>854</v>
      </c>
      <c r="G14" s="755"/>
      <c r="H14" s="737">
        <f>'Revenues 9-14'!C7</f>
        <v>241985</v>
      </c>
      <c r="I14" s="744"/>
      <c r="J14" s="746"/>
      <c r="K14" s="738"/>
    </row>
    <row r="15" spans="1:11" x14ac:dyDescent="0.2">
      <c r="A15" s="2283" t="s">
        <v>4</v>
      </c>
      <c r="B15" s="2283"/>
      <c r="C15" s="2283"/>
      <c r="D15" s="2283"/>
      <c r="E15" s="2311"/>
      <c r="F15" s="762" t="s">
        <v>855</v>
      </c>
      <c r="G15" s="744"/>
      <c r="H15" s="737"/>
      <c r="I15" s="737"/>
      <c r="J15" s="738"/>
      <c r="K15" s="738"/>
    </row>
    <row r="16" spans="1:11" x14ac:dyDescent="0.2">
      <c r="A16" s="2283" t="s">
        <v>298</v>
      </c>
      <c r="B16" s="2283"/>
      <c r="C16" s="2283"/>
      <c r="D16" s="2283"/>
      <c r="E16" s="2311"/>
      <c r="F16" s="762" t="s">
        <v>923</v>
      </c>
      <c r="G16" s="745"/>
      <c r="H16" s="740"/>
      <c r="I16" s="740"/>
      <c r="J16" s="742"/>
      <c r="K16" s="742"/>
    </row>
    <row r="17" spans="1:11" x14ac:dyDescent="0.2">
      <c r="A17" s="2305" t="s">
        <v>935</v>
      </c>
      <c r="B17" s="2305"/>
      <c r="C17" s="2305"/>
      <c r="D17" s="2305"/>
      <c r="E17" s="2306"/>
      <c r="F17" s="763"/>
      <c r="G17" s="764"/>
      <c r="H17" s="765"/>
      <c r="I17" s="765"/>
      <c r="J17" s="766"/>
      <c r="K17" s="767"/>
    </row>
    <row r="18" spans="1:11" x14ac:dyDescent="0.2">
      <c r="A18" s="2297" t="s">
        <v>368</v>
      </c>
      <c r="B18" s="2298"/>
      <c r="C18" s="2298"/>
      <c r="D18" s="2298"/>
      <c r="E18" s="2299"/>
      <c r="F18" s="762" t="s">
        <v>932</v>
      </c>
      <c r="G18" s="755"/>
      <c r="H18" s="755"/>
      <c r="I18" s="755"/>
      <c r="J18" s="738"/>
      <c r="K18" s="768"/>
    </row>
    <row r="19" spans="1:11" ht="21.75" customHeight="1" x14ac:dyDescent="0.2">
      <c r="A19" s="2318" t="s">
        <v>1809</v>
      </c>
      <c r="B19" s="2318"/>
      <c r="C19" s="2318"/>
      <c r="D19" s="2318"/>
      <c r="E19" s="2319"/>
      <c r="F19" s="762" t="s">
        <v>933</v>
      </c>
      <c r="G19" s="755"/>
      <c r="H19" s="755"/>
      <c r="I19" s="755"/>
      <c r="J19" s="738"/>
      <c r="K19" s="768"/>
    </row>
    <row r="20" spans="1:11" x14ac:dyDescent="0.2">
      <c r="A20" s="2297" t="s">
        <v>1814</v>
      </c>
      <c r="B20" s="2298"/>
      <c r="C20" s="2298"/>
      <c r="D20" s="2298"/>
      <c r="E20" s="2299"/>
      <c r="F20" s="762" t="s">
        <v>934</v>
      </c>
      <c r="G20" s="755"/>
      <c r="H20" s="755"/>
      <c r="I20" s="755"/>
      <c r="J20" s="738"/>
      <c r="K20" s="768"/>
    </row>
    <row r="21" spans="1:11" ht="13.5" thickBot="1" x14ac:dyDescent="0.25">
      <c r="A21" s="2303" t="s">
        <v>638</v>
      </c>
      <c r="B21" s="2303"/>
      <c r="C21" s="2303"/>
      <c r="D21" s="2303"/>
      <c r="E21" s="2303"/>
      <c r="F21" s="1732"/>
      <c r="G21" s="765"/>
      <c r="H21" s="769"/>
      <c r="I21" s="769"/>
      <c r="J21" s="1733">
        <f>SUM(J18:J20)</f>
        <v>0</v>
      </c>
      <c r="K21" s="766"/>
    </row>
    <row r="22" spans="1:11" ht="13.5" thickTop="1" x14ac:dyDescent="0.2">
      <c r="A22" s="2283" t="s">
        <v>1815</v>
      </c>
      <c r="B22" s="2283"/>
      <c r="C22" s="2283"/>
      <c r="D22" s="2283"/>
      <c r="E22" s="2311"/>
      <c r="F22" s="762" t="s">
        <v>862</v>
      </c>
      <c r="G22" s="755"/>
      <c r="H22" s="737"/>
      <c r="I22" s="737"/>
      <c r="J22" s="770"/>
      <c r="K22" s="738"/>
    </row>
    <row r="23" spans="1:11" ht="13.5" thickBot="1" x14ac:dyDescent="0.25">
      <c r="A23" s="2304" t="s">
        <v>906</v>
      </c>
      <c r="B23" s="2303"/>
      <c r="C23" s="2303"/>
      <c r="D23" s="2303"/>
      <c r="E23" s="2303"/>
      <c r="F23" s="1734"/>
      <c r="G23" s="1731">
        <f>SUM(G14:G16,G21,G22)</f>
        <v>0</v>
      </c>
      <c r="H23" s="1731">
        <f>SUM(H14:H16,H21,H22)</f>
        <v>241985</v>
      </c>
      <c r="I23" s="1731">
        <f>SUM(I14:I16,I21,I22)</f>
        <v>0</v>
      </c>
      <c r="J23" s="1731">
        <f>SUM(J14:J16,J21,J22)</f>
        <v>0</v>
      </c>
      <c r="K23" s="1731">
        <f>SUM(K14:K16,K21,K22)</f>
        <v>0</v>
      </c>
    </row>
    <row r="24" spans="1:11" ht="14.25" thickTop="1" thickBot="1" x14ac:dyDescent="0.25">
      <c r="A24" s="2304" t="s">
        <v>1965</v>
      </c>
      <c r="B24" s="2303"/>
      <c r="C24" s="2303"/>
      <c r="D24" s="2303"/>
      <c r="E24" s="2303"/>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313"/>
      <c r="I31" s="2314"/>
      <c r="J31" s="2314"/>
      <c r="K31" s="2314"/>
    </row>
    <row r="32" spans="1:11" x14ac:dyDescent="0.2">
      <c r="A32" s="782"/>
      <c r="B32" s="237"/>
      <c r="C32" s="237"/>
      <c r="D32" s="237"/>
      <c r="E32" s="778"/>
      <c r="F32" s="784" t="s">
        <v>540</v>
      </c>
      <c r="G32" s="737"/>
      <c r="H32" s="2315"/>
      <c r="I32" s="2314"/>
      <c r="J32" s="2314"/>
      <c r="K32" s="2314"/>
    </row>
    <row r="33" spans="1:11" ht="1.5" customHeight="1" x14ac:dyDescent="0.2">
      <c r="A33" s="785" t="s">
        <v>1169</v>
      </c>
      <c r="B33" s="364"/>
      <c r="C33" s="364"/>
      <c r="D33" s="364"/>
      <c r="E33" s="364"/>
      <c r="F33" s="364"/>
      <c r="G33" s="786"/>
      <c r="H33" s="2315"/>
      <c r="I33" s="2314"/>
      <c r="J33" s="2314"/>
      <c r="K33" s="2314"/>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3" t="s">
        <v>541</v>
      </c>
      <c r="B41" s="2284"/>
      <c r="C41" s="2284"/>
      <c r="D41" s="2284"/>
      <c r="E41" s="2284"/>
      <c r="F41" s="2285"/>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2" t="s">
        <v>1909</v>
      </c>
      <c r="B1" s="2323"/>
      <c r="C1" s="2324"/>
      <c r="D1" s="799"/>
      <c r="E1" s="800"/>
      <c r="F1" s="800"/>
      <c r="G1" s="801"/>
      <c r="H1" s="802"/>
      <c r="I1" s="803"/>
      <c r="J1" s="2320"/>
      <c r="K1" s="2321"/>
      <c r="L1" s="2321"/>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24363</v>
      </c>
      <c r="D5" s="814"/>
      <c r="E5" s="814">
        <v>708</v>
      </c>
      <c r="F5" s="1733">
        <f>(C5+D5)-E5</f>
        <v>23655</v>
      </c>
      <c r="G5" s="810"/>
      <c r="H5" s="815"/>
      <c r="I5" s="815"/>
      <c r="J5" s="815"/>
      <c r="K5" s="766"/>
      <c r="L5" s="1742">
        <f>F5-K5</f>
        <v>23655</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6513425</v>
      </c>
      <c r="D8" s="817">
        <v>324956</v>
      </c>
      <c r="E8" s="817"/>
      <c r="F8" s="1733">
        <f>(C8+D8)-E8</f>
        <v>6838381</v>
      </c>
      <c r="G8" s="816">
        <v>50</v>
      </c>
      <c r="H8" s="738">
        <v>3460708</v>
      </c>
      <c r="I8" s="738">
        <v>401898</v>
      </c>
      <c r="J8" s="738"/>
      <c r="K8" s="1742">
        <f>(H8+I8)-J8</f>
        <v>3862606</v>
      </c>
      <c r="L8" s="1742">
        <f>F8-K8</f>
        <v>2975775</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339573</v>
      </c>
      <c r="D10" s="819"/>
      <c r="E10" s="819">
        <v>311168</v>
      </c>
      <c r="F10" s="1737">
        <f>(C10+D10)-E10</f>
        <v>28405</v>
      </c>
      <c r="G10" s="816">
        <v>20</v>
      </c>
      <c r="H10" s="820">
        <v>154094</v>
      </c>
      <c r="I10" s="820">
        <v>283</v>
      </c>
      <c r="J10" s="820">
        <f>128662+I10</f>
        <v>128945</v>
      </c>
      <c r="K10" s="1742">
        <f>(H10+I10)-J10</f>
        <v>25432</v>
      </c>
      <c r="L10" s="1742">
        <f>F10-K10</f>
        <v>2973</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843629</v>
      </c>
      <c r="D12" s="817">
        <v>151652</v>
      </c>
      <c r="E12" s="817"/>
      <c r="F12" s="1733">
        <f>(C12+D12)-E12</f>
        <v>995281</v>
      </c>
      <c r="G12" s="816">
        <v>10</v>
      </c>
      <c r="H12" s="738">
        <v>648125</v>
      </c>
      <c r="I12" s="738">
        <v>51871</v>
      </c>
      <c r="J12" s="738">
        <f>37050+I12</f>
        <v>88921</v>
      </c>
      <c r="K12" s="1742">
        <f>(H12+I12)-J12</f>
        <v>611075</v>
      </c>
      <c r="L12" s="1742">
        <f>F12-K12</f>
        <v>384206</v>
      </c>
    </row>
    <row r="13" spans="1:14" ht="14.25" thickTop="1" thickBot="1" x14ac:dyDescent="0.25">
      <c r="A13" s="821" t="s">
        <v>1122</v>
      </c>
      <c r="B13" s="813">
        <v>252</v>
      </c>
      <c r="C13" s="817"/>
      <c r="D13" s="817"/>
      <c r="E13" s="817"/>
      <c r="F13" s="1733">
        <f>(C13+D13)-E13</f>
        <v>0</v>
      </c>
      <c r="G13" s="816">
        <v>5</v>
      </c>
      <c r="H13" s="738"/>
      <c r="I13" s="738"/>
      <c r="J13" s="738"/>
      <c r="K13" s="1742">
        <f>(H13+I13)-J13</f>
        <v>0</v>
      </c>
      <c r="L13" s="1742">
        <f>F13-K13</f>
        <v>0</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v>5821938</v>
      </c>
      <c r="D15" s="817">
        <v>1521468</v>
      </c>
      <c r="E15" s="817"/>
      <c r="F15" s="1733">
        <f>(C15+D15)-E15</f>
        <v>7343406</v>
      </c>
      <c r="G15" s="822" t="s">
        <v>862</v>
      </c>
      <c r="H15" s="754"/>
      <c r="I15" s="754"/>
      <c r="J15" s="754"/>
      <c r="K15" s="754"/>
      <c r="L15" s="1742">
        <f>F15-K15</f>
        <v>7343406</v>
      </c>
    </row>
    <row r="16" spans="1:14" ht="15" customHeight="1" thickTop="1" thickBot="1" x14ac:dyDescent="0.25">
      <c r="A16" s="1738" t="s">
        <v>643</v>
      </c>
      <c r="B16" s="1739">
        <v>200</v>
      </c>
      <c r="C16" s="1733">
        <f>SUM(C3,C5:C6,C8:C10,C12:C15)</f>
        <v>13542928</v>
      </c>
      <c r="D16" s="1733">
        <f>SUM(D3,D5:D6,D8:D10,D12:D15)</f>
        <v>1998076</v>
      </c>
      <c r="E16" s="1733">
        <f>SUM(E3,E5:E6,E8:E10,E12:E15)</f>
        <v>311876</v>
      </c>
      <c r="F16" s="1733">
        <f>SUM(F3,F5:F6,F8:F10,F12:F15)</f>
        <v>15229128</v>
      </c>
      <c r="G16" s="816"/>
      <c r="H16" s="1733">
        <f>SUM(H3,H6,H8:H10,H12:H14,)</f>
        <v>4262927</v>
      </c>
      <c r="I16" s="1733">
        <f>SUM(I3,I6,I8:I10,I12:I14,)</f>
        <v>454052</v>
      </c>
      <c r="J16" s="1733">
        <f>SUM(J3,J6,J8:J10,J12:J14,)</f>
        <v>217866</v>
      </c>
      <c r="K16" s="1733">
        <f>(H16+I16)-J16</f>
        <v>4499113</v>
      </c>
      <c r="L16" s="1733">
        <f>F16-K16</f>
        <v>10730015</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47407</v>
      </c>
      <c r="G17" s="810">
        <v>10</v>
      </c>
      <c r="H17" s="742"/>
      <c r="I17" s="1742">
        <f>F17/G17</f>
        <v>4740.7</v>
      </c>
      <c r="J17" s="742"/>
      <c r="K17" s="768"/>
      <c r="L17" s="768"/>
    </row>
    <row r="18" spans="1:12" ht="14.25" thickTop="1" thickBot="1" x14ac:dyDescent="0.25">
      <c r="A18" s="1740" t="s">
        <v>685</v>
      </c>
      <c r="B18" s="1741"/>
      <c r="C18" s="744"/>
      <c r="D18" s="744"/>
      <c r="E18" s="744"/>
      <c r="F18" s="823"/>
      <c r="G18" s="824"/>
      <c r="H18" s="746"/>
      <c r="I18" s="1733">
        <f>SUM(I16,I17)</f>
        <v>458792.7</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60" activePane="bottomLeft" state="frozen"/>
      <selection activeCell="AF22" sqref="AF22"/>
      <selection pane="bottomLeft" activeCell="F79" sqref="F79"/>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8" t="s">
        <v>1975</v>
      </c>
      <c r="B1" s="2329"/>
      <c r="C1" s="2329"/>
      <c r="D1" s="2329"/>
      <c r="E1" s="2329"/>
      <c r="F1" s="2330"/>
      <c r="G1" s="828"/>
    </row>
    <row r="2" spans="1:7" ht="15" customHeight="1" thickBot="1" x14ac:dyDescent="0.25">
      <c r="A2" s="2331" t="s">
        <v>477</v>
      </c>
      <c r="B2" s="2332"/>
      <c r="C2" s="2332"/>
      <c r="D2" s="2332"/>
      <c r="E2" s="2332"/>
      <c r="F2" s="2333"/>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4"/>
      <c r="B5" s="2335"/>
      <c r="C5" s="2335"/>
      <c r="D5" s="2335"/>
      <c r="E5" s="2335"/>
      <c r="F5" s="2335"/>
    </row>
    <row r="6" spans="1:7" ht="13.5" customHeight="1" thickBot="1" x14ac:dyDescent="0.25">
      <c r="A6" s="2325" t="s">
        <v>1104</v>
      </c>
      <c r="B6" s="2326"/>
      <c r="C6" s="2326"/>
      <c r="D6" s="2326"/>
      <c r="E6" s="2326"/>
      <c r="F6" s="2327"/>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4325735</v>
      </c>
      <c r="G8" s="838"/>
    </row>
    <row r="9" spans="1:7" x14ac:dyDescent="0.2">
      <c r="A9" s="842" t="s">
        <v>460</v>
      </c>
      <c r="B9" s="843" t="s">
        <v>1877</v>
      </c>
      <c r="C9" s="844"/>
      <c r="D9" s="842" t="s">
        <v>501</v>
      </c>
      <c r="E9" s="841"/>
      <c r="F9" s="1882">
        <f>'Expenditures 15-22'!K151</f>
        <v>638535</v>
      </c>
      <c r="G9" s="845"/>
    </row>
    <row r="10" spans="1:7" x14ac:dyDescent="0.2">
      <c r="A10" s="842" t="s">
        <v>499</v>
      </c>
      <c r="B10" s="843" t="s">
        <v>1878</v>
      </c>
      <c r="C10" s="844"/>
      <c r="D10" s="842" t="s">
        <v>501</v>
      </c>
      <c r="E10" s="841"/>
      <c r="F10" s="1882">
        <f>'Expenditures 15-22'!K174</f>
        <v>0</v>
      </c>
      <c r="G10" s="845"/>
    </row>
    <row r="11" spans="1:7" x14ac:dyDescent="0.2">
      <c r="A11" s="842" t="s">
        <v>461</v>
      </c>
      <c r="B11" s="843" t="s">
        <v>1879</v>
      </c>
      <c r="C11" s="844"/>
      <c r="D11" s="842" t="s">
        <v>501</v>
      </c>
      <c r="E11" s="841"/>
      <c r="F11" s="1882">
        <f>'Expenditures 15-22'!K210</f>
        <v>695479</v>
      </c>
      <c r="G11" s="845"/>
    </row>
    <row r="12" spans="1:7" x14ac:dyDescent="0.2">
      <c r="A12" s="842" t="s">
        <v>462</v>
      </c>
      <c r="B12" s="843" t="s">
        <v>1880</v>
      </c>
      <c r="C12" s="844"/>
      <c r="D12" s="842" t="s">
        <v>501</v>
      </c>
      <c r="E12" s="841"/>
      <c r="F12" s="1882">
        <f>'Expenditures 15-22'!K295</f>
        <v>89458</v>
      </c>
      <c r="G12" s="845"/>
    </row>
    <row r="13" spans="1:7" x14ac:dyDescent="0.2">
      <c r="A13" s="842" t="s">
        <v>106</v>
      </c>
      <c r="B13" s="843" t="s">
        <v>1881</v>
      </c>
      <c r="C13" s="844"/>
      <c r="D13" s="842" t="s">
        <v>501</v>
      </c>
      <c r="E13" s="841"/>
      <c r="F13" s="1882">
        <f>'Expenditures 15-22'!K342</f>
        <v>56433</v>
      </c>
      <c r="G13" s="846"/>
    </row>
    <row r="14" spans="1:7" ht="12" customHeight="1" thickBot="1" x14ac:dyDescent="0.25">
      <c r="A14" s="1743"/>
      <c r="B14" s="1744"/>
      <c r="C14" s="1745"/>
      <c r="D14" s="1746" t="s">
        <v>501</v>
      </c>
      <c r="E14" s="1747" t="s">
        <v>958</v>
      </c>
      <c r="F14" s="1748">
        <f>SUM(F8:F13)</f>
        <v>5805640</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98199</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49151</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0</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96702</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6">
        <f>'Expenditures 15-22'!K102</f>
        <v>455270</v>
      </c>
      <c r="G53" s="838"/>
    </row>
    <row r="54" spans="1:7" x14ac:dyDescent="0.2">
      <c r="A54" s="842" t="s">
        <v>459</v>
      </c>
      <c r="B54" s="842" t="s">
        <v>1476</v>
      </c>
      <c r="C54" s="862" t="s">
        <v>982</v>
      </c>
      <c r="D54" s="858" t="s">
        <v>1095</v>
      </c>
      <c r="E54" s="841"/>
      <c r="F54" s="1886">
        <f>'Expenditures 15-22'!G114</f>
        <v>8275</v>
      </c>
      <c r="G54" s="838"/>
    </row>
    <row r="55" spans="1:7" x14ac:dyDescent="0.2">
      <c r="A55" s="842" t="s">
        <v>459</v>
      </c>
      <c r="B55" s="842" t="s">
        <v>1477</v>
      </c>
      <c r="C55" s="862" t="s">
        <v>982</v>
      </c>
      <c r="D55" s="858" t="s">
        <v>291</v>
      </c>
      <c r="E55" s="841"/>
      <c r="F55" s="1886">
        <f>'Expenditures 15-22'!I114</f>
        <v>45484</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0</v>
      </c>
      <c r="G57" s="838"/>
    </row>
    <row r="58" spans="1:7" x14ac:dyDescent="0.2">
      <c r="A58" s="842" t="s">
        <v>460</v>
      </c>
      <c r="B58" s="842" t="s">
        <v>1883</v>
      </c>
      <c r="C58" s="859" t="s">
        <v>982</v>
      </c>
      <c r="D58" s="858" t="s">
        <v>1095</v>
      </c>
      <c r="E58" s="841"/>
      <c r="F58" s="1888">
        <f>'Expenditures 15-22'!G151</f>
        <v>86199</v>
      </c>
      <c r="G58" s="838"/>
    </row>
    <row r="59" spans="1:7" x14ac:dyDescent="0.2">
      <c r="A59" s="866" t="s">
        <v>460</v>
      </c>
      <c r="B59" s="829" t="s">
        <v>1884</v>
      </c>
      <c r="C59" s="867" t="s">
        <v>982</v>
      </c>
      <c r="D59" s="829" t="s">
        <v>291</v>
      </c>
      <c r="F59" s="1889">
        <f>'Expenditures 15-22'!I151</f>
        <v>1923</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0</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1889</v>
      </c>
      <c r="C64" s="869" t="str">
        <f>'Expenditures 15-22'!B206</f>
        <v>5300</v>
      </c>
      <c r="D64" s="865" t="s">
        <v>311</v>
      </c>
      <c r="E64" s="841"/>
      <c r="F64" s="1886">
        <f>'Expenditures 15-22'!K206</f>
        <v>0</v>
      </c>
      <c r="G64" s="838"/>
    </row>
    <row r="65" spans="1:8" x14ac:dyDescent="0.2">
      <c r="A65" s="842" t="s">
        <v>461</v>
      </c>
      <c r="B65" s="842" t="s">
        <v>1890</v>
      </c>
      <c r="C65" s="859" t="s">
        <v>982</v>
      </c>
      <c r="D65" s="858" t="s">
        <v>1095</v>
      </c>
      <c r="E65" s="841"/>
      <c r="F65" s="1886">
        <f>'Expenditures 15-22'!G210</f>
        <v>0</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3328</v>
      </c>
      <c r="G67" s="838"/>
    </row>
    <row r="68" spans="1:8" x14ac:dyDescent="0.2">
      <c r="A68" s="842" t="s">
        <v>462</v>
      </c>
      <c r="B68" s="842" t="s">
        <v>1479</v>
      </c>
      <c r="C68" s="859" t="str">
        <f>'Expenditures 15-22'!B218</f>
        <v>1225</v>
      </c>
      <c r="D68" s="865" t="str">
        <f>'Expenditures 15-22'!A218</f>
        <v>Special Education Programs - Pre-K</v>
      </c>
      <c r="E68" s="841"/>
      <c r="F68" s="1886">
        <f>'Expenditures 15-22'!K218</f>
        <v>537</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0</v>
      </c>
      <c r="G71" s="838"/>
    </row>
    <row r="72" spans="1:8" x14ac:dyDescent="0.2">
      <c r="A72" s="842" t="s">
        <v>462</v>
      </c>
      <c r="B72" s="842" t="s">
        <v>1896</v>
      </c>
      <c r="C72" s="859">
        <f>'Expenditures 15-22'!B280</f>
        <v>3000</v>
      </c>
      <c r="D72" s="849" t="s">
        <v>449</v>
      </c>
      <c r="E72" s="841"/>
      <c r="F72" s="1886">
        <f>'Expenditures 15-22'!K280</f>
        <v>0</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845068</v>
      </c>
      <c r="G76" s="838"/>
    </row>
    <row r="77" spans="1:8" s="866" customFormat="1" ht="12" customHeight="1" thickTop="1" thickBot="1" x14ac:dyDescent="0.25">
      <c r="A77" s="1752"/>
      <c r="B77" s="1749"/>
      <c r="C77" s="1745"/>
      <c r="D77" s="1750" t="s">
        <v>1900</v>
      </c>
      <c r="E77" s="1747"/>
      <c r="F77" s="1753">
        <f>(F14-F76)</f>
        <v>4960572</v>
      </c>
      <c r="G77" s="842"/>
    </row>
    <row r="78" spans="1:8" s="866" customFormat="1" ht="12" customHeight="1" thickTop="1" x14ac:dyDescent="0.2">
      <c r="A78" s="1754"/>
      <c r="B78" s="1749"/>
      <c r="C78" s="1745"/>
      <c r="D78" s="1750" t="s">
        <v>2062</v>
      </c>
      <c r="E78" s="1747"/>
      <c r="F78" s="871">
        <v>350.3</v>
      </c>
      <c r="G78" s="872"/>
      <c r="H78" s="842"/>
    </row>
    <row r="79" spans="1:8" s="866" customFormat="1" ht="12" customHeight="1" thickBot="1" x14ac:dyDescent="0.25">
      <c r="A79" s="1755"/>
      <c r="B79" s="1749"/>
      <c r="C79" s="1745"/>
      <c r="D79" s="1750" t="s">
        <v>1901</v>
      </c>
      <c r="E79" s="1747" t="s">
        <v>958</v>
      </c>
      <c r="F79" s="1756">
        <f>IF(F78&gt;0,F77/F78," Complete Line 78")</f>
        <v>14160.92492149586</v>
      </c>
      <c r="G79" s="842"/>
    </row>
    <row r="80" spans="1:8" s="866" customFormat="1" ht="8.25" customHeight="1" thickTop="1" x14ac:dyDescent="0.2">
      <c r="A80" s="873"/>
      <c r="B80" s="842"/>
      <c r="C80" s="844"/>
      <c r="D80" s="874"/>
      <c r="E80" s="841"/>
      <c r="F80" s="875"/>
      <c r="G80" s="842"/>
    </row>
    <row r="81" spans="1:7" s="866" customFormat="1" ht="12" thickBot="1" x14ac:dyDescent="0.25">
      <c r="A81" s="2325" t="s">
        <v>1105</v>
      </c>
      <c r="B81" s="2326"/>
      <c r="C81" s="2326"/>
      <c r="D81" s="2326"/>
      <c r="E81" s="2326"/>
      <c r="F81" s="2327"/>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25949</v>
      </c>
      <c r="G94" s="885"/>
    </row>
    <row r="95" spans="1:7" x14ac:dyDescent="0.2">
      <c r="A95" s="881" t="s">
        <v>140</v>
      </c>
      <c r="B95" s="881" t="s">
        <v>175</v>
      </c>
      <c r="C95" s="883">
        <v>1700</v>
      </c>
      <c r="D95" s="891" t="str">
        <f>'Revenues 9-14'!A82</f>
        <v>Total District/School Activity Income</v>
      </c>
      <c r="E95" s="879"/>
      <c r="F95" s="1762">
        <f>SUM('Revenues 9-14'!C82,'Revenues 9-14'!D82)</f>
        <v>7947</v>
      </c>
      <c r="G95" s="885"/>
    </row>
    <row r="96" spans="1:7" x14ac:dyDescent="0.2">
      <c r="A96" s="881" t="s">
        <v>459</v>
      </c>
      <c r="B96" s="881" t="s">
        <v>176</v>
      </c>
      <c r="C96" s="883">
        <f>'Revenues 9-14'!B84</f>
        <v>1811</v>
      </c>
      <c r="D96" s="884" t="str">
        <f>'Revenues 9-14'!A84</f>
        <v>Rentals - Regular Textbooks</v>
      </c>
      <c r="E96" s="879"/>
      <c r="F96" s="1762">
        <f>'Revenues 9-14'!C84</f>
        <v>17772</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1398</v>
      </c>
      <c r="G100" s="885"/>
    </row>
    <row r="101" spans="1:7" x14ac:dyDescent="0.2">
      <c r="A101" s="881" t="s">
        <v>140</v>
      </c>
      <c r="B101" s="881" t="s">
        <v>181</v>
      </c>
      <c r="C101" s="883">
        <f>'Revenues 9-14'!B95</f>
        <v>1910</v>
      </c>
      <c r="D101" s="884" t="str">
        <f>'Revenues 9-14'!A95</f>
        <v>Rentals</v>
      </c>
      <c r="E101" s="879"/>
      <c r="F101" s="1762">
        <f>SUM('Revenues 9-14'!C95:D95)</f>
        <v>0</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2003</v>
      </c>
      <c r="C105" s="886">
        <v>3100</v>
      </c>
      <c r="D105" s="892" t="str">
        <f>'Revenues 9-14'!A132</f>
        <v>Total Special Education</v>
      </c>
      <c r="E105" s="879"/>
      <c r="F105" s="1762">
        <f>SUM('Revenues 9-14'!C132:D132,'Revenues 9-14'!F132)</f>
        <v>69586</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0</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1598</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0</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315772</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750</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107421</v>
      </c>
      <c r="G125" s="903"/>
    </row>
    <row r="126" spans="1:7" x14ac:dyDescent="0.2">
      <c r="A126" s="900" t="s">
        <v>668</v>
      </c>
      <c r="B126" s="900" t="s">
        <v>2024</v>
      </c>
      <c r="C126" s="905">
        <v>4300</v>
      </c>
      <c r="D126" s="906" t="str">
        <f>'Revenues 9-14'!A204</f>
        <v>Total Title I</v>
      </c>
      <c r="E126" s="879"/>
      <c r="F126" s="1762">
        <f>SUM('Revenues 9-14'!C204,'Revenues 9-14'!D204,'Revenues 9-14'!F204,'Revenues 9-14'!G204)</f>
        <v>96825</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10000</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91721</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10740</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20118</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19711</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7530</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32524</v>
      </c>
      <c r="G170" s="900"/>
    </row>
    <row r="171" spans="1:7" x14ac:dyDescent="0.2">
      <c r="A171" s="1891" t="s">
        <v>5</v>
      </c>
      <c r="B171" s="1892" t="s">
        <v>1920</v>
      </c>
      <c r="C171" s="1893">
        <v>3100</v>
      </c>
      <c r="D171" s="1894" t="s">
        <v>1922</v>
      </c>
      <c r="E171" s="879"/>
      <c r="F171" s="1879">
        <v>135924</v>
      </c>
      <c r="G171" s="900"/>
    </row>
    <row r="172" spans="1:7" x14ac:dyDescent="0.2">
      <c r="A172" s="1891" t="s">
        <v>664</v>
      </c>
      <c r="B172" s="1892" t="s">
        <v>1920</v>
      </c>
      <c r="C172" s="1893">
        <v>3300</v>
      </c>
      <c r="D172" s="1894" t="s">
        <v>1923</v>
      </c>
      <c r="E172" s="879"/>
      <c r="F172" s="1879">
        <v>1029</v>
      </c>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974315</v>
      </c>
    </row>
    <row r="175" spans="1:7" ht="12" customHeight="1" x14ac:dyDescent="0.2">
      <c r="A175" s="1743"/>
      <c r="B175" s="1757"/>
      <c r="C175" s="1758"/>
      <c r="D175" s="1759" t="s">
        <v>2057</v>
      </c>
      <c r="E175" s="1760"/>
      <c r="F175" s="1762">
        <f>'PCTC-OEPP 27-28'!F77-F174</f>
        <v>3986257</v>
      </c>
    </row>
    <row r="176" spans="1:7" ht="12" customHeight="1" x14ac:dyDescent="0.2">
      <c r="A176" s="1743"/>
      <c r="B176" s="1757"/>
      <c r="C176" s="1758"/>
      <c r="D176" s="1759" t="s">
        <v>1817</v>
      </c>
      <c r="E176" s="1760"/>
      <c r="F176" s="1762">
        <f>'Cap Outlay Deprec 26'!I18</f>
        <v>458792.7</v>
      </c>
    </row>
    <row r="177" spans="1:7" ht="12" customHeight="1" x14ac:dyDescent="0.2">
      <c r="A177" s="1743"/>
      <c r="B177" s="1757"/>
      <c r="C177" s="1758"/>
      <c r="D177" s="1759" t="s">
        <v>2058</v>
      </c>
      <c r="E177" s="1760"/>
      <c r="F177" s="1762">
        <f>F175+F176</f>
        <v>4445049.7</v>
      </c>
    </row>
    <row r="178" spans="1:7" ht="12" customHeight="1" x14ac:dyDescent="0.2">
      <c r="A178" s="1743"/>
      <c r="B178" s="1763"/>
      <c r="C178" s="1758"/>
      <c r="D178" s="1759" t="str">
        <f>D78</f>
        <v>9 Month ADA from District Average Daily Attendance/Prior General State Aid Inquiry 2018-2019</v>
      </c>
      <c r="E178" s="1760"/>
      <c r="F178" s="1764">
        <f>'PCTC-OEPP 27-28'!F78</f>
        <v>350.3</v>
      </c>
      <c r="G178" s="903"/>
    </row>
    <row r="179" spans="1:7" ht="12" customHeight="1" thickBot="1" x14ac:dyDescent="0.25">
      <c r="A179" s="1743"/>
      <c r="B179" s="1763"/>
      <c r="C179" s="1758"/>
      <c r="D179" s="1759" t="s">
        <v>2059</v>
      </c>
      <c r="E179" s="1760" t="s">
        <v>1545</v>
      </c>
      <c r="F179" s="1765">
        <f>F177/F178</f>
        <v>12689.265486725664</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8"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zoomScaleNormal="100" workbookViewId="0">
      <selection activeCell="B29" sqref="B29"/>
    </sheetView>
  </sheetViews>
  <sheetFormatPr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39" t="s">
        <v>1818</v>
      </c>
      <c r="B4" s="2340"/>
      <c r="C4" s="2340"/>
      <c r="D4" s="2340"/>
      <c r="E4" s="2340"/>
      <c r="F4" s="2340"/>
      <c r="G4" s="2341"/>
    </row>
    <row r="5" spans="1:7" x14ac:dyDescent="0.25">
      <c r="A5" s="2342"/>
      <c r="B5" s="2343"/>
      <c r="C5" s="2343"/>
      <c r="D5" s="2343"/>
      <c r="E5" s="2343"/>
      <c r="F5" s="2343"/>
      <c r="G5" s="2344"/>
    </row>
    <row r="6" spans="1:7" ht="18.75" x14ac:dyDescent="0.25">
      <c r="A6" s="1507" t="s">
        <v>1819</v>
      </c>
      <c r="B6" s="1508"/>
      <c r="C6" s="1508"/>
      <c r="D6" s="1508"/>
      <c r="E6" s="1508"/>
      <c r="F6" s="1508"/>
      <c r="G6" s="1509"/>
    </row>
    <row r="7" spans="1:7" ht="30.75" customHeight="1" x14ac:dyDescent="0.25">
      <c r="A7" s="2345" t="s">
        <v>1932</v>
      </c>
      <c r="B7" s="2346"/>
      <c r="C7" s="2346"/>
      <c r="D7" s="2346"/>
      <c r="E7" s="2346"/>
      <c r="F7" s="2346"/>
      <c r="G7" s="2347"/>
    </row>
    <row r="8" spans="1:7" ht="15.75" customHeight="1" x14ac:dyDescent="0.25">
      <c r="A8" s="2348" t="s">
        <v>1907</v>
      </c>
      <c r="B8" s="2349"/>
      <c r="C8" s="2349"/>
      <c r="D8" s="2349"/>
      <c r="E8" s="2349"/>
      <c r="F8" s="2349"/>
      <c r="G8" s="2350"/>
    </row>
    <row r="9" spans="1:7" ht="35.25" customHeight="1" x14ac:dyDescent="0.25">
      <c r="A9" s="2345" t="s">
        <v>1935</v>
      </c>
      <c r="B9" s="2346"/>
      <c r="C9" s="2346"/>
      <c r="D9" s="2346"/>
      <c r="E9" s="2346"/>
      <c r="F9" s="2346"/>
      <c r="G9" s="2347"/>
    </row>
    <row r="10" spans="1:7" ht="15" customHeight="1" x14ac:dyDescent="0.25">
      <c r="A10" s="1510" t="s">
        <v>1820</v>
      </c>
      <c r="B10" s="1511"/>
      <c r="C10" s="1511"/>
      <c r="D10" s="1511"/>
      <c r="E10" s="1511"/>
      <c r="F10" s="1511"/>
      <c r="G10" s="1512"/>
    </row>
    <row r="11" spans="1:7" ht="17.25" customHeight="1" x14ac:dyDescent="0.25">
      <c r="A11" s="2345" t="s">
        <v>1934</v>
      </c>
      <c r="B11" s="2346"/>
      <c r="C11" s="2346"/>
      <c r="D11" s="2346"/>
      <c r="E11" s="2346"/>
      <c r="F11" s="2346"/>
      <c r="G11" s="2347"/>
    </row>
    <row r="12" spans="1:7" ht="15" customHeight="1" x14ac:dyDescent="0.25">
      <c r="A12" s="1510" t="s">
        <v>1825</v>
      </c>
      <c r="B12" s="1511"/>
      <c r="C12" s="1511"/>
      <c r="D12" s="1511"/>
      <c r="E12" s="1511"/>
      <c r="F12" s="1511"/>
      <c r="G12" s="1512"/>
    </row>
    <row r="13" spans="1:7" ht="32.25" customHeight="1" x14ac:dyDescent="0.25">
      <c r="A13" s="2336" t="s">
        <v>1976</v>
      </c>
      <c r="B13" s="2337"/>
      <c r="C13" s="2337"/>
      <c r="D13" s="2337"/>
      <c r="E13" s="2337"/>
      <c r="F13" s="2337"/>
      <c r="G13" s="2338"/>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1903" t="s">
        <v>2091</v>
      </c>
      <c r="B17" s="2556" t="s">
        <v>2131</v>
      </c>
      <c r="C17" s="2008" t="s">
        <v>2101</v>
      </c>
      <c r="D17" s="1817">
        <v>40968</v>
      </c>
      <c r="E17" s="1513">
        <f t="shared" ref="E17:E141" si="0">IF(D17&lt;=25000,D17,IF(D17&gt;25000,25000,0))</f>
        <v>25000</v>
      </c>
      <c r="F17" s="1906">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15968</v>
      </c>
      <c r="H17" s="1620"/>
    </row>
    <row r="18" spans="1:8" x14ac:dyDescent="0.25">
      <c r="A18" s="1626" t="s">
        <v>2092</v>
      </c>
      <c r="B18" s="2556" t="s">
        <v>2132</v>
      </c>
      <c r="C18" s="2008" t="s">
        <v>2102</v>
      </c>
      <c r="D18" s="1817">
        <v>100000</v>
      </c>
      <c r="E18" s="1513">
        <f t="shared" ref="E18:E140" si="2">IF(D18&lt;=25000,D18,IF(D18&gt;25000,25000,0))</f>
        <v>25000</v>
      </c>
      <c r="F18" s="1906">
        <f t="shared" si="1"/>
        <v>25000</v>
      </c>
      <c r="G18" s="1766">
        <f t="shared" ref="G18:G140" si="3">IF(F18=0,0,D18-F18)</f>
        <v>75000</v>
      </c>
    </row>
    <row r="19" spans="1:8" x14ac:dyDescent="0.25">
      <c r="A19" s="1626" t="s">
        <v>2092</v>
      </c>
      <c r="B19" s="2556" t="s">
        <v>2133</v>
      </c>
      <c r="C19" s="2008" t="s">
        <v>2102</v>
      </c>
      <c r="D19" s="1817">
        <v>20000</v>
      </c>
      <c r="E19" s="1513">
        <f t="shared" si="2"/>
        <v>20000</v>
      </c>
      <c r="F19" s="1906">
        <f t="shared" si="1"/>
        <v>20000</v>
      </c>
      <c r="G19" s="1766">
        <f t="shared" si="3"/>
        <v>0</v>
      </c>
    </row>
    <row r="20" spans="1:8" x14ac:dyDescent="0.25">
      <c r="A20" s="1626" t="s">
        <v>2093</v>
      </c>
      <c r="B20" s="2009" t="s">
        <v>2098</v>
      </c>
      <c r="C20" s="2008" t="s">
        <v>2103</v>
      </c>
      <c r="D20" s="1817">
        <v>129927</v>
      </c>
      <c r="E20" s="1513">
        <f t="shared" si="2"/>
        <v>25000</v>
      </c>
      <c r="F20" s="1906">
        <f t="shared" si="1"/>
        <v>25000</v>
      </c>
      <c r="G20" s="1766">
        <f t="shared" si="3"/>
        <v>104927</v>
      </c>
    </row>
    <row r="21" spans="1:8" x14ac:dyDescent="0.25">
      <c r="A21" s="1626" t="s">
        <v>2094</v>
      </c>
      <c r="B21" s="1908" t="s">
        <v>2099</v>
      </c>
      <c r="C21" s="2008" t="s">
        <v>2104</v>
      </c>
      <c r="D21" s="1817">
        <v>270596</v>
      </c>
      <c r="E21" s="1513">
        <f t="shared" si="2"/>
        <v>25000</v>
      </c>
      <c r="F21" s="1906">
        <f t="shared" si="1"/>
        <v>25000</v>
      </c>
      <c r="G21" s="1766">
        <f t="shared" si="3"/>
        <v>245596</v>
      </c>
    </row>
    <row r="22" spans="1:8" x14ac:dyDescent="0.25">
      <c r="A22" s="1626" t="s">
        <v>2094</v>
      </c>
      <c r="B22" s="1908" t="s">
        <v>2099</v>
      </c>
      <c r="C22" s="2008" t="s">
        <v>2105</v>
      </c>
      <c r="D22" s="1817">
        <v>403740</v>
      </c>
      <c r="E22" s="1513">
        <f t="shared" si="2"/>
        <v>25000</v>
      </c>
      <c r="F22" s="1906">
        <f t="shared" si="1"/>
        <v>25000</v>
      </c>
      <c r="G22" s="1766">
        <f t="shared" si="3"/>
        <v>378740</v>
      </c>
    </row>
    <row r="23" spans="1:8" x14ac:dyDescent="0.25">
      <c r="A23" s="1626" t="s">
        <v>2095</v>
      </c>
      <c r="B23" s="1908" t="s">
        <v>2097</v>
      </c>
      <c r="C23" s="2008" t="s">
        <v>2106</v>
      </c>
      <c r="D23" s="1817">
        <v>139946</v>
      </c>
      <c r="E23" s="1513">
        <f t="shared" si="2"/>
        <v>25000</v>
      </c>
      <c r="F23" s="1906">
        <f t="shared" si="1"/>
        <v>0</v>
      </c>
      <c r="G23" s="1766">
        <f t="shared" si="3"/>
        <v>0</v>
      </c>
    </row>
    <row r="24" spans="1:8" x14ac:dyDescent="0.25">
      <c r="A24" s="1626" t="s">
        <v>2096</v>
      </c>
      <c r="B24" s="1908" t="s">
        <v>2100</v>
      </c>
      <c r="C24" s="2008" t="s">
        <v>2108</v>
      </c>
      <c r="D24" s="1817">
        <v>105191</v>
      </c>
      <c r="E24" s="1513">
        <f t="shared" si="2"/>
        <v>25000</v>
      </c>
      <c r="F24" s="1906">
        <f t="shared" si="1"/>
        <v>25000</v>
      </c>
      <c r="G24" s="1766">
        <f t="shared" si="3"/>
        <v>80191</v>
      </c>
    </row>
    <row r="25" spans="1:8" x14ac:dyDescent="0.25">
      <c r="A25" s="2007" t="s">
        <v>2109</v>
      </c>
      <c r="B25" s="1908" t="s">
        <v>2098</v>
      </c>
      <c r="C25" s="2008" t="s">
        <v>2107</v>
      </c>
      <c r="D25" s="1817">
        <v>41050</v>
      </c>
      <c r="E25" s="1513">
        <f t="shared" si="2"/>
        <v>25000</v>
      </c>
      <c r="F25" s="1906">
        <f t="shared" si="1"/>
        <v>25000</v>
      </c>
      <c r="G25" s="1766">
        <f t="shared" si="3"/>
        <v>16050</v>
      </c>
    </row>
    <row r="26" spans="1:8" x14ac:dyDescent="0.25">
      <c r="A26" s="1626"/>
      <c r="B26" s="1908"/>
      <c r="C26" s="1627"/>
      <c r="D26" s="1817"/>
      <c r="E26" s="1513">
        <f t="shared" si="2"/>
        <v>0</v>
      </c>
      <c r="F26" s="1906">
        <f t="shared" si="1"/>
        <v>0</v>
      </c>
      <c r="G26" s="1766">
        <f t="shared" si="3"/>
        <v>0</v>
      </c>
    </row>
    <row r="27" spans="1:8" x14ac:dyDescent="0.25">
      <c r="A27" s="1626"/>
      <c r="B27" s="1908"/>
      <c r="C27" s="1627"/>
      <c r="D27" s="1817"/>
      <c r="E27" s="1513">
        <f t="shared" si="2"/>
        <v>0</v>
      </c>
      <c r="F27" s="1906">
        <f t="shared" si="1"/>
        <v>0</v>
      </c>
      <c r="G27" s="1766">
        <f t="shared" si="3"/>
        <v>0</v>
      </c>
    </row>
    <row r="28" spans="1:8" x14ac:dyDescent="0.25">
      <c r="A28" s="1626"/>
      <c r="B28" s="1908"/>
      <c r="C28" s="1627"/>
      <c r="D28" s="1817"/>
      <c r="E28" s="1513">
        <f t="shared" si="2"/>
        <v>0</v>
      </c>
      <c r="F28" s="1906">
        <f t="shared" si="1"/>
        <v>0</v>
      </c>
      <c r="G28" s="1766">
        <f t="shared" si="3"/>
        <v>0</v>
      </c>
    </row>
    <row r="29" spans="1:8" x14ac:dyDescent="0.25">
      <c r="A29" s="1626"/>
      <c r="B29" s="1908"/>
      <c r="C29" s="1627"/>
      <c r="D29" s="1817"/>
      <c r="E29" s="1513">
        <f t="shared" si="2"/>
        <v>0</v>
      </c>
      <c r="F29" s="1906">
        <f t="shared" si="1"/>
        <v>0</v>
      </c>
      <c r="G29" s="1766">
        <f t="shared" si="3"/>
        <v>0</v>
      </c>
    </row>
    <row r="30" spans="1:8" x14ac:dyDescent="0.25">
      <c r="A30" s="1626"/>
      <c r="B30" s="1908"/>
      <c r="C30" s="1627"/>
      <c r="D30" s="1817"/>
      <c r="E30" s="1513">
        <f t="shared" si="2"/>
        <v>0</v>
      </c>
      <c r="F30" s="1906">
        <f t="shared" si="1"/>
        <v>0</v>
      </c>
      <c r="G30" s="1766">
        <f t="shared" si="3"/>
        <v>0</v>
      </c>
    </row>
    <row r="31" spans="1:8" x14ac:dyDescent="0.25">
      <c r="A31" s="1626"/>
      <c r="B31" s="1908"/>
      <c r="C31" s="1627"/>
      <c r="D31" s="1817"/>
      <c r="E31" s="1513">
        <f t="shared" si="2"/>
        <v>0</v>
      </c>
      <c r="F31" s="1906">
        <f t="shared" si="1"/>
        <v>0</v>
      </c>
      <c r="G31" s="1766">
        <f t="shared" si="3"/>
        <v>0</v>
      </c>
    </row>
    <row r="32" spans="1:8" x14ac:dyDescent="0.25">
      <c r="A32" s="1626"/>
      <c r="B32" s="1908"/>
      <c r="C32" s="1627"/>
      <c r="D32" s="1817"/>
      <c r="E32" s="1513">
        <f t="shared" si="2"/>
        <v>0</v>
      </c>
      <c r="F32" s="1906">
        <f t="shared" si="1"/>
        <v>0</v>
      </c>
      <c r="G32" s="1766">
        <f t="shared" si="3"/>
        <v>0</v>
      </c>
    </row>
    <row r="33" spans="1:7" x14ac:dyDescent="0.25">
      <c r="A33" s="1626"/>
      <c r="B33" s="1908"/>
      <c r="C33" s="1627"/>
      <c r="D33" s="1817"/>
      <c r="E33" s="1513">
        <f t="shared" si="2"/>
        <v>0</v>
      </c>
      <c r="F33" s="1906">
        <f t="shared" si="1"/>
        <v>0</v>
      </c>
      <c r="G33" s="1766">
        <f t="shared" si="3"/>
        <v>0</v>
      </c>
    </row>
    <row r="34" spans="1:7" x14ac:dyDescent="0.25">
      <c r="A34" s="1626"/>
      <c r="B34" s="1908"/>
      <c r="C34" s="1627"/>
      <c r="D34" s="1817"/>
      <c r="E34" s="1513">
        <f t="shared" si="2"/>
        <v>0</v>
      </c>
      <c r="F34" s="1906">
        <f t="shared" si="1"/>
        <v>0</v>
      </c>
      <c r="G34" s="1766">
        <f t="shared" si="3"/>
        <v>0</v>
      </c>
    </row>
    <row r="35" spans="1:7" x14ac:dyDescent="0.25">
      <c r="A35" s="1626"/>
      <c r="B35" s="1908"/>
      <c r="C35" s="1627"/>
      <c r="D35" s="1817"/>
      <c r="E35" s="1513">
        <f t="shared" si="2"/>
        <v>0</v>
      </c>
      <c r="F35" s="1906">
        <f t="shared" si="1"/>
        <v>0</v>
      </c>
      <c r="G35" s="1766">
        <f t="shared" si="3"/>
        <v>0</v>
      </c>
    </row>
    <row r="36" spans="1:7" x14ac:dyDescent="0.25">
      <c r="A36" s="1626"/>
      <c r="B36" s="1908"/>
      <c r="C36" s="1627"/>
      <c r="D36" s="1817"/>
      <c r="E36" s="1513">
        <f t="shared" si="2"/>
        <v>0</v>
      </c>
      <c r="F36" s="1906">
        <f t="shared" si="1"/>
        <v>0</v>
      </c>
      <c r="G36" s="1766">
        <f t="shared" si="3"/>
        <v>0</v>
      </c>
    </row>
    <row r="37" spans="1:7" x14ac:dyDescent="0.25">
      <c r="A37" s="1626"/>
      <c r="B37" s="1908"/>
      <c r="C37" s="1627"/>
      <c r="D37" s="1817"/>
      <c r="E37" s="1513">
        <f t="shared" si="2"/>
        <v>0</v>
      </c>
      <c r="F37" s="1906">
        <f t="shared" si="1"/>
        <v>0</v>
      </c>
      <c r="G37" s="1766">
        <f t="shared" si="3"/>
        <v>0</v>
      </c>
    </row>
    <row r="38" spans="1:7" x14ac:dyDescent="0.25">
      <c r="A38" s="1626"/>
      <c r="B38" s="1909"/>
      <c r="C38" s="1627"/>
      <c r="D38" s="1817"/>
      <c r="E38" s="1513">
        <f t="shared" si="2"/>
        <v>0</v>
      </c>
      <c r="F38" s="1906">
        <f t="shared" si="1"/>
        <v>0</v>
      </c>
      <c r="G38" s="1766">
        <f t="shared" si="3"/>
        <v>0</v>
      </c>
    </row>
    <row r="39" spans="1:7" x14ac:dyDescent="0.25">
      <c r="A39" s="1626"/>
      <c r="B39" s="1909"/>
      <c r="C39" s="1627"/>
      <c r="D39" s="1817"/>
      <c r="E39" s="1513">
        <f t="shared" si="2"/>
        <v>0</v>
      </c>
      <c r="F39" s="1906">
        <f t="shared" si="1"/>
        <v>0</v>
      </c>
      <c r="G39" s="1766">
        <f t="shared" si="3"/>
        <v>0</v>
      </c>
    </row>
    <row r="40" spans="1:7" x14ac:dyDescent="0.25">
      <c r="A40" s="1626"/>
      <c r="B40" s="1909"/>
      <c r="C40" s="1627"/>
      <c r="D40" s="1817"/>
      <c r="E40" s="1513">
        <f t="shared" si="2"/>
        <v>0</v>
      </c>
      <c r="F40" s="1906">
        <f t="shared" si="1"/>
        <v>0</v>
      </c>
      <c r="G40" s="1766">
        <f t="shared" si="3"/>
        <v>0</v>
      </c>
    </row>
    <row r="41" spans="1:7" x14ac:dyDescent="0.25">
      <c r="A41" s="1626"/>
      <c r="B41" s="1909"/>
      <c r="C41" s="1627"/>
      <c r="D41" s="1817"/>
      <c r="E41" s="1513">
        <f t="shared" si="2"/>
        <v>0</v>
      </c>
      <c r="F41" s="1906">
        <f t="shared" si="1"/>
        <v>0</v>
      </c>
      <c r="G41" s="1766">
        <f t="shared" si="3"/>
        <v>0</v>
      </c>
    </row>
    <row r="42" spans="1:7" x14ac:dyDescent="0.25">
      <c r="A42" s="1626"/>
      <c r="B42" s="1909"/>
      <c r="C42" s="1627"/>
      <c r="D42" s="1817"/>
      <c r="E42" s="1513">
        <f t="shared" si="2"/>
        <v>0</v>
      </c>
      <c r="F42" s="1906">
        <f t="shared" si="1"/>
        <v>0</v>
      </c>
      <c r="G42" s="1766">
        <f t="shared" si="3"/>
        <v>0</v>
      </c>
    </row>
    <row r="43" spans="1:7" x14ac:dyDescent="0.25">
      <c r="A43" s="1626"/>
      <c r="B43" s="1909"/>
      <c r="C43" s="1627"/>
      <c r="D43" s="1817"/>
      <c r="E43" s="1513">
        <f t="shared" si="2"/>
        <v>0</v>
      </c>
      <c r="F43" s="1906">
        <f t="shared" si="1"/>
        <v>0</v>
      </c>
      <c r="G43" s="1766">
        <f t="shared" si="3"/>
        <v>0</v>
      </c>
    </row>
    <row r="44" spans="1:7" x14ac:dyDescent="0.25">
      <c r="A44" s="1626"/>
      <c r="B44" s="1909"/>
      <c r="C44" s="1627"/>
      <c r="D44" s="1817"/>
      <c r="E44" s="1513">
        <f t="shared" si="2"/>
        <v>0</v>
      </c>
      <c r="F44" s="1906">
        <f t="shared" si="1"/>
        <v>0</v>
      </c>
      <c r="G44" s="1766">
        <f t="shared" si="3"/>
        <v>0</v>
      </c>
    </row>
    <row r="45" spans="1:7" x14ac:dyDescent="0.25">
      <c r="A45" s="1626"/>
      <c r="B45" s="1909"/>
      <c r="C45" s="1627"/>
      <c r="D45" s="1817"/>
      <c r="E45" s="1513">
        <f t="shared" si="2"/>
        <v>0</v>
      </c>
      <c r="F45" s="1906">
        <f t="shared" si="1"/>
        <v>0</v>
      </c>
      <c r="G45" s="1766">
        <f t="shared" si="3"/>
        <v>0</v>
      </c>
    </row>
    <row r="46" spans="1:7" x14ac:dyDescent="0.25">
      <c r="A46" s="1626"/>
      <c r="B46" s="1640"/>
      <c r="C46" s="1627"/>
      <c r="D46" s="1817"/>
      <c r="E46" s="1513">
        <f t="shared" si="2"/>
        <v>0</v>
      </c>
      <c r="F46" s="1906">
        <f t="shared" si="1"/>
        <v>0</v>
      </c>
      <c r="G46" s="1766">
        <f t="shared" si="3"/>
        <v>0</v>
      </c>
    </row>
    <row r="47" spans="1:7" x14ac:dyDescent="0.25">
      <c r="A47" s="1626"/>
      <c r="B47" s="1640"/>
      <c r="C47" s="1627"/>
      <c r="D47" s="1817"/>
      <c r="E47" s="1513">
        <f t="shared" si="2"/>
        <v>0</v>
      </c>
      <c r="F47" s="1906">
        <f t="shared" si="1"/>
        <v>0</v>
      </c>
      <c r="G47" s="1766">
        <f t="shared" si="3"/>
        <v>0</v>
      </c>
    </row>
    <row r="48" spans="1:7" x14ac:dyDescent="0.25">
      <c r="A48" s="1626"/>
      <c r="B48" s="1640"/>
      <c r="C48" s="1627"/>
      <c r="D48" s="1817"/>
      <c r="E48" s="1513">
        <f t="shared" si="2"/>
        <v>0</v>
      </c>
      <c r="F48" s="1906">
        <f t="shared" si="1"/>
        <v>0</v>
      </c>
      <c r="G48" s="1766">
        <f t="shared" si="3"/>
        <v>0</v>
      </c>
    </row>
    <row r="49" spans="1:7" x14ac:dyDescent="0.25">
      <c r="A49" s="1626"/>
      <c r="B49" s="1640"/>
      <c r="C49" s="1627"/>
      <c r="D49" s="1817"/>
      <c r="E49" s="1513">
        <f t="shared" si="2"/>
        <v>0</v>
      </c>
      <c r="F49" s="1906">
        <f t="shared" si="1"/>
        <v>0</v>
      </c>
      <c r="G49" s="1766">
        <f t="shared" si="3"/>
        <v>0</v>
      </c>
    </row>
    <row r="50" spans="1:7" x14ac:dyDescent="0.25">
      <c r="A50" s="1626"/>
      <c r="B50" s="1640"/>
      <c r="C50" s="1627"/>
      <c r="D50" s="1817"/>
      <c r="E50" s="1513">
        <f t="shared" si="2"/>
        <v>0</v>
      </c>
      <c r="F50" s="1906">
        <f t="shared" si="1"/>
        <v>0</v>
      </c>
      <c r="G50" s="1766">
        <f t="shared" si="3"/>
        <v>0</v>
      </c>
    </row>
    <row r="51" spans="1:7" x14ac:dyDescent="0.25">
      <c r="A51" s="1626"/>
      <c r="B51" s="1640"/>
      <c r="C51" s="1627"/>
      <c r="D51" s="1817"/>
      <c r="E51" s="1513">
        <f t="shared" si="2"/>
        <v>0</v>
      </c>
      <c r="F51" s="1906">
        <f t="shared" si="1"/>
        <v>0</v>
      </c>
      <c r="G51" s="1766">
        <f t="shared" si="3"/>
        <v>0</v>
      </c>
    </row>
    <row r="52" spans="1:7" x14ac:dyDescent="0.25">
      <c r="A52" s="1626"/>
      <c r="B52" s="1640"/>
      <c r="C52" s="1627"/>
      <c r="D52" s="1817"/>
      <c r="E52" s="1513">
        <f t="shared" si="2"/>
        <v>0</v>
      </c>
      <c r="F52" s="1906">
        <f t="shared" si="1"/>
        <v>0</v>
      </c>
      <c r="G52" s="1766">
        <f t="shared" si="3"/>
        <v>0</v>
      </c>
    </row>
    <row r="53" spans="1:7" x14ac:dyDescent="0.25">
      <c r="A53" s="1626"/>
      <c r="B53" s="1640"/>
      <c r="C53" s="1627"/>
      <c r="D53" s="1817"/>
      <c r="E53" s="1513">
        <f t="shared" si="2"/>
        <v>0</v>
      </c>
      <c r="F53" s="1906">
        <f t="shared" si="1"/>
        <v>0</v>
      </c>
      <c r="G53" s="1766">
        <f t="shared" si="3"/>
        <v>0</v>
      </c>
    </row>
    <row r="54" spans="1:7" x14ac:dyDescent="0.25">
      <c r="A54" s="1626"/>
      <c r="B54" s="1640"/>
      <c r="C54" s="1627"/>
      <c r="D54" s="1817"/>
      <c r="E54" s="1513">
        <f t="shared" si="2"/>
        <v>0</v>
      </c>
      <c r="F54" s="1906">
        <f t="shared" si="1"/>
        <v>0</v>
      </c>
      <c r="G54" s="1766">
        <f t="shared" si="3"/>
        <v>0</v>
      </c>
    </row>
    <row r="55" spans="1:7" x14ac:dyDescent="0.25">
      <c r="A55" s="1626"/>
      <c r="B55" s="1640"/>
      <c r="C55" s="1627"/>
      <c r="D55" s="1817"/>
      <c r="E55" s="1513">
        <f t="shared" si="2"/>
        <v>0</v>
      </c>
      <c r="F55" s="1906">
        <f t="shared" si="1"/>
        <v>0</v>
      </c>
      <c r="G55" s="1766">
        <f t="shared" si="3"/>
        <v>0</v>
      </c>
    </row>
    <row r="56" spans="1:7" x14ac:dyDescent="0.25">
      <c r="A56" s="1626"/>
      <c r="B56" s="1640"/>
      <c r="C56" s="1627"/>
      <c r="D56" s="1817"/>
      <c r="E56" s="1513">
        <f t="shared" si="2"/>
        <v>0</v>
      </c>
      <c r="F56" s="1906">
        <f t="shared" si="1"/>
        <v>0</v>
      </c>
      <c r="G56" s="1766">
        <f t="shared" si="3"/>
        <v>0</v>
      </c>
    </row>
    <row r="57" spans="1:7" x14ac:dyDescent="0.25">
      <c r="A57" s="1626"/>
      <c r="B57" s="1640"/>
      <c r="C57" s="1627"/>
      <c r="D57" s="1817"/>
      <c r="E57" s="1513">
        <f t="shared" si="2"/>
        <v>0</v>
      </c>
      <c r="F57" s="1906">
        <f t="shared" si="1"/>
        <v>0</v>
      </c>
      <c r="G57" s="1766">
        <f t="shared" si="3"/>
        <v>0</v>
      </c>
    </row>
    <row r="58" spans="1:7" x14ac:dyDescent="0.25">
      <c r="A58" s="1626"/>
      <c r="B58" s="1640"/>
      <c r="C58" s="1627"/>
      <c r="D58" s="1817"/>
      <c r="E58" s="1513">
        <f t="shared" si="2"/>
        <v>0</v>
      </c>
      <c r="F58" s="1906">
        <f t="shared" si="1"/>
        <v>0</v>
      </c>
      <c r="G58" s="1766">
        <f t="shared" si="3"/>
        <v>0</v>
      </c>
    </row>
    <row r="59" spans="1:7" x14ac:dyDescent="0.25">
      <c r="A59" s="1626"/>
      <c r="B59" s="1640"/>
      <c r="C59" s="1627"/>
      <c r="D59" s="1817"/>
      <c r="E59" s="1513">
        <f t="shared" si="2"/>
        <v>0</v>
      </c>
      <c r="F59" s="1906">
        <f t="shared" si="1"/>
        <v>0</v>
      </c>
      <c r="G59" s="1766">
        <f t="shared" si="3"/>
        <v>0</v>
      </c>
    </row>
    <row r="60" spans="1:7" x14ac:dyDescent="0.25">
      <c r="A60" s="1626"/>
      <c r="B60" s="1640"/>
      <c r="C60" s="1627"/>
      <c r="D60" s="1817"/>
      <c r="E60" s="1513">
        <f t="shared" si="2"/>
        <v>0</v>
      </c>
      <c r="F60" s="1906">
        <f t="shared" si="1"/>
        <v>0</v>
      </c>
      <c r="G60" s="1766">
        <f t="shared" si="3"/>
        <v>0</v>
      </c>
    </row>
    <row r="61" spans="1:7" x14ac:dyDescent="0.25">
      <c r="A61" s="1626"/>
      <c r="B61" s="1640"/>
      <c r="C61" s="1627"/>
      <c r="D61" s="1817"/>
      <c r="E61" s="1513">
        <f t="shared" si="2"/>
        <v>0</v>
      </c>
      <c r="F61" s="1906">
        <f t="shared" si="1"/>
        <v>0</v>
      </c>
      <c r="G61" s="1766">
        <f t="shared" si="3"/>
        <v>0</v>
      </c>
    </row>
    <row r="62" spans="1:7" x14ac:dyDescent="0.25">
      <c r="A62" s="1626"/>
      <c r="B62" s="1640"/>
      <c r="C62" s="1627"/>
      <c r="D62" s="1817"/>
      <c r="E62" s="1513">
        <f t="shared" si="2"/>
        <v>0</v>
      </c>
      <c r="F62" s="1906">
        <f t="shared" si="1"/>
        <v>0</v>
      </c>
      <c r="G62" s="1766">
        <f t="shared" si="3"/>
        <v>0</v>
      </c>
    </row>
    <row r="63" spans="1:7" x14ac:dyDescent="0.25">
      <c r="A63" s="1626"/>
      <c r="B63" s="1640"/>
      <c r="C63" s="1627"/>
      <c r="D63" s="1817"/>
      <c r="E63" s="1513">
        <f t="shared" si="2"/>
        <v>0</v>
      </c>
      <c r="F63" s="1906">
        <f t="shared" si="1"/>
        <v>0</v>
      </c>
      <c r="G63" s="1766">
        <f t="shared" si="3"/>
        <v>0</v>
      </c>
    </row>
    <row r="64" spans="1:7" x14ac:dyDescent="0.25">
      <c r="A64" s="1628"/>
      <c r="B64" s="1640"/>
      <c r="C64" s="1629"/>
      <c r="D64" s="1817"/>
      <c r="E64" s="1513">
        <f t="shared" si="2"/>
        <v>0</v>
      </c>
      <c r="F64" s="1906">
        <f t="shared" si="1"/>
        <v>0</v>
      </c>
      <c r="G64" s="1766">
        <f t="shared" si="3"/>
        <v>0</v>
      </c>
    </row>
    <row r="65" spans="1:7" x14ac:dyDescent="0.25">
      <c r="A65" s="1626"/>
      <c r="B65" s="1640"/>
      <c r="C65" s="1627"/>
      <c r="D65" s="1817"/>
      <c r="E65" s="1513">
        <f t="shared" si="2"/>
        <v>0</v>
      </c>
      <c r="F65" s="1906">
        <f t="shared" si="1"/>
        <v>0</v>
      </c>
      <c r="G65" s="1766">
        <f t="shared" si="3"/>
        <v>0</v>
      </c>
    </row>
    <row r="66" spans="1:7" x14ac:dyDescent="0.25">
      <c r="A66" s="1626"/>
      <c r="B66" s="1640"/>
      <c r="C66" s="1627"/>
      <c r="D66" s="1817"/>
      <c r="E66" s="1513">
        <f t="shared" si="2"/>
        <v>0</v>
      </c>
      <c r="F66" s="1906">
        <f t="shared" si="1"/>
        <v>0</v>
      </c>
      <c r="G66" s="1766">
        <f t="shared" si="3"/>
        <v>0</v>
      </c>
    </row>
    <row r="67" spans="1:7" x14ac:dyDescent="0.25">
      <c r="A67" s="1626"/>
      <c r="B67" s="1640"/>
      <c r="C67" s="1627"/>
      <c r="D67" s="1817"/>
      <c r="E67" s="1513">
        <f t="shared" si="2"/>
        <v>0</v>
      </c>
      <c r="F67" s="1906">
        <f t="shared" si="1"/>
        <v>0</v>
      </c>
      <c r="G67" s="1766">
        <f t="shared" si="3"/>
        <v>0</v>
      </c>
    </row>
    <row r="68" spans="1:7" x14ac:dyDescent="0.25">
      <c r="A68" s="1626"/>
      <c r="B68" s="1640"/>
      <c r="C68" s="1627"/>
      <c r="D68" s="1817"/>
      <c r="E68" s="1513">
        <f t="shared" si="2"/>
        <v>0</v>
      </c>
      <c r="F68" s="1906">
        <f t="shared" si="1"/>
        <v>0</v>
      </c>
      <c r="G68" s="1766">
        <f t="shared" si="3"/>
        <v>0</v>
      </c>
    </row>
    <row r="69" spans="1:7" x14ac:dyDescent="0.25">
      <c r="A69" s="1626"/>
      <c r="B69" s="1640"/>
      <c r="C69" s="1627"/>
      <c r="D69" s="1817"/>
      <c r="E69" s="1513">
        <f t="shared" si="2"/>
        <v>0</v>
      </c>
      <c r="F69" s="1906">
        <f t="shared" si="1"/>
        <v>0</v>
      </c>
      <c r="G69" s="1766">
        <f t="shared" si="3"/>
        <v>0</v>
      </c>
    </row>
    <row r="70" spans="1:7" x14ac:dyDescent="0.25">
      <c r="A70" s="1626"/>
      <c r="B70" s="1640"/>
      <c r="C70" s="1627"/>
      <c r="D70" s="1817"/>
      <c r="E70" s="1513">
        <f t="shared" si="2"/>
        <v>0</v>
      </c>
      <c r="F70" s="1906">
        <f t="shared" si="1"/>
        <v>0</v>
      </c>
      <c r="G70" s="1766">
        <f t="shared" si="3"/>
        <v>0</v>
      </c>
    </row>
    <row r="71" spans="1:7" x14ac:dyDescent="0.25">
      <c r="A71" s="1626"/>
      <c r="B71" s="1640"/>
      <c r="C71" s="1627"/>
      <c r="D71" s="1817"/>
      <c r="E71" s="1513">
        <f t="shared" si="2"/>
        <v>0</v>
      </c>
      <c r="F71" s="1906">
        <f t="shared" si="1"/>
        <v>0</v>
      </c>
      <c r="G71" s="1766">
        <f t="shared" si="3"/>
        <v>0</v>
      </c>
    </row>
    <row r="72" spans="1:7" x14ac:dyDescent="0.25">
      <c r="A72" s="1626"/>
      <c r="B72" s="1640"/>
      <c r="C72" s="1627"/>
      <c r="D72" s="1817"/>
      <c r="E72" s="1513">
        <f t="shared" si="2"/>
        <v>0</v>
      </c>
      <c r="F72" s="1906">
        <f t="shared" si="1"/>
        <v>0</v>
      </c>
      <c r="G72" s="1766">
        <f t="shared" si="3"/>
        <v>0</v>
      </c>
    </row>
    <row r="73" spans="1:7" x14ac:dyDescent="0.25">
      <c r="A73" s="1626"/>
      <c r="B73" s="1640"/>
      <c r="C73" s="1627"/>
      <c r="D73" s="1817"/>
      <c r="E73" s="1513">
        <f t="shared" ref="E73:E84" si="4">IF(D73&lt;=25000,D73,IF(D73&gt;25000,25000,0))</f>
        <v>0</v>
      </c>
      <c r="F73" s="1906">
        <f t="shared" si="1"/>
        <v>0</v>
      </c>
      <c r="G73" s="1766">
        <f t="shared" ref="G73:G84" si="5">IF(F73=0,0,D73-F73)</f>
        <v>0</v>
      </c>
    </row>
    <row r="74" spans="1:7" x14ac:dyDescent="0.25">
      <c r="A74" s="1626"/>
      <c r="B74" s="1640"/>
      <c r="C74" s="1627"/>
      <c r="D74" s="1817"/>
      <c r="E74" s="1513">
        <f t="shared" si="4"/>
        <v>0</v>
      </c>
      <c r="F74" s="1906">
        <f t="shared" si="1"/>
        <v>0</v>
      </c>
      <c r="G74" s="1766">
        <f t="shared" si="5"/>
        <v>0</v>
      </c>
    </row>
    <row r="75" spans="1:7" x14ac:dyDescent="0.25">
      <c r="A75" s="1626"/>
      <c r="B75" s="1640"/>
      <c r="C75" s="1627"/>
      <c r="D75" s="1817"/>
      <c r="E75" s="1513">
        <f t="shared" si="4"/>
        <v>0</v>
      </c>
      <c r="F75" s="1906">
        <f t="shared" si="1"/>
        <v>0</v>
      </c>
      <c r="G75" s="1766">
        <f t="shared" si="5"/>
        <v>0</v>
      </c>
    </row>
    <row r="76" spans="1:7" x14ac:dyDescent="0.25">
      <c r="A76" s="1626"/>
      <c r="B76" s="1640"/>
      <c r="C76" s="1627"/>
      <c r="D76" s="1817"/>
      <c r="E76" s="1513">
        <f t="shared" si="4"/>
        <v>0</v>
      </c>
      <c r="F76" s="1906">
        <f t="shared" si="1"/>
        <v>0</v>
      </c>
      <c r="G76" s="1766">
        <f t="shared" si="5"/>
        <v>0</v>
      </c>
    </row>
    <row r="77" spans="1:7" x14ac:dyDescent="0.25">
      <c r="A77" s="1626"/>
      <c r="B77" s="1640"/>
      <c r="C77" s="1627"/>
      <c r="D77" s="1817"/>
      <c r="E77" s="1513">
        <f t="shared" si="4"/>
        <v>0</v>
      </c>
      <c r="F77" s="1906">
        <f t="shared" si="1"/>
        <v>0</v>
      </c>
      <c r="G77" s="1766">
        <f t="shared" si="5"/>
        <v>0</v>
      </c>
    </row>
    <row r="78" spans="1:7" x14ac:dyDescent="0.25">
      <c r="A78" s="1626"/>
      <c r="B78" s="1640"/>
      <c r="C78" s="1627"/>
      <c r="D78" s="1817"/>
      <c r="E78" s="1513">
        <f t="shared" si="4"/>
        <v>0</v>
      </c>
      <c r="F78" s="1906">
        <f t="shared" si="1"/>
        <v>0</v>
      </c>
      <c r="G78" s="1766">
        <f t="shared" si="5"/>
        <v>0</v>
      </c>
    </row>
    <row r="79" spans="1:7" x14ac:dyDescent="0.25">
      <c r="A79" s="1626"/>
      <c r="B79" s="1640"/>
      <c r="C79" s="1627"/>
      <c r="D79" s="1817"/>
      <c r="E79" s="1513">
        <f t="shared" si="4"/>
        <v>0</v>
      </c>
      <c r="F79" s="1906">
        <f t="shared" si="1"/>
        <v>0</v>
      </c>
      <c r="G79" s="1766">
        <f t="shared" si="5"/>
        <v>0</v>
      </c>
    </row>
    <row r="80" spans="1:7" x14ac:dyDescent="0.25">
      <c r="A80" s="1626"/>
      <c r="B80" s="1640"/>
      <c r="C80" s="1627"/>
      <c r="D80" s="1817"/>
      <c r="E80" s="1513">
        <f t="shared" si="4"/>
        <v>0</v>
      </c>
      <c r="F80" s="1906">
        <f t="shared" si="1"/>
        <v>0</v>
      </c>
      <c r="G80" s="1766">
        <f t="shared" si="5"/>
        <v>0</v>
      </c>
    </row>
    <row r="81" spans="1:7" x14ac:dyDescent="0.25">
      <c r="A81" s="1626"/>
      <c r="B81" s="1640"/>
      <c r="C81" s="1627"/>
      <c r="D81" s="1817"/>
      <c r="E81" s="1513">
        <f t="shared" si="4"/>
        <v>0</v>
      </c>
      <c r="F81" s="1906">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6">
        <f t="shared" si="6"/>
        <v>0</v>
      </c>
      <c r="G82" s="1766">
        <f t="shared" si="5"/>
        <v>0</v>
      </c>
    </row>
    <row r="83" spans="1:7" x14ac:dyDescent="0.25">
      <c r="A83" s="1626"/>
      <c r="B83" s="1640"/>
      <c r="C83" s="1627"/>
      <c r="D83" s="1817"/>
      <c r="E83" s="1513">
        <f t="shared" si="4"/>
        <v>0</v>
      </c>
      <c r="F83" s="1906">
        <f t="shared" si="6"/>
        <v>0</v>
      </c>
      <c r="G83" s="1766">
        <f t="shared" si="5"/>
        <v>0</v>
      </c>
    </row>
    <row r="84" spans="1:7" x14ac:dyDescent="0.25">
      <c r="A84" s="1626"/>
      <c r="B84" s="1640"/>
      <c r="C84" s="1627"/>
      <c r="D84" s="1817"/>
      <c r="E84" s="1513">
        <f t="shared" si="4"/>
        <v>0</v>
      </c>
      <c r="F84" s="1906">
        <f t="shared" si="6"/>
        <v>0</v>
      </c>
      <c r="G84" s="1766">
        <f t="shared" si="5"/>
        <v>0</v>
      </c>
    </row>
    <row r="85" spans="1:7" x14ac:dyDescent="0.25">
      <c r="A85" s="1626"/>
      <c r="B85" s="1640"/>
      <c r="C85" s="1627"/>
      <c r="D85" s="1817"/>
      <c r="E85" s="1513">
        <f t="shared" si="2"/>
        <v>0</v>
      </c>
      <c r="F85" s="1906">
        <f t="shared" si="6"/>
        <v>0</v>
      </c>
      <c r="G85" s="1766">
        <f t="shared" si="3"/>
        <v>0</v>
      </c>
    </row>
    <row r="86" spans="1:7" x14ac:dyDescent="0.25">
      <c r="A86" s="1626"/>
      <c r="B86" s="1640"/>
      <c r="C86" s="1627"/>
      <c r="D86" s="1817"/>
      <c r="E86" s="1513">
        <f t="shared" si="2"/>
        <v>0</v>
      </c>
      <c r="F86" s="1906">
        <f t="shared" si="6"/>
        <v>0</v>
      </c>
      <c r="G86" s="1766">
        <f t="shared" si="3"/>
        <v>0</v>
      </c>
    </row>
    <row r="87" spans="1:7" x14ac:dyDescent="0.25">
      <c r="A87" s="1626"/>
      <c r="B87" s="1640"/>
      <c r="C87" s="1627"/>
      <c r="D87" s="1817"/>
      <c r="E87" s="1513">
        <f t="shared" si="2"/>
        <v>0</v>
      </c>
      <c r="F87" s="1906">
        <f t="shared" si="6"/>
        <v>0</v>
      </c>
      <c r="G87" s="1766">
        <f t="shared" si="3"/>
        <v>0</v>
      </c>
    </row>
    <row r="88" spans="1:7" x14ac:dyDescent="0.25">
      <c r="A88" s="1626"/>
      <c r="B88" s="1640"/>
      <c r="C88" s="1627"/>
      <c r="D88" s="1817"/>
      <c r="E88" s="1513">
        <f t="shared" si="2"/>
        <v>0</v>
      </c>
      <c r="F88" s="1906">
        <f t="shared" si="6"/>
        <v>0</v>
      </c>
      <c r="G88" s="1766">
        <f t="shared" si="3"/>
        <v>0</v>
      </c>
    </row>
    <row r="89" spans="1:7" x14ac:dyDescent="0.25">
      <c r="A89" s="1626"/>
      <c r="B89" s="1640"/>
      <c r="C89" s="1627"/>
      <c r="D89" s="1817"/>
      <c r="E89" s="1513">
        <f t="shared" si="2"/>
        <v>0</v>
      </c>
      <c r="F89" s="1906">
        <f t="shared" si="6"/>
        <v>0</v>
      </c>
      <c r="G89" s="1766">
        <f t="shared" si="3"/>
        <v>0</v>
      </c>
    </row>
    <row r="90" spans="1:7" x14ac:dyDescent="0.25">
      <c r="A90" s="1626"/>
      <c r="B90" s="1640"/>
      <c r="C90" s="1627"/>
      <c r="D90" s="1817"/>
      <c r="E90" s="1513">
        <f t="shared" si="2"/>
        <v>0</v>
      </c>
      <c r="F90" s="1906">
        <f t="shared" si="6"/>
        <v>0</v>
      </c>
      <c r="G90" s="1766">
        <f t="shared" si="3"/>
        <v>0</v>
      </c>
    </row>
    <row r="91" spans="1:7" x14ac:dyDescent="0.25">
      <c r="A91" s="1626"/>
      <c r="B91" s="1640"/>
      <c r="C91" s="1627"/>
      <c r="D91" s="1817"/>
      <c r="E91" s="1513">
        <f t="shared" si="2"/>
        <v>0</v>
      </c>
      <c r="F91" s="1906">
        <f t="shared" si="6"/>
        <v>0</v>
      </c>
      <c r="G91" s="1766">
        <f t="shared" si="3"/>
        <v>0</v>
      </c>
    </row>
    <row r="92" spans="1:7" x14ac:dyDescent="0.25">
      <c r="A92" s="1626"/>
      <c r="B92" s="1640"/>
      <c r="C92" s="1627"/>
      <c r="D92" s="1817"/>
      <c r="E92" s="1513">
        <f t="shared" si="2"/>
        <v>0</v>
      </c>
      <c r="F92" s="1906">
        <f t="shared" si="6"/>
        <v>0</v>
      </c>
      <c r="G92" s="1766">
        <f t="shared" si="3"/>
        <v>0</v>
      </c>
    </row>
    <row r="93" spans="1:7" x14ac:dyDescent="0.25">
      <c r="A93" s="1626"/>
      <c r="B93" s="1640"/>
      <c r="C93" s="1627"/>
      <c r="D93" s="1817"/>
      <c r="E93" s="1513">
        <f t="shared" ref="E93" si="7">IF(D93&lt;=25000,D93,IF(D93&gt;25000,25000,0))</f>
        <v>0</v>
      </c>
      <c r="F93" s="1906">
        <f t="shared" si="6"/>
        <v>0</v>
      </c>
      <c r="G93" s="1766">
        <f t="shared" ref="G93" si="8">IF(F93=0,0,D93-F93)</f>
        <v>0</v>
      </c>
    </row>
    <row r="94" spans="1:7" x14ac:dyDescent="0.25">
      <c r="A94" s="1626"/>
      <c r="B94" s="1640"/>
      <c r="C94" s="1627"/>
      <c r="D94" s="1817"/>
      <c r="E94" s="1513">
        <f t="shared" si="2"/>
        <v>0</v>
      </c>
      <c r="F94" s="1906">
        <f t="shared" si="6"/>
        <v>0</v>
      </c>
      <c r="G94" s="1766">
        <f t="shared" si="3"/>
        <v>0</v>
      </c>
    </row>
    <row r="95" spans="1:7" x14ac:dyDescent="0.25">
      <c r="A95" s="1626"/>
      <c r="B95" s="1640"/>
      <c r="C95" s="1627"/>
      <c r="D95" s="1817"/>
      <c r="E95" s="1513">
        <f t="shared" ref="E95:E98" si="9">IF(D95&lt;=25000,D95,IF(D95&gt;25000,25000,0))</f>
        <v>0</v>
      </c>
      <c r="F95" s="1906">
        <f t="shared" si="6"/>
        <v>0</v>
      </c>
      <c r="G95" s="1766">
        <f t="shared" ref="G95:G98" si="10">IF(F95=0,0,D95-F95)</f>
        <v>0</v>
      </c>
    </row>
    <row r="96" spans="1:7" x14ac:dyDescent="0.25">
      <c r="A96" s="1626"/>
      <c r="B96" s="1640"/>
      <c r="C96" s="1627"/>
      <c r="D96" s="1817"/>
      <c r="E96" s="1513">
        <f t="shared" si="9"/>
        <v>0</v>
      </c>
      <c r="F96" s="1906">
        <f t="shared" si="6"/>
        <v>0</v>
      </c>
      <c r="G96" s="1766">
        <f t="shared" si="10"/>
        <v>0</v>
      </c>
    </row>
    <row r="97" spans="1:7" x14ac:dyDescent="0.25">
      <c r="A97" s="1626"/>
      <c r="B97" s="1640"/>
      <c r="C97" s="1627"/>
      <c r="D97" s="1817"/>
      <c r="E97" s="1513">
        <f t="shared" si="9"/>
        <v>0</v>
      </c>
      <c r="F97" s="1906">
        <f t="shared" si="6"/>
        <v>0</v>
      </c>
      <c r="G97" s="1766">
        <f t="shared" si="10"/>
        <v>0</v>
      </c>
    </row>
    <row r="98" spans="1:7" x14ac:dyDescent="0.25">
      <c r="A98" s="1626"/>
      <c r="B98" s="1640"/>
      <c r="C98" s="1627"/>
      <c r="D98" s="1817"/>
      <c r="E98" s="1513">
        <f t="shared" si="9"/>
        <v>0</v>
      </c>
      <c r="F98" s="1906">
        <f t="shared" si="6"/>
        <v>0</v>
      </c>
      <c r="G98" s="1766">
        <f t="shared" si="10"/>
        <v>0</v>
      </c>
    </row>
    <row r="99" spans="1:7" x14ac:dyDescent="0.25">
      <c r="A99" s="1626"/>
      <c r="B99" s="1640"/>
      <c r="C99" s="1627"/>
      <c r="D99" s="1817"/>
      <c r="E99" s="1513">
        <f t="shared" ref="E99" si="11">IF(D99&lt;=25000,D99,IF(D99&gt;25000,25000,0))</f>
        <v>0</v>
      </c>
      <c r="F99" s="1906">
        <f t="shared" si="6"/>
        <v>0</v>
      </c>
      <c r="G99" s="1766">
        <f t="shared" ref="G99" si="12">IF(F99=0,0,D99-F99)</f>
        <v>0</v>
      </c>
    </row>
    <row r="100" spans="1:7" x14ac:dyDescent="0.25">
      <c r="A100" s="1626"/>
      <c r="B100" s="1640"/>
      <c r="C100" s="1627"/>
      <c r="D100" s="1817"/>
      <c r="E100" s="1513">
        <f t="shared" ref="E100:E112" si="13">IF(D100&lt;=25000,D100,IF(D100&gt;25000,25000,0))</f>
        <v>0</v>
      </c>
      <c r="F100" s="1906">
        <f t="shared" si="6"/>
        <v>0</v>
      </c>
      <c r="G100" s="1766">
        <f t="shared" ref="G100:G112" si="14">IF(F100=0,0,D100-F100)</f>
        <v>0</v>
      </c>
    </row>
    <row r="101" spans="1:7" x14ac:dyDescent="0.25">
      <c r="A101" s="1626"/>
      <c r="B101" s="1640"/>
      <c r="C101" s="1627"/>
      <c r="D101" s="1817"/>
      <c r="E101" s="1513">
        <f t="shared" si="13"/>
        <v>0</v>
      </c>
      <c r="F101" s="1906">
        <f t="shared" si="6"/>
        <v>0</v>
      </c>
      <c r="G101" s="1766">
        <f t="shared" si="14"/>
        <v>0</v>
      </c>
    </row>
    <row r="102" spans="1:7" x14ac:dyDescent="0.25">
      <c r="A102" s="1626"/>
      <c r="B102" s="1640"/>
      <c r="C102" s="1627"/>
      <c r="D102" s="1817"/>
      <c r="E102" s="1513">
        <f t="shared" si="13"/>
        <v>0</v>
      </c>
      <c r="F102" s="1906">
        <f t="shared" si="6"/>
        <v>0</v>
      </c>
      <c r="G102" s="1766">
        <f t="shared" si="14"/>
        <v>0</v>
      </c>
    </row>
    <row r="103" spans="1:7" x14ac:dyDescent="0.25">
      <c r="A103" s="1626"/>
      <c r="B103" s="1640"/>
      <c r="C103" s="1627"/>
      <c r="D103" s="1817"/>
      <c r="E103" s="1513">
        <f t="shared" si="13"/>
        <v>0</v>
      </c>
      <c r="F103" s="1906">
        <f t="shared" si="6"/>
        <v>0</v>
      </c>
      <c r="G103" s="1766">
        <f t="shared" si="14"/>
        <v>0</v>
      </c>
    </row>
    <row r="104" spans="1:7" x14ac:dyDescent="0.25">
      <c r="A104" s="1626"/>
      <c r="B104" s="1640"/>
      <c r="C104" s="1627"/>
      <c r="D104" s="1817"/>
      <c r="E104" s="1513">
        <f t="shared" si="13"/>
        <v>0</v>
      </c>
      <c r="F104" s="1906">
        <f t="shared" si="6"/>
        <v>0</v>
      </c>
      <c r="G104" s="1766">
        <f t="shared" si="14"/>
        <v>0</v>
      </c>
    </row>
    <row r="105" spans="1:7" x14ac:dyDescent="0.25">
      <c r="A105" s="1626"/>
      <c r="B105" s="1640"/>
      <c r="C105" s="1627"/>
      <c r="D105" s="1817"/>
      <c r="E105" s="1513">
        <f t="shared" si="13"/>
        <v>0</v>
      </c>
      <c r="F105" s="1906">
        <f t="shared" si="6"/>
        <v>0</v>
      </c>
      <c r="G105" s="1766">
        <f t="shared" si="14"/>
        <v>0</v>
      </c>
    </row>
    <row r="106" spans="1:7" x14ac:dyDescent="0.25">
      <c r="A106" s="1626"/>
      <c r="B106" s="1640"/>
      <c r="C106" s="1627"/>
      <c r="D106" s="1817"/>
      <c r="E106" s="1513">
        <f t="shared" si="13"/>
        <v>0</v>
      </c>
      <c r="F106" s="1906">
        <f t="shared" si="6"/>
        <v>0</v>
      </c>
      <c r="G106" s="1766">
        <f t="shared" si="14"/>
        <v>0</v>
      </c>
    </row>
    <row r="107" spans="1:7" x14ac:dyDescent="0.25">
      <c r="A107" s="1626"/>
      <c r="B107" s="1640"/>
      <c r="C107" s="1627"/>
      <c r="D107" s="1817"/>
      <c r="E107" s="1513">
        <f t="shared" si="13"/>
        <v>0</v>
      </c>
      <c r="F107" s="1906">
        <f t="shared" si="6"/>
        <v>0</v>
      </c>
      <c r="G107" s="1766">
        <f t="shared" si="14"/>
        <v>0</v>
      </c>
    </row>
    <row r="108" spans="1:7" x14ac:dyDescent="0.25">
      <c r="A108" s="1626"/>
      <c r="B108" s="1640"/>
      <c r="C108" s="1627"/>
      <c r="D108" s="1817"/>
      <c r="E108" s="1513">
        <f t="shared" si="13"/>
        <v>0</v>
      </c>
      <c r="F108" s="1906">
        <f t="shared" si="6"/>
        <v>0</v>
      </c>
      <c r="G108" s="1766">
        <f t="shared" si="14"/>
        <v>0</v>
      </c>
    </row>
    <row r="109" spans="1:7" x14ac:dyDescent="0.25">
      <c r="A109" s="1626"/>
      <c r="B109" s="1640"/>
      <c r="C109" s="1627"/>
      <c r="D109" s="1817"/>
      <c r="E109" s="1513">
        <f t="shared" si="13"/>
        <v>0</v>
      </c>
      <c r="F109" s="1906">
        <f t="shared" si="6"/>
        <v>0</v>
      </c>
      <c r="G109" s="1766">
        <f t="shared" si="14"/>
        <v>0</v>
      </c>
    </row>
    <row r="110" spans="1:7" x14ac:dyDescent="0.25">
      <c r="A110" s="1626"/>
      <c r="B110" s="1640"/>
      <c r="C110" s="1627"/>
      <c r="D110" s="1817"/>
      <c r="E110" s="1513">
        <f t="shared" si="13"/>
        <v>0</v>
      </c>
      <c r="F110" s="1906">
        <f t="shared" si="6"/>
        <v>0</v>
      </c>
      <c r="G110" s="1766">
        <f t="shared" si="14"/>
        <v>0</v>
      </c>
    </row>
    <row r="111" spans="1:7" x14ac:dyDescent="0.25">
      <c r="A111" s="1626"/>
      <c r="B111" s="1640"/>
      <c r="C111" s="1627"/>
      <c r="D111" s="1817"/>
      <c r="E111" s="1513">
        <f t="shared" si="13"/>
        <v>0</v>
      </c>
      <c r="F111" s="1906">
        <f t="shared" si="6"/>
        <v>0</v>
      </c>
      <c r="G111" s="1766">
        <f t="shared" si="14"/>
        <v>0</v>
      </c>
    </row>
    <row r="112" spans="1:7" x14ac:dyDescent="0.25">
      <c r="A112" s="1626"/>
      <c r="B112" s="1640"/>
      <c r="C112" s="1627"/>
      <c r="D112" s="1817"/>
      <c r="E112" s="1513">
        <f t="shared" si="13"/>
        <v>0</v>
      </c>
      <c r="F112" s="1906">
        <f t="shared" si="6"/>
        <v>0</v>
      </c>
      <c r="G112" s="1766">
        <f t="shared" si="14"/>
        <v>0</v>
      </c>
    </row>
    <row r="113" spans="1:7" x14ac:dyDescent="0.25">
      <c r="A113" s="1626"/>
      <c r="B113" s="1640"/>
      <c r="C113" s="1627"/>
      <c r="D113" s="1817"/>
      <c r="E113" s="1513">
        <f t="shared" ref="E113:E125" si="15">IF(D113&lt;=25000,D113,IF(D113&gt;25000,25000,0))</f>
        <v>0</v>
      </c>
      <c r="F113" s="1906">
        <f t="shared" si="6"/>
        <v>0</v>
      </c>
      <c r="G113" s="1766">
        <f t="shared" ref="G113:G125" si="16">IF(F113=0,0,D113-F113)</f>
        <v>0</v>
      </c>
    </row>
    <row r="114" spans="1:7" x14ac:dyDescent="0.25">
      <c r="A114" s="1626"/>
      <c r="B114" s="1640"/>
      <c r="C114" s="1627"/>
      <c r="D114" s="1817"/>
      <c r="E114" s="1513">
        <f t="shared" si="15"/>
        <v>0</v>
      </c>
      <c r="F114" s="1906">
        <f t="shared" si="6"/>
        <v>0</v>
      </c>
      <c r="G114" s="1766">
        <f t="shared" si="16"/>
        <v>0</v>
      </c>
    </row>
    <row r="115" spans="1:7" x14ac:dyDescent="0.25">
      <c r="A115" s="1626"/>
      <c r="B115" s="1640"/>
      <c r="C115" s="1627"/>
      <c r="D115" s="1817"/>
      <c r="E115" s="1513">
        <f t="shared" si="15"/>
        <v>0</v>
      </c>
      <c r="F115" s="1906">
        <f t="shared" si="6"/>
        <v>0</v>
      </c>
      <c r="G115" s="1766">
        <f t="shared" si="16"/>
        <v>0</v>
      </c>
    </row>
    <row r="116" spans="1:7" x14ac:dyDescent="0.25">
      <c r="A116" s="1626"/>
      <c r="B116" s="1640"/>
      <c r="C116" s="1627"/>
      <c r="D116" s="1817"/>
      <c r="E116" s="1513">
        <f t="shared" si="15"/>
        <v>0</v>
      </c>
      <c r="F116" s="1906">
        <f t="shared" si="6"/>
        <v>0</v>
      </c>
      <c r="G116" s="1766">
        <f t="shared" si="16"/>
        <v>0</v>
      </c>
    </row>
    <row r="117" spans="1:7" x14ac:dyDescent="0.25">
      <c r="A117" s="1626"/>
      <c r="B117" s="1640"/>
      <c r="C117" s="1627"/>
      <c r="D117" s="1817"/>
      <c r="E117" s="1513">
        <f t="shared" si="15"/>
        <v>0</v>
      </c>
      <c r="F117" s="1906">
        <f t="shared" si="6"/>
        <v>0</v>
      </c>
      <c r="G117" s="1766">
        <f t="shared" si="16"/>
        <v>0</v>
      </c>
    </row>
    <row r="118" spans="1:7" x14ac:dyDescent="0.25">
      <c r="A118" s="1626"/>
      <c r="B118" s="1640"/>
      <c r="C118" s="1627"/>
      <c r="D118" s="1817"/>
      <c r="E118" s="1513">
        <f t="shared" si="15"/>
        <v>0</v>
      </c>
      <c r="F118" s="1906">
        <f t="shared" si="6"/>
        <v>0</v>
      </c>
      <c r="G118" s="1766">
        <f t="shared" si="16"/>
        <v>0</v>
      </c>
    </row>
    <row r="119" spans="1:7" x14ac:dyDescent="0.25">
      <c r="A119" s="1626"/>
      <c r="B119" s="1640"/>
      <c r="C119" s="1627"/>
      <c r="D119" s="1817"/>
      <c r="E119" s="1513">
        <f t="shared" si="15"/>
        <v>0</v>
      </c>
      <c r="F119" s="1906">
        <f t="shared" si="6"/>
        <v>0</v>
      </c>
      <c r="G119" s="1766">
        <f t="shared" si="16"/>
        <v>0</v>
      </c>
    </row>
    <row r="120" spans="1:7" x14ac:dyDescent="0.25">
      <c r="A120" s="1626"/>
      <c r="B120" s="1640"/>
      <c r="C120" s="1627"/>
      <c r="D120" s="1817"/>
      <c r="E120" s="1513">
        <f t="shared" si="15"/>
        <v>0</v>
      </c>
      <c r="F120" s="1906">
        <f t="shared" si="6"/>
        <v>0</v>
      </c>
      <c r="G120" s="1766">
        <f t="shared" si="16"/>
        <v>0</v>
      </c>
    </row>
    <row r="121" spans="1:7" x14ac:dyDescent="0.25">
      <c r="A121" s="1626"/>
      <c r="B121" s="1640"/>
      <c r="C121" s="1627"/>
      <c r="D121" s="1817"/>
      <c r="E121" s="1513">
        <f t="shared" si="15"/>
        <v>0</v>
      </c>
      <c r="F121" s="1906">
        <f t="shared" si="6"/>
        <v>0</v>
      </c>
      <c r="G121" s="1766">
        <f t="shared" si="16"/>
        <v>0</v>
      </c>
    </row>
    <row r="122" spans="1:7" x14ac:dyDescent="0.25">
      <c r="A122" s="1626"/>
      <c r="B122" s="1640"/>
      <c r="C122" s="1627"/>
      <c r="D122" s="1817"/>
      <c r="E122" s="1513">
        <f t="shared" si="15"/>
        <v>0</v>
      </c>
      <c r="F122" s="1906">
        <f t="shared" si="6"/>
        <v>0</v>
      </c>
      <c r="G122" s="1766">
        <f t="shared" si="16"/>
        <v>0</v>
      </c>
    </row>
    <row r="123" spans="1:7" x14ac:dyDescent="0.25">
      <c r="A123" s="1626"/>
      <c r="B123" s="1640"/>
      <c r="C123" s="1627"/>
      <c r="D123" s="1817"/>
      <c r="E123" s="1513">
        <f t="shared" si="15"/>
        <v>0</v>
      </c>
      <c r="F123" s="1906">
        <f t="shared" si="6"/>
        <v>0</v>
      </c>
      <c r="G123" s="1766">
        <f t="shared" si="16"/>
        <v>0</v>
      </c>
    </row>
    <row r="124" spans="1:7" x14ac:dyDescent="0.25">
      <c r="A124" s="1626"/>
      <c r="B124" s="1640"/>
      <c r="C124" s="1627"/>
      <c r="D124" s="1817"/>
      <c r="E124" s="1513">
        <f t="shared" si="15"/>
        <v>0</v>
      </c>
      <c r="F124" s="1906">
        <f t="shared" si="6"/>
        <v>0</v>
      </c>
      <c r="G124" s="1766">
        <f t="shared" si="16"/>
        <v>0</v>
      </c>
    </row>
    <row r="125" spans="1:7" x14ac:dyDescent="0.25">
      <c r="A125" s="1626"/>
      <c r="B125" s="1640"/>
      <c r="C125" s="1627"/>
      <c r="D125" s="1817"/>
      <c r="E125" s="1513">
        <f t="shared" si="15"/>
        <v>0</v>
      </c>
      <c r="F125" s="1906">
        <f t="shared" si="6"/>
        <v>0</v>
      </c>
      <c r="G125" s="1766">
        <f t="shared" si="16"/>
        <v>0</v>
      </c>
    </row>
    <row r="126" spans="1:7" x14ac:dyDescent="0.25">
      <c r="A126" s="1626"/>
      <c r="B126" s="1640"/>
      <c r="C126" s="1627"/>
      <c r="D126" s="1817"/>
      <c r="E126" s="1513">
        <f t="shared" ref="E126:E134" si="17">IF(D126&lt;=25000,D126,IF(D126&gt;25000,25000,0))</f>
        <v>0</v>
      </c>
      <c r="F126" s="1906">
        <f t="shared" si="6"/>
        <v>0</v>
      </c>
      <c r="G126" s="1766">
        <f t="shared" ref="G126:G134" si="18">IF(F126=0,0,D126-F126)</f>
        <v>0</v>
      </c>
    </row>
    <row r="127" spans="1:7" x14ac:dyDescent="0.25">
      <c r="A127" s="1626"/>
      <c r="B127" s="1640"/>
      <c r="C127" s="1627"/>
      <c r="D127" s="1817"/>
      <c r="E127" s="1513">
        <f t="shared" si="17"/>
        <v>0</v>
      </c>
      <c r="F127" s="1906">
        <f t="shared" si="6"/>
        <v>0</v>
      </c>
      <c r="G127" s="1766">
        <f t="shared" si="18"/>
        <v>0</v>
      </c>
    </row>
    <row r="128" spans="1:7" x14ac:dyDescent="0.25">
      <c r="A128" s="1626"/>
      <c r="B128" s="1640"/>
      <c r="C128" s="1627"/>
      <c r="D128" s="1817"/>
      <c r="E128" s="1513">
        <f t="shared" si="17"/>
        <v>0</v>
      </c>
      <c r="F128" s="1906">
        <f t="shared" si="6"/>
        <v>0</v>
      </c>
      <c r="G128" s="1766">
        <f t="shared" si="18"/>
        <v>0</v>
      </c>
    </row>
    <row r="129" spans="1:7" x14ac:dyDescent="0.25">
      <c r="A129" s="1626"/>
      <c r="B129" s="1640"/>
      <c r="C129" s="1627"/>
      <c r="D129" s="1817"/>
      <c r="E129" s="1513">
        <f t="shared" si="17"/>
        <v>0</v>
      </c>
      <c r="F129" s="1906">
        <f t="shared" si="6"/>
        <v>0</v>
      </c>
      <c r="G129" s="1766">
        <f t="shared" si="18"/>
        <v>0</v>
      </c>
    </row>
    <row r="130" spans="1:7" x14ac:dyDescent="0.25">
      <c r="A130" s="1626"/>
      <c r="B130" s="1640"/>
      <c r="C130" s="1627"/>
      <c r="D130" s="1817"/>
      <c r="E130" s="1513">
        <f t="shared" si="17"/>
        <v>0</v>
      </c>
      <c r="F130" s="1906">
        <f t="shared" si="6"/>
        <v>0</v>
      </c>
      <c r="G130" s="1766">
        <f t="shared" si="18"/>
        <v>0</v>
      </c>
    </row>
    <row r="131" spans="1:7" x14ac:dyDescent="0.25">
      <c r="A131" s="1626"/>
      <c r="B131" s="1810"/>
      <c r="C131" s="1627"/>
      <c r="D131" s="1817"/>
      <c r="E131" s="1513">
        <f t="shared" si="17"/>
        <v>0</v>
      </c>
      <c r="F131" s="1906">
        <f t="shared" si="6"/>
        <v>0</v>
      </c>
      <c r="G131" s="1766">
        <f t="shared" si="18"/>
        <v>0</v>
      </c>
    </row>
    <row r="132" spans="1:7" x14ac:dyDescent="0.25">
      <c r="A132" s="1626"/>
      <c r="B132" s="1810"/>
      <c r="C132" s="1627"/>
      <c r="D132" s="1817"/>
      <c r="E132" s="1513">
        <f t="shared" si="17"/>
        <v>0</v>
      </c>
      <c r="F132" s="1906">
        <f t="shared" si="6"/>
        <v>0</v>
      </c>
      <c r="G132" s="1766">
        <f t="shared" si="18"/>
        <v>0</v>
      </c>
    </row>
    <row r="133" spans="1:7" x14ac:dyDescent="0.25">
      <c r="A133" s="1626"/>
      <c r="B133" s="1640"/>
      <c r="C133" s="1627"/>
      <c r="D133" s="1817"/>
      <c r="E133" s="1513">
        <f t="shared" si="17"/>
        <v>0</v>
      </c>
      <c r="F133" s="1906">
        <f t="shared" si="6"/>
        <v>0</v>
      </c>
      <c r="G133" s="1766">
        <f t="shared" si="18"/>
        <v>0</v>
      </c>
    </row>
    <row r="134" spans="1:7" x14ac:dyDescent="0.25">
      <c r="A134" s="1626"/>
      <c r="B134" s="1640"/>
      <c r="C134" s="1627"/>
      <c r="D134" s="1817"/>
      <c r="E134" s="1513">
        <f t="shared" si="17"/>
        <v>0</v>
      </c>
      <c r="F134" s="1906">
        <f t="shared" si="6"/>
        <v>0</v>
      </c>
      <c r="G134" s="1766">
        <f t="shared" si="18"/>
        <v>0</v>
      </c>
    </row>
    <row r="135" spans="1:7" x14ac:dyDescent="0.25">
      <c r="A135" s="1626"/>
      <c r="B135" s="1640"/>
      <c r="C135" s="1627"/>
      <c r="D135" s="1817"/>
      <c r="E135" s="1513">
        <f t="shared" ref="E135:E139" si="19">IF(D135&lt;=25000,D135,IF(D135&gt;25000,25000,0))</f>
        <v>0</v>
      </c>
      <c r="F135" s="1906">
        <f t="shared" si="6"/>
        <v>0</v>
      </c>
      <c r="G135" s="1766">
        <f t="shared" ref="G135:G139" si="20">IF(F135=0,0,D135-F135)</f>
        <v>0</v>
      </c>
    </row>
    <row r="136" spans="1:7" x14ac:dyDescent="0.25">
      <c r="A136" s="1626"/>
      <c r="B136" s="1640"/>
      <c r="C136" s="1627"/>
      <c r="D136" s="1817"/>
      <c r="E136" s="1513">
        <f t="shared" si="19"/>
        <v>0</v>
      </c>
      <c r="F136" s="1906">
        <f t="shared" si="6"/>
        <v>0</v>
      </c>
      <c r="G136" s="1766">
        <f t="shared" si="20"/>
        <v>0</v>
      </c>
    </row>
    <row r="137" spans="1:7" x14ac:dyDescent="0.25">
      <c r="A137" s="1626"/>
      <c r="B137" s="1640"/>
      <c r="C137" s="1627"/>
      <c r="D137" s="1817"/>
      <c r="E137" s="1513">
        <f t="shared" si="19"/>
        <v>0</v>
      </c>
      <c r="F137" s="1906">
        <f t="shared" si="6"/>
        <v>0</v>
      </c>
      <c r="G137" s="1766">
        <f t="shared" si="20"/>
        <v>0</v>
      </c>
    </row>
    <row r="138" spans="1:7" x14ac:dyDescent="0.25">
      <c r="A138" s="1626"/>
      <c r="B138" s="1640"/>
      <c r="C138" s="1627"/>
      <c r="D138" s="1817"/>
      <c r="E138" s="1513">
        <f t="shared" si="19"/>
        <v>0</v>
      </c>
      <c r="F138" s="1906">
        <f t="shared" si="6"/>
        <v>0</v>
      </c>
      <c r="G138" s="1766">
        <f t="shared" si="20"/>
        <v>0</v>
      </c>
    </row>
    <row r="139" spans="1:7" x14ac:dyDescent="0.25">
      <c r="A139" s="1626"/>
      <c r="B139" s="1640"/>
      <c r="C139" s="1627"/>
      <c r="D139" s="1817"/>
      <c r="E139" s="1513">
        <f t="shared" si="19"/>
        <v>0</v>
      </c>
      <c r="F139" s="1906">
        <f t="shared" si="6"/>
        <v>0</v>
      </c>
      <c r="G139" s="1766">
        <f t="shared" si="20"/>
        <v>0</v>
      </c>
    </row>
    <row r="140" spans="1:7" x14ac:dyDescent="0.25">
      <c r="A140" s="1626"/>
      <c r="B140" s="1639"/>
      <c r="C140" s="1627"/>
      <c r="D140" s="1817"/>
      <c r="E140" s="1513">
        <f t="shared" si="2"/>
        <v>0</v>
      </c>
      <c r="F140" s="1906">
        <f t="shared" si="6"/>
        <v>0</v>
      </c>
      <c r="G140" s="1766">
        <f t="shared" si="3"/>
        <v>0</v>
      </c>
    </row>
    <row r="141" spans="1:7" x14ac:dyDescent="0.25">
      <c r="A141" s="1769" t="s">
        <v>156</v>
      </c>
      <c r="B141" s="1770"/>
      <c r="C141" s="1771"/>
      <c r="D141" s="1767">
        <f>SUM(D17:D140)</f>
        <v>1251418</v>
      </c>
      <c r="E141" s="1514">
        <f t="shared" si="0"/>
        <v>25000</v>
      </c>
      <c r="F141" s="1907">
        <f>SUM(F17:F140)</f>
        <v>195000</v>
      </c>
      <c r="G141" s="1768">
        <f>SUM(G17:G140)</f>
        <v>916472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7" colorId="8" zoomScale="110" zoomScaleNormal="110" workbookViewId="0">
      <selection activeCell="G11" sqref="G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1" t="s">
        <v>1679</v>
      </c>
      <c r="B5" s="2352"/>
      <c r="C5" s="2352"/>
      <c r="D5" s="2352"/>
      <c r="E5" s="2352"/>
      <c r="F5" s="2352"/>
      <c r="G5" s="2353"/>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v>107421</v>
      </c>
      <c r="F10" s="947"/>
      <c r="G10" s="948"/>
      <c r="H10" s="162"/>
      <c r="I10" s="162"/>
    </row>
    <row r="11" spans="1:9" s="643" customFormat="1" ht="22.5" customHeight="1" x14ac:dyDescent="0.2">
      <c r="A11" s="2356" t="s">
        <v>1977</v>
      </c>
      <c r="B11" s="2357"/>
      <c r="C11" s="2357"/>
      <c r="D11" s="2358"/>
      <c r="E11" s="950">
        <v>8320</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2428994</v>
      </c>
      <c r="F19" s="1772"/>
      <c r="G19" s="1774">
        <f>'Expenditures 15-22'!K33-SUM('Expenditures 15-22'!G33,'Expenditures 15-22'!I33)+'Expenditures 15-22'!D229</f>
        <v>2428994</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424438</v>
      </c>
      <c r="F21" s="1775"/>
      <c r="G21" s="1778">
        <f>'Expenditures 15-22'!K42-SUM('Expenditures 15-22'!G42,'Expenditures 15-22'!I42)+'Expenditures 15-22'!K120-SUM('Expenditures 15-22'!G120,'Expenditures 15-22'!I120)+'Expenditures 15-22'!K180-SUM('Expenditures 15-22'!G180,'Expenditures 15-22'!I180)+'Expenditures 15-22'!D238</f>
        <v>424438</v>
      </c>
      <c r="H21" s="960"/>
      <c r="I21" s="162"/>
    </row>
    <row r="22" spans="1:9" s="643" customFormat="1" ht="12" customHeight="1" x14ac:dyDescent="0.2">
      <c r="A22" s="967" t="s">
        <v>564</v>
      </c>
      <c r="B22" s="968"/>
      <c r="C22" s="966">
        <v>2200</v>
      </c>
      <c r="D22" s="1775"/>
      <c r="E22" s="1777">
        <f>'Expenditures 15-22'!K47-SUM('Expenditures 15-22'!G47,'Expenditures 15-22'!I47)+'Expenditures 15-22'!D243</f>
        <v>215444</v>
      </c>
      <c r="F22" s="1775"/>
      <c r="G22" s="1778">
        <f>'Expenditures 15-22'!K47-SUM('Expenditures 15-22'!G47,'Expenditures 15-22'!I47)+'Expenditures 15-22'!D243</f>
        <v>215444</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245713</v>
      </c>
      <c r="F23" s="1775"/>
      <c r="G23" s="1777">
        <f>'Expenditures 15-22'!K53-SUM('Expenditures 15-22'!G53,'Expenditures 15-22'!I53)+'Expenditures 15-22'!D257+'Expenditures 15-22'!K330-SUM('Expenditures 15-22'!G330,'Expenditures 15-22'!I330)</f>
        <v>245713</v>
      </c>
      <c r="H23" s="960"/>
      <c r="I23" s="162"/>
    </row>
    <row r="24" spans="1:9" s="643" customFormat="1" ht="12" customHeight="1" x14ac:dyDescent="0.2">
      <c r="A24" s="967" t="s">
        <v>566</v>
      </c>
      <c r="B24" s="968"/>
      <c r="C24" s="966">
        <v>2400</v>
      </c>
      <c r="D24" s="1775"/>
      <c r="E24" s="1777">
        <f>'Expenditures 15-22'!K57-SUM('Expenditures 15-22'!G57,'Expenditures 15-22'!I57)+'Expenditures 15-22'!D261</f>
        <v>285274</v>
      </c>
      <c r="F24" s="1775"/>
      <c r="G24" s="1778">
        <f>'Expenditures 15-22'!K57-SUM('Expenditures 15-22'!G57,'Expenditures 15-22'!I57)+'Expenditures 15-22'!D261</f>
        <v>285274</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0</v>
      </c>
      <c r="E26" s="1777">
        <f>'Expenditures 15-22'!K122-SUM('Expenditures 15-22'!G122,'Expenditures 15-22'!I122)+E7</f>
        <v>0</v>
      </c>
      <c r="F26" s="1777">
        <f>'Expenditures 15-22'!K59-SUM('Expenditures 15-22'!G59,'Expenditures 15-22'!I59)+'Expenditures 15-22'!D263-E7</f>
        <v>0</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113220</v>
      </c>
      <c r="E27" s="1777">
        <f>E8</f>
        <v>0</v>
      </c>
      <c r="F27" s="1777">
        <f>'Expenditures 15-22'!K60-SUM('Expenditures 15-22'!G60,'Expenditures 15-22'!I60)+'Expenditures 15-22'!D264-E8</f>
        <v>113220</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577358</v>
      </c>
      <c r="F28" s="1779">
        <f>'Expenditures 15-22'!K61-SUM('Expenditures 15-22'!G61,'Expenditures 15-22'!I61)+'Expenditures 15-22'!K124-SUM('Expenditures 15-22'!G124,'Expenditures 15-22'!I124)+'Expenditures 15-22'!D266-E9</f>
        <v>577358</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695607</v>
      </c>
      <c r="F29" s="1775"/>
      <c r="G29" s="1778">
        <f>'Expenditures 15-22'!K62-SUM('Expenditures 15-22'!G62,'Expenditures 15-22'!I62)+'Expenditures 15-22'!K125-SUM('Expenditures 15-22'!G125,'Expenditures 15-22'!I125)+'Expenditures 15-22'!K182-SUM('Expenditures 15-22'!G182,'Expenditures 15-22'!I182)+'Expenditures 15-22'!D267</f>
        <v>695607</v>
      </c>
      <c r="H29" s="958"/>
    </row>
    <row r="30" spans="1:9" ht="12" customHeight="1" x14ac:dyDescent="0.2">
      <c r="A30" s="967" t="s">
        <v>100</v>
      </c>
      <c r="B30" s="970"/>
      <c r="C30" s="966">
        <v>2560</v>
      </c>
      <c r="D30" s="1775"/>
      <c r="E30" s="1777">
        <f>'Expenditures 15-22'!K63-SUM('Expenditures 15-22'!G63,'Expenditures 15-22'!I63)+'Expenditures 15-22'!D268-E10</f>
        <v>112018</v>
      </c>
      <c r="F30" s="1775"/>
      <c r="G30" s="1777">
        <f>'Expenditures 15-22'!K63-SUM('Expenditures 15-22'!G63,'Expenditures 15-22'!I63)+'Expenditures 15-22'!D268-E10</f>
        <v>112018</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0</v>
      </c>
      <c r="E37" s="1777">
        <f>E14</f>
        <v>0</v>
      </c>
      <c r="F37" s="1777">
        <f>'Expenditures 15-22'!K71-SUM('Expenditures 15-22'!G71,'Expenditures 15-22'!I71)+'Expenditures 15-22'!D276-E14</f>
        <v>0</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402</v>
      </c>
      <c r="F38" s="1775"/>
      <c r="G38" s="1777">
        <f>'Expenditures 15-22'!K73-SUM('Expenditures 15-22'!G73,'Expenditures 15-22'!I73)+'Expenditures 15-22'!K128-SUM('Expenditures 15-22'!G128,'Expenditures 15-22'!I128)+'Expenditures 15-22'!K183-SUM('Expenditures 15-22'!G183,'Expenditures 15-22'!I183)+'Expenditures 15-22'!D278</f>
        <v>402</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1823</v>
      </c>
      <c r="B40" s="964"/>
      <c r="C40" s="966"/>
      <c r="D40" s="1775"/>
      <c r="E40" s="1779">
        <f>-'Contracts Paid in CY 29'!G141</f>
        <v>-916472</v>
      </c>
      <c r="F40" s="1775"/>
      <c r="G40" s="1779">
        <f>-'Contracts Paid in CY 29'!G141</f>
        <v>-916472</v>
      </c>
    </row>
    <row r="41" spans="1:7" ht="12" customHeight="1" x14ac:dyDescent="0.2">
      <c r="A41" s="971" t="s">
        <v>156</v>
      </c>
      <c r="B41" s="972"/>
      <c r="C41" s="973"/>
      <c r="D41" s="1779">
        <f>SUM(D19:D39)</f>
        <v>113220</v>
      </c>
      <c r="E41" s="1779">
        <f>SUM(E19:E40)</f>
        <v>4068776</v>
      </c>
      <c r="F41" s="1779">
        <f>SUM(F19:F39)</f>
        <v>690578</v>
      </c>
      <c r="G41" s="1779">
        <f>SUM(G19:G40)</f>
        <v>3491418</v>
      </c>
    </row>
    <row r="42" spans="1:7" x14ac:dyDescent="0.2">
      <c r="A42" s="960"/>
      <c r="B42" s="162"/>
      <c r="C42" s="974"/>
      <c r="D42" s="2354" t="s">
        <v>522</v>
      </c>
      <c r="E42" s="2355"/>
      <c r="F42" s="975" t="s">
        <v>523</v>
      </c>
      <c r="G42" s="976"/>
    </row>
    <row r="43" spans="1:7" ht="12" customHeight="1" x14ac:dyDescent="0.2">
      <c r="A43" s="960"/>
      <c r="B43" s="162"/>
      <c r="C43" s="974"/>
      <c r="D43" s="1780" t="s">
        <v>473</v>
      </c>
      <c r="E43" s="1781">
        <f>D41</f>
        <v>113220</v>
      </c>
      <c r="F43" s="1780" t="s">
        <v>473</v>
      </c>
      <c r="G43" s="1781">
        <f>F41</f>
        <v>690578</v>
      </c>
    </row>
    <row r="44" spans="1:7" ht="12" customHeight="1" x14ac:dyDescent="0.2">
      <c r="A44" s="960"/>
      <c r="B44" s="162"/>
      <c r="C44" s="974"/>
      <c r="D44" s="1780" t="s">
        <v>474</v>
      </c>
      <c r="E44" s="1781">
        <f>E41</f>
        <v>4068776</v>
      </c>
      <c r="F44" s="1780" t="s">
        <v>474</v>
      </c>
      <c r="G44" s="1781">
        <f>G41</f>
        <v>3491418</v>
      </c>
    </row>
    <row r="45" spans="1:7" ht="12" customHeight="1" x14ac:dyDescent="0.2">
      <c r="A45" s="960"/>
      <c r="B45" s="162"/>
      <c r="C45" s="162"/>
      <c r="D45" s="1782" t="s">
        <v>1006</v>
      </c>
      <c r="E45" s="1783">
        <f>(E43/E44)</f>
        <v>2.7826550294240825E-2</v>
      </c>
      <c r="F45" s="1782" t="s">
        <v>1006</v>
      </c>
      <c r="G45" s="1783">
        <f>(G43/G44)</f>
        <v>0.19779298840757537</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8" activePane="bottomLeft" state="frozen"/>
      <selection activeCell="AF22" sqref="AF22"/>
      <selection pane="bottomLeft" activeCell="F17" sqref="F17"/>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62" t="s">
        <v>1379</v>
      </c>
      <c r="B1" s="2362"/>
      <c r="C1" s="2362"/>
      <c r="D1" s="2362"/>
      <c r="E1" s="2362"/>
      <c r="F1" s="2362"/>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63" t="s">
        <v>1546</v>
      </c>
      <c r="B5" s="2364"/>
      <c r="C5" s="2365"/>
      <c r="D5" s="2365"/>
      <c r="E5" s="2365"/>
      <c r="F5" s="2365"/>
    </row>
    <row r="6" spans="1:10" ht="12" customHeight="1" x14ac:dyDescent="0.25">
      <c r="A6" s="1823"/>
      <c r="B6" s="1824"/>
      <c r="C6" s="2366" t="str">
        <f>COVER!A17</f>
        <v>Harrison SD 36</v>
      </c>
      <c r="D6" s="2366"/>
      <c r="E6" s="2366"/>
      <c r="F6" s="1825"/>
    </row>
    <row r="7" spans="1:10" ht="11.25" customHeight="1" thickBot="1" x14ac:dyDescent="0.3">
      <c r="A7" s="1823"/>
      <c r="B7" s="1824"/>
      <c r="C7" s="2367">
        <f>COVER!A13</f>
        <v>44063036002</v>
      </c>
      <c r="D7" s="2367"/>
      <c r="E7" s="2367"/>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t="s">
        <v>2080</v>
      </c>
      <c r="D12" s="1838" t="s">
        <v>2080</v>
      </c>
      <c r="E12" s="1841"/>
      <c r="F12" s="1840" t="s">
        <v>2081</v>
      </c>
      <c r="H12" s="1851">
        <f t="shared" ref="H12:H33" si="0">IF(C12="X",5,0)</f>
        <v>5</v>
      </c>
      <c r="I12" s="1851">
        <f t="shared" ref="I12:I33" si="1">IF(D12="X",5,0)</f>
        <v>5</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t="s">
        <v>2080</v>
      </c>
      <c r="D14" s="1838" t="s">
        <v>2080</v>
      </c>
      <c r="E14" s="1841"/>
      <c r="F14" s="1840" t="s">
        <v>2117</v>
      </c>
      <c r="H14" s="1851">
        <f t="shared" si="0"/>
        <v>5</v>
      </c>
      <c r="I14" s="1851">
        <f t="shared" si="1"/>
        <v>5</v>
      </c>
      <c r="J14" s="1851">
        <f t="shared" si="2"/>
        <v>0</v>
      </c>
    </row>
    <row r="15" spans="1:10" ht="12" customHeight="1" x14ac:dyDescent="0.2">
      <c r="A15" s="1836" t="s">
        <v>1387</v>
      </c>
      <c r="B15" s="1837"/>
      <c r="C15" s="1838" t="s">
        <v>2080</v>
      </c>
      <c r="D15" s="1838" t="s">
        <v>2080</v>
      </c>
      <c r="E15" s="1841"/>
      <c r="F15" s="1840" t="s">
        <v>2082</v>
      </c>
      <c r="H15" s="1851">
        <f t="shared" si="0"/>
        <v>5</v>
      </c>
      <c r="I15" s="1851">
        <f t="shared" si="1"/>
        <v>5</v>
      </c>
      <c r="J15" s="1851">
        <f t="shared" si="2"/>
        <v>0</v>
      </c>
    </row>
    <row r="16" spans="1:10" ht="12" customHeight="1" x14ac:dyDescent="0.2">
      <c r="A16" s="1836" t="s">
        <v>1388</v>
      </c>
      <c r="B16" s="1837"/>
      <c r="C16" s="1838" t="s">
        <v>2080</v>
      </c>
      <c r="D16" s="1838" t="s">
        <v>2080</v>
      </c>
      <c r="E16" s="1841"/>
      <c r="F16" s="1840" t="s">
        <v>2127</v>
      </c>
      <c r="H16" s="1851">
        <f t="shared" si="0"/>
        <v>5</v>
      </c>
      <c r="I16" s="1851">
        <f t="shared" si="1"/>
        <v>5</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t="s">
        <v>2080</v>
      </c>
      <c r="D18" s="1838" t="s">
        <v>2080</v>
      </c>
      <c r="E18" s="1841"/>
      <c r="F18" s="1840" t="s">
        <v>2083</v>
      </c>
      <c r="H18" s="1851">
        <f t="shared" si="0"/>
        <v>5</v>
      </c>
      <c r="I18" s="1851">
        <f t="shared" si="1"/>
        <v>5</v>
      </c>
      <c r="J18" s="1851">
        <f t="shared" si="2"/>
        <v>0</v>
      </c>
    </row>
    <row r="19" spans="1:12" ht="12" customHeight="1" x14ac:dyDescent="0.2">
      <c r="A19" s="1836" t="s">
        <v>1527</v>
      </c>
      <c r="B19" s="1837"/>
      <c r="C19" s="1838" t="s">
        <v>2080</v>
      </c>
      <c r="D19" s="1838" t="s">
        <v>2080</v>
      </c>
      <c r="E19" s="1841"/>
      <c r="F19" s="1840" t="s">
        <v>2084</v>
      </c>
      <c r="H19" s="1851">
        <f t="shared" si="0"/>
        <v>5</v>
      </c>
      <c r="I19" s="1851">
        <f t="shared" si="1"/>
        <v>5</v>
      </c>
      <c r="J19" s="1851">
        <f t="shared" si="2"/>
        <v>0</v>
      </c>
    </row>
    <row r="20" spans="1:12" ht="12" customHeight="1" x14ac:dyDescent="0.2">
      <c r="A20" s="1836" t="s">
        <v>1528</v>
      </c>
      <c r="B20" s="1837"/>
      <c r="C20" s="1838" t="s">
        <v>2080</v>
      </c>
      <c r="D20" s="1838" t="s">
        <v>2080</v>
      </c>
      <c r="E20" s="1841"/>
      <c r="F20" s="1840" t="s">
        <v>2085</v>
      </c>
      <c r="H20" s="1851">
        <f t="shared" si="0"/>
        <v>5</v>
      </c>
      <c r="I20" s="1851">
        <f t="shared" si="1"/>
        <v>5</v>
      </c>
      <c r="J20" s="1851">
        <f t="shared" si="2"/>
        <v>0</v>
      </c>
    </row>
    <row r="21" spans="1:12" ht="12" customHeight="1" x14ac:dyDescent="0.2">
      <c r="A21" s="1836" t="s">
        <v>1529</v>
      </c>
      <c r="B21" s="1837"/>
      <c r="C21" s="1838" t="s">
        <v>2080</v>
      </c>
      <c r="D21" s="1838" t="s">
        <v>2080</v>
      </c>
      <c r="E21" s="1841"/>
      <c r="F21" s="1840" t="s">
        <v>2086</v>
      </c>
      <c r="H21" s="1851">
        <f t="shared" si="0"/>
        <v>5</v>
      </c>
      <c r="I21" s="1851">
        <f t="shared" si="1"/>
        <v>5</v>
      </c>
      <c r="J21" s="1851">
        <f t="shared" si="2"/>
        <v>0</v>
      </c>
    </row>
    <row r="22" spans="1:12" ht="12" customHeight="1" x14ac:dyDescent="0.2">
      <c r="A22" s="1836" t="s">
        <v>1530</v>
      </c>
      <c r="B22" s="1837"/>
      <c r="C22" s="1838" t="s">
        <v>2080</v>
      </c>
      <c r="D22" s="1838" t="s">
        <v>2080</v>
      </c>
      <c r="E22" s="1841"/>
      <c r="F22" s="1840" t="s">
        <v>2087</v>
      </c>
      <c r="H22" s="1851">
        <f t="shared" si="0"/>
        <v>5</v>
      </c>
      <c r="I22" s="1851">
        <f t="shared" si="1"/>
        <v>5</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c r="D25" s="1838"/>
      <c r="E25" s="1841"/>
      <c r="F25" s="1840"/>
      <c r="H25" s="1851">
        <f t="shared" si="0"/>
        <v>0</v>
      </c>
      <c r="I25" s="1851">
        <f t="shared" si="1"/>
        <v>0</v>
      </c>
      <c r="J25" s="1851">
        <f t="shared" si="2"/>
        <v>0</v>
      </c>
    </row>
    <row r="26" spans="1:12" ht="12" customHeight="1" x14ac:dyDescent="0.2">
      <c r="A26" s="1836" t="s">
        <v>1534</v>
      </c>
      <c r="B26" s="1837"/>
      <c r="C26" s="1838" t="s">
        <v>2080</v>
      </c>
      <c r="D26" s="1838" t="s">
        <v>2080</v>
      </c>
      <c r="E26" s="1841"/>
      <c r="F26" s="1840" t="s">
        <v>2088</v>
      </c>
      <c r="H26" s="1851">
        <f t="shared" si="0"/>
        <v>5</v>
      </c>
      <c r="I26" s="1851">
        <f t="shared" si="1"/>
        <v>5</v>
      </c>
      <c r="J26" s="1851">
        <f t="shared" si="2"/>
        <v>0</v>
      </c>
    </row>
    <row r="27" spans="1:12" ht="18.75" x14ac:dyDescent="0.2">
      <c r="A27" s="1836" t="s">
        <v>1535</v>
      </c>
      <c r="B27" s="1837"/>
      <c r="C27" s="1838" t="s">
        <v>2080</v>
      </c>
      <c r="D27" s="1838" t="s">
        <v>2080</v>
      </c>
      <c r="E27" s="1841"/>
      <c r="F27" s="1840" t="s">
        <v>2089</v>
      </c>
      <c r="H27" s="1851">
        <f t="shared" si="0"/>
        <v>5</v>
      </c>
      <c r="I27" s="1851">
        <f t="shared" si="1"/>
        <v>5</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t="s">
        <v>2080</v>
      </c>
      <c r="D29" s="1838" t="s">
        <v>2080</v>
      </c>
      <c r="E29" s="1841"/>
      <c r="F29" s="1840" t="s">
        <v>2090</v>
      </c>
      <c r="H29" s="1851">
        <f t="shared" si="0"/>
        <v>5</v>
      </c>
      <c r="I29" s="1851">
        <f t="shared" si="1"/>
        <v>5</v>
      </c>
      <c r="J29" s="1851">
        <f t="shared" si="2"/>
        <v>0</v>
      </c>
    </row>
    <row r="30" spans="1:12" ht="12" customHeight="1" x14ac:dyDescent="0.2">
      <c r="A30" s="1836" t="s">
        <v>1538</v>
      </c>
      <c r="B30" s="1837"/>
      <c r="C30" s="1838" t="s">
        <v>2080</v>
      </c>
      <c r="D30" s="1838" t="s">
        <v>2080</v>
      </c>
      <c r="E30" s="1841"/>
      <c r="F30" s="1840" t="s">
        <v>2118</v>
      </c>
      <c r="H30" s="1851">
        <f t="shared" si="0"/>
        <v>5</v>
      </c>
      <c r="I30" s="1851">
        <f t="shared" si="1"/>
        <v>5</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65</v>
      </c>
      <c r="I34" s="1851">
        <f>SUM(I11:I32)</f>
        <v>65</v>
      </c>
      <c r="J34" s="1851">
        <f>SUM(J11:J32)</f>
        <v>0</v>
      </c>
      <c r="K34" s="1851">
        <f>SUM(H34:J34)</f>
        <v>130</v>
      </c>
    </row>
    <row r="35" spans="1:11" ht="12" customHeight="1" x14ac:dyDescent="0.2">
      <c r="A35" s="1844" t="s">
        <v>1392</v>
      </c>
      <c r="B35" s="1845"/>
      <c r="C35" s="2368"/>
      <c r="D35" s="2368"/>
      <c r="E35" s="2368"/>
      <c r="F35" s="2369"/>
    </row>
    <row r="36" spans="1:11" ht="12" customHeight="1" x14ac:dyDescent="0.2">
      <c r="A36" s="2359"/>
      <c r="B36" s="2360"/>
      <c r="C36" s="2360"/>
      <c r="D36" s="2360"/>
      <c r="E36" s="2360"/>
      <c r="F36" s="2361"/>
    </row>
    <row r="37" spans="1:11" ht="12" customHeight="1" x14ac:dyDescent="0.2">
      <c r="A37" s="2359"/>
      <c r="B37" s="2360"/>
      <c r="C37" s="2360"/>
      <c r="D37" s="2360"/>
      <c r="E37" s="2360"/>
      <c r="F37" s="2361"/>
    </row>
    <row r="38" spans="1:11" ht="12" customHeight="1" x14ac:dyDescent="0.2">
      <c r="A38" s="2373"/>
      <c r="B38" s="2374"/>
      <c r="C38" s="2374"/>
      <c r="D38" s="2374"/>
      <c r="E38" s="2374"/>
      <c r="F38" s="2375"/>
    </row>
    <row r="39" spans="1:11" ht="4.5" hidden="1" customHeight="1" x14ac:dyDescent="0.2">
      <c r="A39" s="1846"/>
      <c r="B39" s="1846"/>
      <c r="C39" s="1846"/>
      <c r="D39" s="1846"/>
      <c r="E39" s="1846"/>
      <c r="F39" s="1846"/>
    </row>
    <row r="40" spans="1:11" s="1843" customFormat="1" ht="12" customHeight="1" x14ac:dyDescent="0.25">
      <c r="A40" s="1847" t="s">
        <v>1391</v>
      </c>
      <c r="B40" s="1848"/>
      <c r="C40" s="2376"/>
      <c r="D40" s="2376"/>
      <c r="E40" s="2376"/>
      <c r="F40" s="2377"/>
      <c r="H40" s="1852"/>
      <c r="I40" s="1852"/>
      <c r="J40" s="1852"/>
      <c r="K40" s="1852"/>
    </row>
    <row r="41" spans="1:11" s="1843" customFormat="1" ht="12" customHeight="1" x14ac:dyDescent="0.25">
      <c r="A41" s="2378"/>
      <c r="B41" s="2379"/>
      <c r="C41" s="2379"/>
      <c r="D41" s="2379"/>
      <c r="E41" s="2379"/>
      <c r="F41" s="2380"/>
      <c r="H41" s="1852"/>
      <c r="I41" s="1852"/>
      <c r="J41" s="1852"/>
      <c r="K41" s="1852"/>
    </row>
    <row r="42" spans="1:11" s="1843" customFormat="1" ht="12" customHeight="1" x14ac:dyDescent="0.25">
      <c r="A42" s="2378"/>
      <c r="B42" s="2379"/>
      <c r="C42" s="2379"/>
      <c r="D42" s="2379"/>
      <c r="E42" s="2379"/>
      <c r="F42" s="2380"/>
      <c r="H42" s="1852"/>
      <c r="I42" s="1852"/>
      <c r="J42" s="1852"/>
      <c r="K42" s="1852"/>
    </row>
    <row r="43" spans="1:11" s="1843" customFormat="1" ht="15" x14ac:dyDescent="0.25">
      <c r="A43" s="2370"/>
      <c r="B43" s="2371"/>
      <c r="C43" s="2371"/>
      <c r="D43" s="2371"/>
      <c r="E43" s="2371"/>
      <c r="F43" s="2372"/>
      <c r="H43" s="1852"/>
      <c r="I43" s="1852"/>
      <c r="J43" s="1852"/>
      <c r="K43" s="1852"/>
    </row>
    <row r="44" spans="1:11" s="1843" customFormat="1" ht="12" hidden="1" customHeight="1" x14ac:dyDescent="0.25">
      <c r="A44" s="2370"/>
      <c r="B44" s="2371"/>
      <c r="C44" s="2371"/>
      <c r="D44" s="2371"/>
      <c r="E44" s="2371"/>
      <c r="F44" s="2372"/>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topLeftCell="A4" colorId="8" zoomScale="110" zoomScaleNormal="110" workbookViewId="0">
      <selection activeCell="J29" sqref="J29"/>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6" t="str">
        <f>COVER!A17</f>
        <v>Harrison SD 36</v>
      </c>
      <c r="J6" s="2387"/>
      <c r="Q6" s="1637"/>
    </row>
    <row r="7" spans="1:17" x14ac:dyDescent="0.2">
      <c r="A7" s="2388" t="s">
        <v>869</v>
      </c>
      <c r="B7" s="2389"/>
      <c r="C7" s="2389"/>
      <c r="D7" s="2389"/>
      <c r="E7" s="2390"/>
      <c r="F7" s="990"/>
      <c r="G7" s="982"/>
      <c r="H7" s="989" t="s">
        <v>372</v>
      </c>
      <c r="I7" s="2391">
        <f>COVER!A13</f>
        <v>44063036002</v>
      </c>
      <c r="J7" s="2391"/>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2" t="s">
        <v>481</v>
      </c>
      <c r="B11" s="2393"/>
      <c r="C11" s="2394"/>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140097</v>
      </c>
      <c r="F12" s="1012"/>
      <c r="G12" s="1784">
        <f t="shared" ref="G12:G18" si="0">SUM(E12:F12)</f>
        <v>140097</v>
      </c>
      <c r="H12" s="1013">
        <v>146611</v>
      </c>
      <c r="I12" s="1012"/>
      <c r="J12" s="1784">
        <f t="shared" ref="J12:J18" si="1">SUM(H12:I12)</f>
        <v>146611</v>
      </c>
    </row>
    <row r="13" spans="1:17" ht="15" customHeight="1" x14ac:dyDescent="0.2">
      <c r="A13" s="1008">
        <v>2</v>
      </c>
      <c r="B13" s="1009" t="s">
        <v>42</v>
      </c>
      <c r="C13" s="1010"/>
      <c r="D13" s="1011">
        <v>2330</v>
      </c>
      <c r="E13" s="1784">
        <f>'Expenditures 15-22'!K51</f>
        <v>0</v>
      </c>
      <c r="F13" s="1012"/>
      <c r="G13" s="1784">
        <f t="shared" si="0"/>
        <v>0</v>
      </c>
      <c r="H13" s="1013"/>
      <c r="I13" s="1012"/>
      <c r="J13" s="1784">
        <f t="shared" si="1"/>
        <v>0</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1068</v>
      </c>
      <c r="C15" s="1010"/>
      <c r="D15" s="1011">
        <v>2510</v>
      </c>
      <c r="E15" s="1784">
        <f>'Expenditures 15-22'!K59</f>
        <v>0</v>
      </c>
      <c r="F15" s="1784">
        <f>'Expenditures 15-22'!K122</f>
        <v>0</v>
      </c>
      <c r="G15" s="1784">
        <f t="shared" si="0"/>
        <v>0</v>
      </c>
      <c r="H15" s="1013"/>
      <c r="I15" s="1013"/>
      <c r="J15" s="1784">
        <f t="shared" si="1"/>
        <v>0</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5" t="s">
        <v>7</v>
      </c>
      <c r="C18" s="2396"/>
      <c r="D18" s="2397"/>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140097</v>
      </c>
      <c r="F19" s="1786">
        <f t="shared" si="2"/>
        <v>0</v>
      </c>
      <c r="G19" s="1786">
        <f t="shared" si="2"/>
        <v>140097</v>
      </c>
      <c r="H19" s="1786">
        <f t="shared" si="2"/>
        <v>146611</v>
      </c>
      <c r="I19" s="1786">
        <f t="shared" si="2"/>
        <v>0</v>
      </c>
      <c r="J19" s="1786">
        <f t="shared" si="2"/>
        <v>146611</v>
      </c>
    </row>
    <row r="20" spans="1:10" ht="13.5" thickTop="1" x14ac:dyDescent="0.2">
      <c r="A20" s="1008">
        <v>9</v>
      </c>
      <c r="B20" s="2398" t="s">
        <v>1981</v>
      </c>
      <c r="C20" s="2398"/>
      <c r="D20" s="2399"/>
      <c r="E20" s="1019"/>
      <c r="F20" s="1019"/>
      <c r="G20" s="1019"/>
      <c r="H20" s="1019"/>
      <c r="I20" s="1019"/>
      <c r="J20" s="1787">
        <f>IF(AND(G19&gt;0,J19&gt;0),(((J19-G19)/G19)),"Enter Budget Data")</f>
        <v>4.6496356096133395E-2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4"/>
      <c r="D26" s="2404"/>
      <c r="E26" s="1023"/>
      <c r="F26" s="2403"/>
      <c r="G26" s="2403"/>
    </row>
    <row r="27" spans="1:10" x14ac:dyDescent="0.2">
      <c r="B27" s="1020"/>
      <c r="C27" s="1024" t="s">
        <v>1033</v>
      </c>
      <c r="D27" s="1025"/>
      <c r="E27" s="1026"/>
      <c r="F27" s="2400" t="s">
        <v>1509</v>
      </c>
      <c r="G27" s="2400"/>
    </row>
    <row r="28" spans="1:10" ht="28.5" customHeight="1" x14ac:dyDescent="0.2">
      <c r="B28" s="1020"/>
      <c r="C28" s="2402"/>
      <c r="D28" s="2402"/>
      <c r="E28" s="1027"/>
      <c r="F28" s="2402"/>
      <c r="G28" s="2402"/>
    </row>
    <row r="29" spans="1:10" x14ac:dyDescent="0.2">
      <c r="B29" s="1020"/>
      <c r="C29" s="1028" t="s">
        <v>1561</v>
      </c>
      <c r="E29" s="1029"/>
      <c r="F29" s="2401" t="s">
        <v>1510</v>
      </c>
      <c r="G29" s="2401"/>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3" t="s">
        <v>132</v>
      </c>
      <c r="D33" s="2384"/>
      <c r="E33" s="2384"/>
      <c r="F33" s="2384"/>
      <c r="G33" s="2384"/>
      <c r="H33" s="2384"/>
      <c r="I33" s="2384"/>
    </row>
    <row r="34" spans="1:10" ht="10.35" customHeight="1" x14ac:dyDescent="0.2">
      <c r="C34" s="2384"/>
      <c r="D34" s="2384"/>
      <c r="E34" s="2384"/>
      <c r="F34" s="2384"/>
      <c r="G34" s="2384"/>
      <c r="H34" s="2384"/>
      <c r="I34" s="2384"/>
    </row>
    <row r="35" spans="1:10" ht="7.5" customHeight="1" x14ac:dyDescent="0.2">
      <c r="C35" s="1035"/>
    </row>
    <row r="36" spans="1:10" ht="13.5" customHeight="1" x14ac:dyDescent="0.2">
      <c r="B36" s="1034"/>
      <c r="C36" s="2385" t="s">
        <v>1983</v>
      </c>
      <c r="D36" s="2384"/>
      <c r="E36" s="2384"/>
      <c r="F36" s="2384"/>
      <c r="G36" s="2384"/>
      <c r="H36" s="2384"/>
      <c r="I36" s="2384"/>
      <c r="J36" s="1036"/>
    </row>
    <row r="37" spans="1:10" ht="22.5" customHeight="1" x14ac:dyDescent="0.2">
      <c r="C37" s="2384"/>
      <c r="D37" s="2384"/>
      <c r="E37" s="2384"/>
      <c r="F37" s="2384"/>
      <c r="G37" s="2384"/>
      <c r="H37" s="2384"/>
      <c r="I37" s="2384"/>
      <c r="J37" s="1036"/>
    </row>
    <row r="38" spans="1:10" ht="7.5" customHeight="1" x14ac:dyDescent="0.2">
      <c r="C38" s="1035"/>
      <c r="D38" s="1037"/>
      <c r="E38" s="1038"/>
      <c r="F38" s="1039"/>
      <c r="G38" s="1038"/>
    </row>
    <row r="39" spans="1:10" ht="13.5" customHeight="1" x14ac:dyDescent="0.2">
      <c r="B39" s="1034"/>
      <c r="C39" s="2381" t="s">
        <v>882</v>
      </c>
      <c r="D39" s="2382"/>
      <c r="E39" s="2382"/>
      <c r="F39" s="2382"/>
      <c r="G39" s="2382"/>
      <c r="H39" s="2382"/>
      <c r="I39" s="2382"/>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C65"/>
  <sheetViews>
    <sheetView showGridLines="0" zoomScale="110" zoomScaleNormal="110" workbookViewId="0">
      <selection activeCell="C20" sqref="C20"/>
    </sheetView>
  </sheetViews>
  <sheetFormatPr defaultRowHeight="12.75" x14ac:dyDescent="0.2"/>
  <cols>
    <col min="1" max="1" width="3" style="329" customWidth="1"/>
    <col min="2" max="2" width="55" style="329" customWidth="1"/>
    <col min="3" max="3" width="46" style="329" customWidth="1"/>
    <col min="4" max="16384" width="9.140625" style="329"/>
  </cols>
  <sheetData>
    <row r="2" spans="1:3" x14ac:dyDescent="0.2">
      <c r="A2" s="389" t="s">
        <v>258</v>
      </c>
    </row>
    <row r="3" spans="1:3" x14ac:dyDescent="0.2">
      <c r="A3" s="329" t="s">
        <v>259</v>
      </c>
    </row>
    <row r="5" spans="1:3" x14ac:dyDescent="0.2">
      <c r="A5" s="1041">
        <v>1</v>
      </c>
      <c r="B5" s="329" t="s">
        <v>2110</v>
      </c>
      <c r="C5" s="329" t="s">
        <v>2119</v>
      </c>
    </row>
    <row r="6" spans="1:3" x14ac:dyDescent="0.2">
      <c r="A6" s="1041">
        <v>2</v>
      </c>
      <c r="B6" s="329" t="s">
        <v>2111</v>
      </c>
      <c r="C6" s="329" t="s">
        <v>2120</v>
      </c>
    </row>
    <row r="7" spans="1:3" x14ac:dyDescent="0.2">
      <c r="A7" s="1041">
        <v>3</v>
      </c>
      <c r="B7" s="329" t="s">
        <v>2112</v>
      </c>
      <c r="C7" s="329" t="s">
        <v>2121</v>
      </c>
    </row>
    <row r="8" spans="1:3" x14ac:dyDescent="0.2">
      <c r="A8" s="1041">
        <v>4</v>
      </c>
      <c r="B8" s="329" t="s">
        <v>2116</v>
      </c>
      <c r="C8" s="329" t="s">
        <v>2122</v>
      </c>
    </row>
    <row r="9" spans="1:3" x14ac:dyDescent="0.2">
      <c r="A9" s="1041">
        <v>5</v>
      </c>
      <c r="B9" s="329" t="s">
        <v>2113</v>
      </c>
      <c r="C9" s="329" t="s">
        <v>2124</v>
      </c>
    </row>
    <row r="10" spans="1:3" x14ac:dyDescent="0.2">
      <c r="A10" s="1041">
        <v>6</v>
      </c>
      <c r="B10" s="329" t="s">
        <v>2114</v>
      </c>
      <c r="C10" s="329" t="s">
        <v>2125</v>
      </c>
    </row>
    <row r="11" spans="1:3" x14ac:dyDescent="0.2">
      <c r="A11" s="1041">
        <v>7</v>
      </c>
      <c r="B11" s="329" t="s">
        <v>2115</v>
      </c>
      <c r="C11" s="329" t="s">
        <v>2123</v>
      </c>
    </row>
    <row r="12" spans="1:3" x14ac:dyDescent="0.2">
      <c r="A12" s="1042"/>
    </row>
    <row r="13" spans="1:3" x14ac:dyDescent="0.2">
      <c r="A13" s="1042" t="s">
        <v>2128</v>
      </c>
    </row>
    <row r="14" spans="1:3" x14ac:dyDescent="0.2">
      <c r="A14" s="1042"/>
    </row>
    <row r="15" spans="1:3" x14ac:dyDescent="0.2">
      <c r="A15" s="1041">
        <v>5</v>
      </c>
      <c r="B15" s="329" t="s">
        <v>2129</v>
      </c>
    </row>
    <row r="16" spans="1:3" x14ac:dyDescent="0.2">
      <c r="A16" s="1042"/>
      <c r="B16" s="329" t="s">
        <v>2130</v>
      </c>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Harrison SD 36</v>
      </c>
    </row>
    <row r="65" spans="2:2" x14ac:dyDescent="0.2">
      <c r="B65" s="1043">
        <f>COVER!A13</f>
        <v>44063036002</v>
      </c>
    </row>
  </sheetData>
  <phoneticPr fontId="1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36" sqref="C3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5" t="s">
        <v>1685</v>
      </c>
      <c r="B18" s="2405"/>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238125</xdr:colOff>
                <xdr:row>2</xdr:row>
                <xdr:rowOff>9525</xdr:rowOff>
              </from>
              <to>
                <xdr:col>1</xdr:col>
                <xdr:colOff>1152525</xdr:colOff>
                <xdr:row>6</xdr:row>
                <xdr:rowOff>47625</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11" sqref="C1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6" t="s">
        <v>1690</v>
      </c>
      <c r="B1" s="2407"/>
      <c r="C1" s="2407"/>
      <c r="D1" s="2407"/>
      <c r="E1" s="2407"/>
      <c r="F1" s="2408"/>
    </row>
    <row r="2" spans="1:8" ht="45" customHeight="1" x14ac:dyDescent="0.2">
      <c r="A2" s="2416" t="s">
        <v>1987</v>
      </c>
      <c r="B2" s="2417"/>
      <c r="C2" s="2417"/>
      <c r="D2" s="2417"/>
      <c r="E2" s="2417"/>
      <c r="F2" s="2418"/>
      <c r="G2" s="1047"/>
      <c r="H2" s="1047"/>
    </row>
    <row r="3" spans="1:8" ht="57" customHeight="1" x14ac:dyDescent="0.2">
      <c r="A3" s="2419" t="s">
        <v>1686</v>
      </c>
      <c r="B3" s="2420"/>
      <c r="C3" s="2420"/>
      <c r="D3" s="2420"/>
      <c r="E3" s="2420"/>
      <c r="F3" s="2421"/>
      <c r="G3" s="1047"/>
      <c r="H3" s="1047"/>
    </row>
    <row r="4" spans="1:8" ht="14.25" customHeight="1" x14ac:dyDescent="0.2">
      <c r="A4" s="2425" t="s">
        <v>1988</v>
      </c>
      <c r="B4" s="2426"/>
      <c r="C4" s="2426"/>
      <c r="D4" s="2426"/>
      <c r="E4" s="2426"/>
      <c r="F4" s="2427"/>
      <c r="G4" s="1047"/>
      <c r="H4" s="1047"/>
    </row>
    <row r="5" spans="1:8" ht="14.25" customHeight="1" x14ac:dyDescent="0.2">
      <c r="A5" s="2428" t="s">
        <v>1984</v>
      </c>
      <c r="B5" s="2429"/>
      <c r="C5" s="2429"/>
      <c r="D5" s="2429"/>
      <c r="E5" s="2429"/>
      <c r="F5" s="2430"/>
      <c r="G5" s="1047"/>
      <c r="H5" s="1047"/>
    </row>
    <row r="6" spans="1:8" s="1048" customFormat="1" ht="41.25" customHeight="1" x14ac:dyDescent="0.2">
      <c r="A6" s="2422" t="s">
        <v>1691</v>
      </c>
      <c r="B6" s="2423"/>
      <c r="C6" s="2423"/>
      <c r="D6" s="2423"/>
      <c r="E6" s="2423"/>
      <c r="F6" s="2424"/>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4484528</v>
      </c>
      <c r="C8" s="1788">
        <f>'Acct Summary 7-8'!D8</f>
        <v>339480</v>
      </c>
      <c r="D8" s="1788">
        <f>'Acct Summary 7-8'!F8</f>
        <v>705501</v>
      </c>
      <c r="E8" s="1788">
        <f>'Acct Summary 7-8'!I8</f>
        <v>14011</v>
      </c>
      <c r="F8" s="1788">
        <f>SUM(B8:E8)</f>
        <v>5543520</v>
      </c>
    </row>
    <row r="9" spans="1:8" s="1052" customFormat="1" ht="14.25" customHeight="1" thickBot="1" x14ac:dyDescent="0.25">
      <c r="A9" s="1051" t="s">
        <v>1369</v>
      </c>
      <c r="B9" s="1789">
        <f>'Acct Summary 7-8'!C17</f>
        <v>4325735</v>
      </c>
      <c r="C9" s="1789">
        <f>'Acct Summary 7-8'!D17</f>
        <v>638535</v>
      </c>
      <c r="D9" s="1789">
        <f>'Acct Summary 7-8'!F17</f>
        <v>695479</v>
      </c>
      <c r="E9" s="1788"/>
      <c r="F9" s="1788">
        <f>SUM(B9:E9)</f>
        <v>5659749</v>
      </c>
    </row>
    <row r="10" spans="1:8" s="1052" customFormat="1" ht="14.25" thickTop="1" thickBot="1" x14ac:dyDescent="0.25">
      <c r="A10" s="1053" t="s">
        <v>1370</v>
      </c>
      <c r="B10" s="1790">
        <f>(B8-B9)</f>
        <v>158793</v>
      </c>
      <c r="C10" s="1790">
        <f>(C8-C9)</f>
        <v>-299055</v>
      </c>
      <c r="D10" s="1790">
        <f>(D8-D9)</f>
        <v>10022</v>
      </c>
      <c r="E10" s="1789">
        <f>(E8-E9)</f>
        <v>14011</v>
      </c>
      <c r="F10" s="1791">
        <f>SUM(F8-F9)</f>
        <v>-116229</v>
      </c>
    </row>
    <row r="11" spans="1:8" s="1052" customFormat="1" ht="14.25" thickTop="1" thickBot="1" x14ac:dyDescent="0.25">
      <c r="A11" s="1054" t="s">
        <v>1985</v>
      </c>
      <c r="B11" s="1792">
        <f>'Acct Summary 7-8'!C81</f>
        <v>3133600</v>
      </c>
      <c r="C11" s="1792">
        <f>'Acct Summary 7-8'!D81</f>
        <v>324454</v>
      </c>
      <c r="D11" s="1792">
        <f>'Acct Summary 7-8'!F81</f>
        <v>206562</v>
      </c>
      <c r="E11" s="1792">
        <f>'Acct Summary 7-8'!I81</f>
        <v>438861</v>
      </c>
      <c r="F11" s="1793">
        <f>SUM(B11:E11)</f>
        <v>4103477</v>
      </c>
    </row>
    <row r="12" spans="1:8" ht="16.5" customHeight="1" thickTop="1" x14ac:dyDescent="0.2">
      <c r="A12" s="1055"/>
      <c r="B12" s="1056"/>
      <c r="C12" s="2410" t="str">
        <f>IF(AND(F10&lt;0,F11&gt;=0,ABS(F10*3)&gt;ABS(F11)),A16,IF(AND(F10&lt;0,F11&gt;0,ABS(F10*3)&lt;=ABS(F11)),A17,IF(AND(F10&lt;0,F11&lt;0),A16,IF(F11=0,A19,A18))))</f>
        <v>Unbalanced -  however, a deficit reduction plan is not required at this time.</v>
      </c>
      <c r="D12" s="2411"/>
      <c r="E12" s="2411"/>
      <c r="F12" s="2412"/>
    </row>
    <row r="13" spans="1:8" ht="19.5" customHeight="1" x14ac:dyDescent="0.2">
      <c r="A13" s="1057"/>
      <c r="B13" s="1058"/>
      <c r="C13" s="2410"/>
      <c r="D13" s="2411"/>
      <c r="E13" s="2411"/>
      <c r="F13" s="2412"/>
      <c r="H13" s="1047"/>
    </row>
    <row r="14" spans="1:8" ht="19.5" customHeight="1" x14ac:dyDescent="0.2">
      <c r="A14" s="1057"/>
      <c r="B14" s="1058"/>
      <c r="C14" s="2410"/>
      <c r="D14" s="2411"/>
      <c r="E14" s="2411"/>
      <c r="F14" s="2412"/>
      <c r="H14" s="1047"/>
    </row>
    <row r="15" spans="1:8" ht="17.25" customHeight="1" x14ac:dyDescent="0.2">
      <c r="A15" s="1057"/>
      <c r="B15" s="1058"/>
      <c r="C15" s="2413"/>
      <c r="D15" s="2414"/>
      <c r="E15" s="2414"/>
      <c r="F15" s="2415"/>
      <c r="H15" s="1047"/>
    </row>
    <row r="16" spans="1:8" s="310" customFormat="1" ht="51.75" hidden="1" customHeight="1" x14ac:dyDescent="0.2">
      <c r="A16" s="2409" t="s">
        <v>1687</v>
      </c>
      <c r="B16" s="2409"/>
      <c r="C16" s="2409"/>
      <c r="D16" s="2409"/>
      <c r="E16" s="2409"/>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20" colorId="8" zoomScale="110" zoomScaleNormal="110" workbookViewId="0">
      <selection activeCell="D55" sqref="D55"/>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1" t="s">
        <v>665</v>
      </c>
      <c r="B3" s="2432"/>
      <c r="C3" s="2432"/>
      <c r="D3" s="2433"/>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2" t="s">
        <v>1504</v>
      </c>
      <c r="D7" s="2443"/>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4" t="s">
        <v>1008</v>
      </c>
      <c r="B15" s="2435"/>
      <c r="C15" s="2435"/>
      <c r="D15" s="2436"/>
    </row>
    <row r="16" spans="1:4" s="643" customFormat="1" ht="24" customHeight="1" x14ac:dyDescent="0.2">
      <c r="A16" s="2437" t="s">
        <v>663</v>
      </c>
      <c r="B16" s="2438"/>
      <c r="C16" s="2438"/>
      <c r="D16" s="2439"/>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6" t="s">
        <v>314</v>
      </c>
      <c r="D21" s="2447"/>
    </row>
    <row r="22" spans="1:10" ht="12.75" x14ac:dyDescent="0.2">
      <c r="A22" s="1112"/>
      <c r="B22" s="1113">
        <v>2</v>
      </c>
      <c r="C22" s="2444" t="s">
        <v>1524</v>
      </c>
      <c r="D22" s="2445"/>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8" t="s">
        <v>536</v>
      </c>
      <c r="D43" s="2449"/>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ERROR!</v>
      </c>
    </row>
    <row r="56" spans="1:4" x14ac:dyDescent="0.2">
      <c r="A56" s="1073"/>
      <c r="B56" s="1093">
        <f>B43+1</f>
        <v>6</v>
      </c>
      <c r="C56" s="2440" t="s">
        <v>784</v>
      </c>
      <c r="D56" s="2441"/>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40" t="s">
        <v>1696</v>
      </c>
      <c r="D70" s="2441"/>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44063036002</v>
      </c>
    </row>
    <row r="3" spans="1:2" x14ac:dyDescent="0.2">
      <c r="A3" t="s">
        <v>956</v>
      </c>
      <c r="B3" s="138" t="str">
        <f>COVER!A15</f>
        <v>MCHENRY</v>
      </c>
    </row>
    <row r="4" spans="1:2" x14ac:dyDescent="0.2">
      <c r="A4" t="s">
        <v>1007</v>
      </c>
      <c r="B4" s="138" t="str">
        <f>COVER!A17</f>
        <v>Harrison SD 36</v>
      </c>
    </row>
    <row r="5" spans="1:2" x14ac:dyDescent="0.2">
      <c r="A5" t="s">
        <v>704</v>
      </c>
      <c r="B5" s="138" t="str">
        <f>COVER!A38</f>
        <v>SUSAN WINGS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KEVIN SMITH</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3140706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7106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7106</v>
      </c>
      <c r="C91" s="2" t="s">
        <v>573</v>
      </c>
      <c r="D91" s="2" t="str">
        <f t="shared" si="0"/>
        <v>Error?</v>
      </c>
    </row>
    <row r="92" spans="1:4" x14ac:dyDescent="0.2">
      <c r="A92" s="5">
        <v>31</v>
      </c>
      <c r="B92" s="138">
        <f>'Assets-Liab 5-6'!C39</f>
        <v>3133600</v>
      </c>
      <c r="D92" s="2" t="str">
        <f t="shared" si="0"/>
        <v>Error?</v>
      </c>
    </row>
    <row r="93" spans="1:4" x14ac:dyDescent="0.2">
      <c r="A93" s="5">
        <v>32</v>
      </c>
      <c r="B93" s="138">
        <f>'Assets-Liab 5-6'!C41</f>
        <v>3140706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324454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324454</v>
      </c>
      <c r="D123" s="2" t="str">
        <f t="shared" si="0"/>
        <v>Error?</v>
      </c>
    </row>
    <row r="124" spans="1:4" x14ac:dyDescent="0.2">
      <c r="A124" s="5">
        <v>63</v>
      </c>
      <c r="B124" s="138">
        <f>'Assets-Liab 5-6'!D41</f>
        <v>324454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1336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1336</v>
      </c>
      <c r="D140" s="2" t="str">
        <f t="shared" si="1"/>
        <v>Error?</v>
      </c>
    </row>
    <row r="141" spans="1:4" x14ac:dyDescent="0.2">
      <c r="A141" s="5">
        <v>80</v>
      </c>
      <c r="B141" s="138">
        <f>'Assets-Liab 5-6'!E41</f>
        <v>1336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206562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206562</v>
      </c>
      <c r="D170" s="2" t="str">
        <f t="shared" si="1"/>
        <v>Error?</v>
      </c>
    </row>
    <row r="171" spans="1:4" x14ac:dyDescent="0.2">
      <c r="A171" s="5">
        <v>110</v>
      </c>
      <c r="B171" s="138">
        <f>'Assets-Liab 5-6'!F41</f>
        <v>206562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134463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84947</v>
      </c>
      <c r="D189" s="2" t="str">
        <f t="shared" si="1"/>
        <v>Error?</v>
      </c>
    </row>
    <row r="190" spans="1:4" x14ac:dyDescent="0.2">
      <c r="A190" s="5">
        <v>129</v>
      </c>
      <c r="B190" s="138">
        <f>'Assets-Liab 5-6'!G41</f>
        <v>134463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156685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156685</v>
      </c>
      <c r="D212" s="2" t="str">
        <f t="shared" si="2"/>
        <v>Error?</v>
      </c>
    </row>
    <row r="213" spans="1:4" x14ac:dyDescent="0.2">
      <c r="A213" s="12">
        <v>152</v>
      </c>
      <c r="B213" s="138">
        <f>'Assets-Liab 5-6'!H41</f>
        <v>156685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23655</v>
      </c>
      <c r="D273" s="2" t="str">
        <f t="shared" si="3"/>
        <v>Error?</v>
      </c>
    </row>
    <row r="274" spans="1:4" x14ac:dyDescent="0.2">
      <c r="A274" s="5">
        <v>213</v>
      </c>
      <c r="B274" s="138">
        <f>'Assets-Liab 5-6'!M17</f>
        <v>6838381</v>
      </c>
      <c r="D274" s="2" t="str">
        <f t="shared" si="3"/>
        <v>Error?</v>
      </c>
    </row>
    <row r="275" spans="1:4" x14ac:dyDescent="0.2">
      <c r="A275" s="5">
        <v>214</v>
      </c>
      <c r="B275" s="138">
        <f>'Assets-Liab 5-6'!M18</f>
        <v>28405</v>
      </c>
      <c r="D275" s="2" t="str">
        <f t="shared" si="3"/>
        <v>Error?</v>
      </c>
    </row>
    <row r="276" spans="1:4" x14ac:dyDescent="0.2">
      <c r="A276" s="5">
        <v>215</v>
      </c>
      <c r="B276" s="138">
        <f>'Assets-Liab 5-6'!M19</f>
        <v>995281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15229128</v>
      </c>
      <c r="C279" s="2" t="s">
        <v>573</v>
      </c>
      <c r="D279" s="2" t="str">
        <f t="shared" si="3"/>
        <v>Error?</v>
      </c>
    </row>
    <row r="280" spans="1:4" x14ac:dyDescent="0.2">
      <c r="A280" s="5">
        <v>219</v>
      </c>
      <c r="B280" s="138">
        <f>'Assets-Liab 5-6'!M40</f>
        <v>15229128</v>
      </c>
      <c r="D280" s="2" t="str">
        <f t="shared" si="3"/>
        <v>Error?</v>
      </c>
    </row>
    <row r="281" spans="1:4" x14ac:dyDescent="0.2">
      <c r="A281" s="5">
        <v>220</v>
      </c>
      <c r="B281" s="138">
        <f>'Assets-Liab 5-6'!M41</f>
        <v>15229128</v>
      </c>
      <c r="C281" s="2" t="s">
        <v>573</v>
      </c>
      <c r="D281" s="2" t="str">
        <f t="shared" si="3"/>
        <v>Error?</v>
      </c>
    </row>
    <row r="282" spans="1:4" x14ac:dyDescent="0.2">
      <c r="A282" s="5">
        <v>221</v>
      </c>
      <c r="B282" s="138">
        <f>'Assets-Liab 5-6'!N21</f>
        <v>1336</v>
      </c>
      <c r="D282" s="2" t="str">
        <f t="shared" si="3"/>
        <v>Error?</v>
      </c>
    </row>
    <row r="283" spans="1:4" x14ac:dyDescent="0.2">
      <c r="A283" s="5">
        <v>222</v>
      </c>
      <c r="B283" s="138">
        <f>'Assets-Liab 5-6'!N22</f>
        <v>0</v>
      </c>
      <c r="D283" s="2" t="str">
        <f t="shared" si="3"/>
        <v>Error?</v>
      </c>
    </row>
    <row r="284" spans="1:4" x14ac:dyDescent="0.2">
      <c r="A284" s="5">
        <v>223</v>
      </c>
      <c r="B284" s="138">
        <f>'Assets-Liab 5-6'!N23</f>
        <v>1336</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1207783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49486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1656395</v>
      </c>
      <c r="C720" s="2" t="s">
        <v>573</v>
      </c>
      <c r="D720" s="2" t="str">
        <f t="shared" si="10"/>
        <v>Error?</v>
      </c>
    </row>
    <row r="721" spans="1:4" x14ac:dyDescent="0.2">
      <c r="A721" s="5">
        <v>660</v>
      </c>
      <c r="B721" s="138">
        <f>'Expenditures 15-22'!C36</f>
        <v>42143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132723</v>
      </c>
      <c r="D723" s="2" t="str">
        <f t="shared" si="10"/>
        <v>Error?</v>
      </c>
    </row>
    <row r="724" spans="1:4" x14ac:dyDescent="0.2">
      <c r="A724" s="5">
        <v>663</v>
      </c>
      <c r="B724" s="138">
        <f>'Expenditures 15-22'!C39</f>
        <v>70000</v>
      </c>
      <c r="D724" s="2" t="str">
        <f t="shared" si="10"/>
        <v>Error?</v>
      </c>
    </row>
    <row r="725" spans="1:4" x14ac:dyDescent="0.2">
      <c r="A725" s="5">
        <v>664</v>
      </c>
      <c r="B725" s="138">
        <f>'Expenditures 15-22'!C40</f>
        <v>47222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292088</v>
      </c>
      <c r="C727" s="2" t="s">
        <v>573</v>
      </c>
      <c r="D727" s="2" t="str">
        <f t="shared" si="10"/>
        <v>Error?</v>
      </c>
    </row>
    <row r="728" spans="1:4" x14ac:dyDescent="0.2">
      <c r="A728" s="5">
        <v>667</v>
      </c>
      <c r="B728" s="138">
        <f>'Expenditures 15-22'!C44</f>
        <v>61174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61174</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102483</v>
      </c>
      <c r="D733" s="2" t="str">
        <f t="shared" si="10"/>
        <v>Error?</v>
      </c>
    </row>
    <row r="734" spans="1:4" x14ac:dyDescent="0.2">
      <c r="A734" s="5">
        <v>673</v>
      </c>
      <c r="B734" s="138">
        <f>'Expenditures 15-22'!C53</f>
        <v>102483</v>
      </c>
      <c r="C734" s="2" t="s">
        <v>573</v>
      </c>
      <c r="D734" s="2" t="str">
        <f t="shared" si="10"/>
        <v>Error?</v>
      </c>
    </row>
    <row r="735" spans="1:4" x14ac:dyDescent="0.2">
      <c r="A735" s="5">
        <v>674</v>
      </c>
      <c r="B735" s="138">
        <f>'Expenditures 15-22'!C55</f>
        <v>225641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225641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65064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70127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135191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816577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2472972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280304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2979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387117</v>
      </c>
      <c r="C778" s="2" t="s">
        <v>573</v>
      </c>
      <c r="D778" s="2" t="str">
        <f t="shared" si="11"/>
        <v>Error?</v>
      </c>
    </row>
    <row r="779" spans="1:4" x14ac:dyDescent="0.2">
      <c r="A779" s="5">
        <v>718</v>
      </c>
      <c r="B779" s="138">
        <f>'Expenditures 15-22'!D36</f>
        <v>12959</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10381</v>
      </c>
      <c r="D781" s="2" t="str">
        <f t="shared" si="11"/>
        <v>Error?</v>
      </c>
    </row>
    <row r="782" spans="1:4" x14ac:dyDescent="0.2">
      <c r="A782" s="5">
        <v>721</v>
      </c>
      <c r="B782" s="138">
        <f>'Expenditures 15-22'!D39</f>
        <v>12101</v>
      </c>
      <c r="D782" s="2" t="str">
        <f t="shared" si="11"/>
        <v>Error?</v>
      </c>
    </row>
    <row r="783" spans="1:4" x14ac:dyDescent="0.2">
      <c r="A783" s="5">
        <v>722</v>
      </c>
      <c r="B783" s="138">
        <f>'Expenditures 15-22'!D40</f>
        <v>13346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48787</v>
      </c>
      <c r="C785" s="2" t="s">
        <v>573</v>
      </c>
      <c r="D785" s="2" t="str">
        <f t="shared" si="11"/>
        <v>Error?</v>
      </c>
    </row>
    <row r="786" spans="1:4" x14ac:dyDescent="0.2">
      <c r="A786" s="5">
        <v>725</v>
      </c>
      <c r="B786" s="138">
        <f>'Expenditures 15-22'!D44</f>
        <v>3843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3843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33886</v>
      </c>
      <c r="D791" s="2" t="str">
        <f t="shared" si="11"/>
        <v>Error?</v>
      </c>
    </row>
    <row r="792" spans="1:4" x14ac:dyDescent="0.2">
      <c r="A792" s="5">
        <v>731</v>
      </c>
      <c r="B792" s="138">
        <f>'Expenditures 15-22'!D53</f>
        <v>33886</v>
      </c>
      <c r="C792" s="2" t="s">
        <v>573</v>
      </c>
      <c r="D792" s="2" t="str">
        <f t="shared" si="11"/>
        <v>Error?</v>
      </c>
    </row>
    <row r="793" spans="1:4" x14ac:dyDescent="0.2">
      <c r="A793" s="5">
        <v>732</v>
      </c>
      <c r="B793" s="138">
        <f>'Expenditures 15-22'!D55</f>
        <v>50313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50313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10381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16301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26682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163511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550628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29033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750</v>
      </c>
      <c r="D833" s="2" t="str">
        <f t="shared" si="12"/>
        <v>Error?</v>
      </c>
    </row>
    <row r="834" spans="1:4" x14ac:dyDescent="0.2">
      <c r="A834" s="5">
        <v>773</v>
      </c>
      <c r="B834" s="138">
        <f>'Expenditures 15-22'!E14</f>
        <v>5159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83198</v>
      </c>
      <c r="C836" s="2" t="s">
        <v>573</v>
      </c>
      <c r="D836" s="2" t="str">
        <f t="shared" si="12"/>
        <v>Error?</v>
      </c>
    </row>
    <row r="837" spans="1:4" x14ac:dyDescent="0.2">
      <c r="A837" s="5">
        <v>776</v>
      </c>
      <c r="B837" s="138">
        <f>'Expenditures 15-22'!E36</f>
        <v>11830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8130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46118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66078</v>
      </c>
      <c r="C843" s="2" t="s">
        <v>573</v>
      </c>
      <c r="D843" s="2" t="str">
        <f t="shared" si="12"/>
        <v>Error?</v>
      </c>
    </row>
    <row r="844" spans="1:4" x14ac:dyDescent="0.2">
      <c r="A844" s="5">
        <v>783</v>
      </c>
      <c r="B844" s="138">
        <f>'Expenditures 15-22'!E44</f>
        <v>18782</v>
      </c>
      <c r="D844" s="2" t="str">
        <f t="shared" si="12"/>
        <v>Error?</v>
      </c>
    </row>
    <row r="845" spans="1:4" x14ac:dyDescent="0.2">
      <c r="A845" s="5">
        <v>784</v>
      </c>
      <c r="B845" s="138">
        <f>'Expenditures 15-22'!E45</f>
        <v>126816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145598</v>
      </c>
      <c r="C847" s="2" t="s">
        <v>573</v>
      </c>
      <c r="D847" s="2" t="str">
        <f t="shared" si="12"/>
        <v>Error?</v>
      </c>
    </row>
    <row r="848" spans="1:4" x14ac:dyDescent="0.2">
      <c r="A848" s="5">
        <v>787</v>
      </c>
      <c r="B848" s="138">
        <f>'Expenditures 15-22'!E49</f>
        <v>47712</v>
      </c>
      <c r="D848" s="2" t="str">
        <f t="shared" si="12"/>
        <v>Error?</v>
      </c>
    </row>
    <row r="849" spans="1:4" x14ac:dyDescent="0.2">
      <c r="A849" s="5">
        <v>788</v>
      </c>
      <c r="B849" s="138">
        <f>'Expenditures 15-22'!E50</f>
        <v>1278</v>
      </c>
      <c r="D849" s="2" t="str">
        <f t="shared" si="12"/>
        <v>Error?</v>
      </c>
    </row>
    <row r="850" spans="1:4" x14ac:dyDescent="0.2">
      <c r="A850" s="5">
        <v>789</v>
      </c>
      <c r="B850" s="138">
        <f>'Expenditures 15-22'!E53</f>
        <v>48990</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29172</v>
      </c>
      <c r="D855" s="2" t="str">
        <f t="shared" si="12"/>
        <v>Error?</v>
      </c>
    </row>
    <row r="856" spans="1:4" x14ac:dyDescent="0.2">
      <c r="A856" s="5">
        <v>795</v>
      </c>
      <c r="B856" s="138">
        <f>'Expenditures 15-22'!E61</f>
        <v>21217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1250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51639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402</v>
      </c>
      <c r="D870" s="2" t="str">
        <f t="shared" si="12"/>
        <v>Error?</v>
      </c>
    </row>
    <row r="871" spans="1:4" x14ac:dyDescent="0.2">
      <c r="A871" s="5">
        <v>810</v>
      </c>
      <c r="B871" s="138">
        <f>'Expenditures 15-22'!E74</f>
        <v>312707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406325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115166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113</v>
      </c>
      <c r="D891" s="2" t="str">
        <f t="shared" si="12"/>
        <v>Error?</v>
      </c>
    </row>
    <row r="892" spans="1:4" x14ac:dyDescent="0.2">
      <c r="A892" s="5">
        <v>831</v>
      </c>
      <c r="B892" s="138">
        <f>'Expenditures 15-22'!F14</f>
        <v>6086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166296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4014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4014</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1199</v>
      </c>
      <c r="D907" s="2" t="str">
        <f t="shared" si="13"/>
        <v>Error?</v>
      </c>
    </row>
    <row r="908" spans="1:4" x14ac:dyDescent="0.2">
      <c r="A908" s="5">
        <v>847</v>
      </c>
      <c r="B908" s="138">
        <f>'Expenditures 15-22'!F53</f>
        <v>1199</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951</v>
      </c>
      <c r="D913" s="2" t="str">
        <f t="shared" si="13"/>
        <v>Error?</v>
      </c>
    </row>
    <row r="914" spans="1:4" x14ac:dyDescent="0.2">
      <c r="A914" s="5">
        <v>853</v>
      </c>
      <c r="B914" s="138">
        <f>'Expenditures 15-22'!F61</f>
        <v>1805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123326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126082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131295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297591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3016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3016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2027</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3232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5259</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8275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8275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1120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97822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1251</v>
      </c>
      <c r="D1023" s="2" t="str">
        <f t="shared" ref="D1023:D1086" si="15">IF(ISBLANK(B1023),"OK",IF(A1023-B1023=0,"OK","Error?"))</f>
        <v>Error?</v>
      </c>
    </row>
    <row r="1024" spans="1:4" x14ac:dyDescent="0.2">
      <c r="A1024" s="5">
        <v>963</v>
      </c>
      <c r="B1024" s="138">
        <f>'Expenditures 15-22'!H53</f>
        <v>1251</v>
      </c>
      <c r="C1024" s="2" t="s">
        <v>573</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152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1788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444850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544460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1634861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863</v>
      </c>
      <c r="C1105" s="2" t="s">
        <v>573</v>
      </c>
      <c r="D1105" s="2" t="str">
        <f t="shared" si="16"/>
        <v>Error?</v>
      </c>
    </row>
    <row r="1106" spans="1:4" x14ac:dyDescent="0.2">
      <c r="A1106" s="5">
        <v>1045</v>
      </c>
      <c r="B1106" s="138">
        <f>'Expenditures 15-22'!K14</f>
        <v>64830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2399243</v>
      </c>
      <c r="C1108" s="2" t="s">
        <v>573</v>
      </c>
      <c r="D1108" s="2" t="str">
        <f t="shared" si="16"/>
        <v>Error?</v>
      </c>
    </row>
    <row r="1109" spans="1:4" x14ac:dyDescent="0.2">
      <c r="A1109" s="5">
        <v>1048</v>
      </c>
      <c r="B1109" s="138">
        <f>'Expenditures 15-22'!K36</f>
        <v>66932</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151234</v>
      </c>
      <c r="C1111" s="2" t="s">
        <v>573</v>
      </c>
      <c r="D1111" s="2" t="str">
        <f t="shared" si="16"/>
        <v>Error?</v>
      </c>
    </row>
    <row r="1112" spans="1:4" x14ac:dyDescent="0.2">
      <c r="A1112" s="5">
        <v>1051</v>
      </c>
      <c r="B1112" s="138">
        <f>'Expenditures 15-22'!K39</f>
        <v>82101</v>
      </c>
      <c r="C1112" s="2" t="s">
        <v>573</v>
      </c>
      <c r="D1112" s="2" t="str">
        <f t="shared" si="16"/>
        <v>Error?</v>
      </c>
    </row>
    <row r="1113" spans="1:4" x14ac:dyDescent="0.2">
      <c r="A1113" s="5">
        <v>1052</v>
      </c>
      <c r="B1113" s="138">
        <f>'Expenditures 15-22'!K40</f>
        <v>106686</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406953</v>
      </c>
      <c r="C1115" s="2" t="s">
        <v>573</v>
      </c>
      <c r="D1115" s="2" t="str">
        <f t="shared" si="16"/>
        <v>Error?</v>
      </c>
    </row>
    <row r="1116" spans="1:4" x14ac:dyDescent="0.2">
      <c r="A1116" s="5">
        <v>1055</v>
      </c>
      <c r="B1116" s="138">
        <f>'Expenditures 15-22'!K44</f>
        <v>83799</v>
      </c>
      <c r="C1116" s="2" t="s">
        <v>573</v>
      </c>
      <c r="D1116" s="2" t="str">
        <f t="shared" si="16"/>
        <v>Error?</v>
      </c>
    </row>
    <row r="1117" spans="1:4" x14ac:dyDescent="0.2">
      <c r="A1117" s="5">
        <v>1056</v>
      </c>
      <c r="B1117" s="138">
        <f>'Expenditures 15-22'!K45</f>
        <v>170316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254115</v>
      </c>
      <c r="C1119" s="2" t="s">
        <v>573</v>
      </c>
      <c r="D1119" s="2" t="str">
        <f t="shared" si="16"/>
        <v>Error?</v>
      </c>
    </row>
    <row r="1120" spans="1:4" x14ac:dyDescent="0.2">
      <c r="A1120" s="5">
        <v>1059</v>
      </c>
      <c r="B1120" s="138">
        <f>'Expenditures 15-22'!K49</f>
        <v>47712</v>
      </c>
      <c r="C1120" s="2" t="s">
        <v>573</v>
      </c>
      <c r="D1120" s="2" t="str">
        <f t="shared" si="16"/>
        <v>Error?</v>
      </c>
    </row>
    <row r="1121" spans="1:4" x14ac:dyDescent="0.2">
      <c r="A1121" s="5">
        <v>1060</v>
      </c>
      <c r="B1121" s="138">
        <f>'Expenditures 15-22'!K50</f>
        <v>140097</v>
      </c>
      <c r="C1121" s="2" t="s">
        <v>573</v>
      </c>
      <c r="D1121" s="2" t="str">
        <f t="shared" si="16"/>
        <v>Error?</v>
      </c>
    </row>
    <row r="1122" spans="1:4" x14ac:dyDescent="0.2">
      <c r="A1122" s="5">
        <v>1061</v>
      </c>
      <c r="B1122" s="138">
        <f>'Expenditures 15-22'!K53</f>
        <v>187809</v>
      </c>
      <c r="C1122" s="2" t="s">
        <v>573</v>
      </c>
      <c r="D1122" s="2" t="str">
        <f t="shared" si="16"/>
        <v>Error?</v>
      </c>
    </row>
    <row r="1123" spans="1:4" x14ac:dyDescent="0.2">
      <c r="A1123" s="5">
        <v>1062</v>
      </c>
      <c r="B1123" s="138">
        <f>'Expenditures 15-22'!K55</f>
        <v>276339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276339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107595</v>
      </c>
      <c r="C1127" s="2" t="s">
        <v>573</v>
      </c>
      <c r="D1127" s="2" t="str">
        <f t="shared" si="16"/>
        <v>Error?</v>
      </c>
    </row>
    <row r="1128" spans="1:4" x14ac:dyDescent="0.2">
      <c r="A1128" s="5">
        <v>1067</v>
      </c>
      <c r="B1128" s="138">
        <f>'Expenditures 15-22'!K61</f>
        <v>23022</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214987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345604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402</v>
      </c>
      <c r="C1142" s="2" t="s">
        <v>573</v>
      </c>
      <c r="D1142" s="2" t="str">
        <f t="shared" si="16"/>
        <v>Error?</v>
      </c>
    </row>
    <row r="1143" spans="1:4" x14ac:dyDescent="0.2">
      <c r="A1143" s="5">
        <v>1082</v>
      </c>
      <c r="B1143" s="138">
        <f>'Expenditures 15-22'!K74</f>
        <v>1471222</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455270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4325735</v>
      </c>
      <c r="C1152" s="2" t="s">
        <v>573</v>
      </c>
      <c r="D1152" s="2" t="str">
        <f t="shared" si="17"/>
        <v>Error?</v>
      </c>
    </row>
    <row r="1153" spans="1:4" x14ac:dyDescent="0.2">
      <c r="A1153" s="5">
        <v>1092</v>
      </c>
      <c r="B1153" s="138">
        <f>'Expenditures 15-22'!K115</f>
        <v>158793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54415</v>
      </c>
      <c r="D1221" s="2" t="str">
        <f t="shared" si="18"/>
        <v>Error?</v>
      </c>
    </row>
    <row r="1222" spans="1:4" x14ac:dyDescent="0.2">
      <c r="A1222" s="10">
        <v>1161</v>
      </c>
      <c r="D1222" s="2" t="str">
        <f t="shared" si="18"/>
        <v>OK</v>
      </c>
    </row>
    <row r="1223" spans="1:4" x14ac:dyDescent="0.2">
      <c r="A1223" s="5">
        <v>1162</v>
      </c>
      <c r="B1223" s="138">
        <f>'Expenditures 15-22'!C127</f>
        <v>54415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54415</v>
      </c>
      <c r="C1225" s="2" t="s">
        <v>573</v>
      </c>
      <c r="D1225" s="2" t="str">
        <f t="shared" si="18"/>
        <v>Error?</v>
      </c>
    </row>
    <row r="1226" spans="1:4" x14ac:dyDescent="0.2">
      <c r="A1226" s="5">
        <v>1165</v>
      </c>
      <c r="B1226" s="138">
        <f>'Expenditures 15-22'!C151</f>
        <v>54415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9182</v>
      </c>
      <c r="D1229" s="2" t="str">
        <f t="shared" si="18"/>
        <v>Error?</v>
      </c>
    </row>
    <row r="1230" spans="1:4" x14ac:dyDescent="0.2">
      <c r="A1230" s="10">
        <v>1169</v>
      </c>
      <c r="D1230" s="2" t="str">
        <f t="shared" si="18"/>
        <v>OK</v>
      </c>
    </row>
    <row r="1231" spans="1:4" x14ac:dyDescent="0.2">
      <c r="A1231" s="5">
        <v>1170</v>
      </c>
      <c r="B1231" s="138">
        <f>'Expenditures 15-22'!D127</f>
        <v>9182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9182</v>
      </c>
      <c r="C1233" s="2" t="s">
        <v>573</v>
      </c>
      <c r="D1233" s="2" t="str">
        <f t="shared" si="18"/>
        <v>Error?</v>
      </c>
    </row>
    <row r="1234" spans="1:4" x14ac:dyDescent="0.2">
      <c r="A1234" s="5">
        <v>1173</v>
      </c>
      <c r="B1234" s="138">
        <f>'Expenditures 15-22'!D151</f>
        <v>9182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2600</v>
      </c>
      <c r="D1236" s="2" t="str">
        <f t="shared" si="18"/>
        <v>Error?</v>
      </c>
    </row>
    <row r="1237" spans="1:4" x14ac:dyDescent="0.2">
      <c r="A1237" s="5">
        <v>1176</v>
      </c>
      <c r="B1237" s="138">
        <f>'Expenditures 15-22'!E124</f>
        <v>391225</v>
      </c>
      <c r="D1237" s="2" t="str">
        <f t="shared" si="18"/>
        <v>Error?</v>
      </c>
    </row>
    <row r="1238" spans="1:4" x14ac:dyDescent="0.2">
      <c r="A1238" s="10">
        <v>1177</v>
      </c>
      <c r="D1238" s="2" t="str">
        <f t="shared" si="18"/>
        <v>OK</v>
      </c>
    </row>
    <row r="1239" spans="1:4" x14ac:dyDescent="0.2">
      <c r="A1239" s="5">
        <v>1178</v>
      </c>
      <c r="B1239" s="138">
        <f>'Expenditures 15-22'!E127</f>
        <v>393825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393825</v>
      </c>
      <c r="C1241" s="2" t="s">
        <v>573</v>
      </c>
      <c r="D1241" s="2" t="str">
        <f t="shared" si="18"/>
        <v>Error?</v>
      </c>
    </row>
    <row r="1242" spans="1:4" x14ac:dyDescent="0.2">
      <c r="A1242" s="5">
        <v>1181</v>
      </c>
      <c r="B1242" s="138">
        <f>'Expenditures 15-22'!E151</f>
        <v>393825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92991</v>
      </c>
      <c r="D1245" s="2" t="str">
        <f t="shared" si="18"/>
        <v>Error?</v>
      </c>
    </row>
    <row r="1246" spans="1:4" x14ac:dyDescent="0.2">
      <c r="A1246" s="10">
        <v>1185</v>
      </c>
      <c r="D1246" s="2" t="str">
        <f t="shared" si="18"/>
        <v>OK</v>
      </c>
    </row>
    <row r="1247" spans="1:4" x14ac:dyDescent="0.2">
      <c r="A1247" s="5">
        <v>1186</v>
      </c>
      <c r="B1247" s="138">
        <f>'Expenditures 15-22'!F127</f>
        <v>92991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92991</v>
      </c>
      <c r="C1249" s="2" t="s">
        <v>573</v>
      </c>
      <c r="D1249" s="2" t="str">
        <f t="shared" si="18"/>
        <v>Error?</v>
      </c>
    </row>
    <row r="1250" spans="1:4" x14ac:dyDescent="0.2">
      <c r="A1250" s="5">
        <v>1189</v>
      </c>
      <c r="B1250" s="138">
        <f>'Expenditures 15-22'!F151</f>
        <v>92991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30008</v>
      </c>
      <c r="D1252" s="2" t="str">
        <f t="shared" si="18"/>
        <v>Error?</v>
      </c>
    </row>
    <row r="1253" spans="1:4" x14ac:dyDescent="0.2">
      <c r="A1253" s="5">
        <v>1192</v>
      </c>
      <c r="B1253" s="138">
        <f>'Expenditures 15-22'!G124</f>
        <v>56191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86199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86199</v>
      </c>
      <c r="C1258" s="2" t="s">
        <v>573</v>
      </c>
      <c r="D1258" s="2" t="str">
        <f t="shared" si="18"/>
        <v>Error?</v>
      </c>
    </row>
    <row r="1259" spans="1:4" x14ac:dyDescent="0.2">
      <c r="A1259" s="5">
        <v>1198</v>
      </c>
      <c r="B1259" s="138">
        <f>'Expenditures 15-22'!G151</f>
        <v>86199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33948</v>
      </c>
      <c r="C1275" s="2" t="s">
        <v>573</v>
      </c>
      <c r="D1275" s="2" t="str">
        <f t="shared" si="18"/>
        <v>Error?</v>
      </c>
    </row>
    <row r="1276" spans="1:4" x14ac:dyDescent="0.2">
      <c r="A1276" s="5">
        <v>1215</v>
      </c>
      <c r="B1276" s="138">
        <f>'Expenditures 15-22'!K124</f>
        <v>604587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638535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638535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638535</v>
      </c>
      <c r="C1288" s="2" t="s">
        <v>573</v>
      </c>
      <c r="D1288" s="2" t="str">
        <f t="shared" si="19"/>
        <v>Error?</v>
      </c>
    </row>
    <row r="1289" spans="1:4" x14ac:dyDescent="0.2">
      <c r="A1289" s="5">
        <v>1228</v>
      </c>
      <c r="B1289" s="138">
        <f>'Expenditures 15-22'!K152</f>
        <v>-299055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8912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8912</v>
      </c>
      <c r="C1339" s="2" t="s">
        <v>573</v>
      </c>
      <c r="D1339" s="2" t="str">
        <f t="shared" si="19"/>
        <v>Error?</v>
      </c>
    </row>
    <row r="1340" spans="1:4" x14ac:dyDescent="0.2">
      <c r="A1340" s="5">
        <v>1279</v>
      </c>
      <c r="B1340" s="138">
        <f>'Expenditures 15-22'!C210</f>
        <v>8912</v>
      </c>
      <c r="C1340" s="2" t="s">
        <v>573</v>
      </c>
      <c r="D1340" s="2" t="str">
        <f t="shared" si="19"/>
        <v>Error?</v>
      </c>
    </row>
    <row r="1341" spans="1:4" x14ac:dyDescent="0.2">
      <c r="A1341" s="5">
        <v>1280</v>
      </c>
      <c r="B1341" s="138">
        <f>'Expenditures 15-22'!D182</f>
        <v>2601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2601</v>
      </c>
      <c r="C1345" s="2" t="s">
        <v>573</v>
      </c>
      <c r="D1345" s="2" t="str">
        <f t="shared" si="20"/>
        <v>Error?</v>
      </c>
    </row>
    <row r="1346" spans="1:4" x14ac:dyDescent="0.2">
      <c r="A1346" s="5">
        <v>1285</v>
      </c>
      <c r="B1346" s="138">
        <f>'Expenditures 15-22'!D210</f>
        <v>2601</v>
      </c>
      <c r="C1346" s="2" t="s">
        <v>573</v>
      </c>
      <c r="D1346" s="2" t="str">
        <f t="shared" si="20"/>
        <v>Error?</v>
      </c>
    </row>
    <row r="1347" spans="1:4" x14ac:dyDescent="0.2">
      <c r="A1347" s="5">
        <v>1286</v>
      </c>
      <c r="B1347" s="138">
        <f>'Expenditures 15-22'!E182</f>
        <v>683966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683966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683966</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695479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695479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695479</v>
      </c>
      <c r="C1388" s="2" t="s">
        <v>573</v>
      </c>
      <c r="D1388" s="2" t="str">
        <f t="shared" si="20"/>
        <v>Error?</v>
      </c>
    </row>
    <row r="1389" spans="1:4" x14ac:dyDescent="0.2">
      <c r="A1389" s="5">
        <v>1328</v>
      </c>
      <c r="B1389" s="138">
        <f>'Expenditures 15-22'!K211</f>
        <v>10022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906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38166</v>
      </c>
      <c r="C1410" s="2" t="s">
        <v>573</v>
      </c>
      <c r="D1410" s="2" t="str">
        <f t="shared" si="21"/>
        <v>Error?</v>
      </c>
    </row>
    <row r="1411" spans="1:4" x14ac:dyDescent="0.2">
      <c r="A1411" s="5">
        <v>1350</v>
      </c>
      <c r="B1411" s="138">
        <f>'Expenditures 15-22'!D232</f>
        <v>516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15306</v>
      </c>
      <c r="D1413" s="2" t="str">
        <f t="shared" si="21"/>
        <v>Error?</v>
      </c>
    </row>
    <row r="1414" spans="1:4" x14ac:dyDescent="0.2">
      <c r="A1414" s="5">
        <v>1353</v>
      </c>
      <c r="B1414" s="138">
        <f>'Expenditures 15-22'!D235</f>
        <v>995</v>
      </c>
      <c r="D1414" s="2" t="str">
        <f t="shared" si="21"/>
        <v>Error?</v>
      </c>
    </row>
    <row r="1415" spans="1:4" x14ac:dyDescent="0.2">
      <c r="A1415" s="5">
        <v>1354</v>
      </c>
      <c r="B1415" s="138">
        <f>'Expenditures 15-22'!D236</f>
        <v>668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17485</v>
      </c>
      <c r="C1417" s="2" t="s">
        <v>573</v>
      </c>
      <c r="D1417" s="2" t="str">
        <f t="shared" si="21"/>
        <v>Error?</v>
      </c>
    </row>
    <row r="1418" spans="1:4" x14ac:dyDescent="0.2">
      <c r="A1418" s="5">
        <v>1357</v>
      </c>
      <c r="B1418" s="138">
        <f>'Expenditures 15-22'!D240</f>
        <v>815</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815</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1471</v>
      </c>
      <c r="D1423" s="2" t="str">
        <f t="shared" si="21"/>
        <v>Error?</v>
      </c>
    </row>
    <row r="1424" spans="1:4" x14ac:dyDescent="0.2">
      <c r="A1424" s="5">
        <v>1363</v>
      </c>
      <c r="B1424" s="138">
        <f>'Expenditures 15-22'!D257</f>
        <v>1471</v>
      </c>
      <c r="C1424" s="2" t="s">
        <v>573</v>
      </c>
      <c r="D1424" s="2" t="str">
        <f t="shared" si="21"/>
        <v>Error?</v>
      </c>
    </row>
    <row r="1425" spans="1:4" x14ac:dyDescent="0.2">
      <c r="A1425" s="5">
        <v>1364</v>
      </c>
      <c r="B1425" s="138">
        <f>'Expenditures 15-22'!D259</f>
        <v>8935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8935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7652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6523</v>
      </c>
      <c r="D1431" s="2" t="str">
        <f t="shared" si="21"/>
        <v>Error?</v>
      </c>
    </row>
    <row r="1432" spans="1:4" x14ac:dyDescent="0.2">
      <c r="A1432" s="5">
        <v>1371</v>
      </c>
      <c r="B1432" s="138">
        <f>'Expenditures 15-22'!D267</f>
        <v>128</v>
      </c>
      <c r="D1432" s="2" t="str">
        <f t="shared" si="21"/>
        <v>Error?</v>
      </c>
    </row>
    <row r="1433" spans="1:4" x14ac:dyDescent="0.2">
      <c r="A1433" s="5">
        <v>1372</v>
      </c>
      <c r="B1433" s="138">
        <f>'Expenditures 15-22'!D268</f>
        <v>8283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22586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51292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89458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906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38166</v>
      </c>
      <c r="C1474" s="2" t="s">
        <v>573</v>
      </c>
      <c r="D1474" s="2" t="str">
        <f t="shared" si="22"/>
        <v>Error?</v>
      </c>
    </row>
    <row r="1475" spans="1:4" x14ac:dyDescent="0.2">
      <c r="A1475" s="5">
        <v>1414</v>
      </c>
      <c r="B1475" s="138">
        <f>'Expenditures 15-22'!K232</f>
        <v>516</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15306</v>
      </c>
      <c r="C1477" s="2" t="s">
        <v>573</v>
      </c>
      <c r="D1477" s="2" t="str">
        <f t="shared" si="22"/>
        <v>Error?</v>
      </c>
    </row>
    <row r="1478" spans="1:4" x14ac:dyDescent="0.2">
      <c r="A1478" s="5">
        <v>1417</v>
      </c>
      <c r="B1478" s="138">
        <f>'Expenditures 15-22'!K235</f>
        <v>995</v>
      </c>
      <c r="C1478" s="2" t="s">
        <v>573</v>
      </c>
      <c r="D1478" s="2" t="str">
        <f t="shared" si="22"/>
        <v>Error?</v>
      </c>
    </row>
    <row r="1479" spans="1:4" x14ac:dyDescent="0.2">
      <c r="A1479" s="5">
        <v>1418</v>
      </c>
      <c r="B1479" s="138">
        <f>'Expenditures 15-22'!K236</f>
        <v>668</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17485</v>
      </c>
      <c r="C1481" s="2" t="s">
        <v>573</v>
      </c>
      <c r="D1481" s="2" t="str">
        <f t="shared" si="22"/>
        <v>Error?</v>
      </c>
    </row>
    <row r="1482" spans="1:4" x14ac:dyDescent="0.2">
      <c r="A1482" s="5">
        <v>1421</v>
      </c>
      <c r="B1482" s="138">
        <f>'Expenditures 15-22'!K240</f>
        <v>815</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815</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1471</v>
      </c>
      <c r="C1487" s="2" t="s">
        <v>573</v>
      </c>
      <c r="D1487" s="2" t="str">
        <f t="shared" si="22"/>
        <v>Error?</v>
      </c>
    </row>
    <row r="1488" spans="1:4" x14ac:dyDescent="0.2">
      <c r="A1488" s="5">
        <v>1427</v>
      </c>
      <c r="B1488" s="138">
        <f>'Expenditures 15-22'!K257</f>
        <v>1471</v>
      </c>
      <c r="C1488" s="2" t="s">
        <v>573</v>
      </c>
      <c r="D1488" s="2" t="str">
        <f t="shared" si="22"/>
        <v>Error?</v>
      </c>
    </row>
    <row r="1489" spans="1:4" x14ac:dyDescent="0.2">
      <c r="A1489" s="5">
        <v>1428</v>
      </c>
      <c r="B1489" s="138">
        <f>'Expenditures 15-22'!K259</f>
        <v>8935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8935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7652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6523</v>
      </c>
      <c r="C1495" s="2" t="s">
        <v>573</v>
      </c>
      <c r="D1495" s="2" t="str">
        <f t="shared" si="22"/>
        <v>Error?</v>
      </c>
    </row>
    <row r="1496" spans="1:4" x14ac:dyDescent="0.2">
      <c r="A1496" s="5">
        <v>1435</v>
      </c>
      <c r="B1496" s="138">
        <f>'Expenditures 15-22'!K267</f>
        <v>128</v>
      </c>
      <c r="C1496" s="2" t="s">
        <v>573</v>
      </c>
      <c r="D1496" s="2" t="str">
        <f t="shared" si="22"/>
        <v>Error?</v>
      </c>
    </row>
    <row r="1497" spans="1:4" x14ac:dyDescent="0.2">
      <c r="A1497" s="5">
        <v>1436</v>
      </c>
      <c r="B1497" s="138">
        <f>'Expenditures 15-22'!K268</f>
        <v>8283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22586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51292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89458</v>
      </c>
      <c r="C1517" s="2" t="s">
        <v>573</v>
      </c>
      <c r="D1517" s="2" t="str">
        <f t="shared" si="22"/>
        <v>Error?</v>
      </c>
    </row>
    <row r="1518" spans="1:4" x14ac:dyDescent="0.2">
      <c r="A1518" s="5">
        <v>1457</v>
      </c>
      <c r="B1518" s="138">
        <f>'Expenditures 15-22'!K296</f>
        <v>-11232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1521468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1521468</v>
      </c>
      <c r="C1547" s="2" t="s">
        <v>573</v>
      </c>
      <c r="D1547" s="2" t="str">
        <f t="shared" si="23"/>
        <v>Error?</v>
      </c>
    </row>
    <row r="1548" spans="1:4" x14ac:dyDescent="0.2">
      <c r="A1548" s="5">
        <v>1487</v>
      </c>
      <c r="B1548" s="138">
        <f>'Expenditures 15-22'!G312</f>
        <v>1521468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1521468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1521468</v>
      </c>
      <c r="C1559" s="2" t="s">
        <v>573</v>
      </c>
      <c r="D1559" s="2" t="str">
        <f t="shared" si="23"/>
        <v>Error?</v>
      </c>
    </row>
    <row r="1560" spans="1:4" x14ac:dyDescent="0.2">
      <c r="A1560" s="5">
        <v>1499</v>
      </c>
      <c r="B1560" s="138">
        <f>'Expenditures 15-22'!K312</f>
        <v>1521468</v>
      </c>
      <c r="C1560" s="2" t="s">
        <v>573</v>
      </c>
      <c r="D1560" s="2" t="str">
        <f t="shared" si="23"/>
        <v>Error?</v>
      </c>
    </row>
    <row r="1561" spans="1:4" x14ac:dyDescent="0.2">
      <c r="A1561" s="5">
        <v>1500</v>
      </c>
      <c r="B1561" s="138">
        <f>'Expenditures 15-22'!K313</f>
        <v>-1521468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3744807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3133600</v>
      </c>
      <c r="C1630" s="2" t="s">
        <v>573</v>
      </c>
      <c r="D1630" s="2" t="str">
        <f t="shared" si="24"/>
        <v>Error?</v>
      </c>
    </row>
    <row r="1631" spans="1:4" x14ac:dyDescent="0.2">
      <c r="A1631" s="5">
        <v>1570</v>
      </c>
      <c r="B1631" s="138">
        <f>'Acct Summary 7-8'!D79</f>
        <v>603509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324454</v>
      </c>
      <c r="C1644" s="2" t="s">
        <v>573</v>
      </c>
      <c r="D1644" s="2" t="str">
        <f t="shared" si="24"/>
        <v>Error?</v>
      </c>
    </row>
    <row r="1645" spans="1:4" x14ac:dyDescent="0.2">
      <c r="A1645" s="5">
        <v>1584</v>
      </c>
      <c r="B1645" s="138">
        <f>'Acct Summary 7-8'!E79</f>
        <v>1336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1336</v>
      </c>
      <c r="C1658" s="2" t="s">
        <v>573</v>
      </c>
      <c r="D1658" s="2" t="str">
        <f t="shared" si="24"/>
        <v>Error?</v>
      </c>
    </row>
    <row r="1659" spans="1:4" x14ac:dyDescent="0.2">
      <c r="A1659" s="5">
        <v>1598</v>
      </c>
      <c r="B1659" s="138">
        <f>'Acct Summary 7-8'!F79</f>
        <v>196540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206562</v>
      </c>
      <c r="C1672" s="2" t="s">
        <v>573</v>
      </c>
      <c r="D1672" s="2" t="str">
        <f t="shared" si="25"/>
        <v>Error?</v>
      </c>
    </row>
    <row r="1673" spans="1:4" x14ac:dyDescent="0.2">
      <c r="A1673" s="5">
        <v>1612</v>
      </c>
      <c r="B1673" s="138">
        <f>'Acct Summary 7-8'!G79</f>
        <v>145695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134463</v>
      </c>
      <c r="C1686" s="2" t="s">
        <v>573</v>
      </c>
      <c r="D1686" s="2" t="str">
        <f t="shared" si="25"/>
        <v>Error?</v>
      </c>
    </row>
    <row r="1687" spans="1:4" x14ac:dyDescent="0.2">
      <c r="A1687" s="5">
        <v>1626</v>
      </c>
      <c r="B1687" s="138">
        <f>'Acct Summary 7-8'!H79</f>
        <v>928153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156685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2091669</v>
      </c>
      <c r="C1744" s="2" t="s">
        <v>573</v>
      </c>
      <c r="D1744" s="2" t="str">
        <f t="shared" si="26"/>
        <v>Error?</v>
      </c>
    </row>
    <row r="1745" spans="1:5" x14ac:dyDescent="0.2">
      <c r="A1745" s="5">
        <v>1684</v>
      </c>
      <c r="B1745" s="138">
        <f>'Tax Sched 23'!B5</f>
        <v>332725</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386893</v>
      </c>
      <c r="C1747" s="2" t="s">
        <v>573</v>
      </c>
      <c r="D1747" s="2" t="str">
        <f t="shared" si="26"/>
        <v>Error?</v>
      </c>
    </row>
    <row r="1748" spans="1:5" x14ac:dyDescent="0.2">
      <c r="A1748" s="5">
        <v>1687</v>
      </c>
      <c r="B1748" s="138">
        <f>'Tax Sched 23'!B8</f>
        <v>25673</v>
      </c>
      <c r="C1748" s="2" t="s">
        <v>573</v>
      </c>
      <c r="D1748" s="2" t="str">
        <f t="shared" si="26"/>
        <v>Error?</v>
      </c>
    </row>
    <row r="1749" spans="1:5" x14ac:dyDescent="0.2">
      <c r="A1749" s="5">
        <v>1688</v>
      </c>
      <c r="B1749" s="138">
        <f>'Tax Sched 23'!B10</f>
        <v>14011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48980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241985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3192472</v>
      </c>
      <c r="C1759" s="2" t="s">
        <v>573</v>
      </c>
      <c r="D1759" s="2" t="str">
        <f t="shared" si="26"/>
        <v>Error?</v>
      </c>
    </row>
    <row r="1760" spans="1:5" x14ac:dyDescent="0.2">
      <c r="A1760" s="5">
        <v>1699</v>
      </c>
      <c r="B1760" s="138">
        <f>'Tax Sched 23'!D4</f>
        <v>980812</v>
      </c>
      <c r="C1760" s="2" t="s">
        <v>573</v>
      </c>
      <c r="D1760" s="2" t="str">
        <f t="shared" si="26"/>
        <v>Error?</v>
      </c>
    </row>
    <row r="1761" spans="1:5" x14ac:dyDescent="0.2">
      <c r="A1761" s="5">
        <v>1700</v>
      </c>
      <c r="B1761" s="138">
        <f>'Tax Sched 23'!D5</f>
        <v>154127</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181510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14011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22689</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112095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1488653</v>
      </c>
      <c r="C1775" s="2" t="s">
        <v>573</v>
      </c>
      <c r="D1775" s="2" t="str">
        <f t="shared" si="26"/>
        <v>Error?</v>
      </c>
    </row>
    <row r="1776" spans="1:5" x14ac:dyDescent="0.2">
      <c r="A1776" s="5">
        <v>1715</v>
      </c>
      <c r="B1776" s="138">
        <f>'Tax Sched 23'!C4</f>
        <v>1110857</v>
      </c>
      <c r="D1776" s="2" t="str">
        <f t="shared" si="26"/>
        <v>Error?</v>
      </c>
    </row>
    <row r="1777" spans="1:4" x14ac:dyDescent="0.2">
      <c r="A1777" s="5">
        <v>1716</v>
      </c>
      <c r="B1777" s="138">
        <f>'Tax Sched 23'!C5</f>
        <v>178598</v>
      </c>
      <c r="D1777" s="2" t="str">
        <f t="shared" si="26"/>
        <v>Error?</v>
      </c>
    </row>
    <row r="1778" spans="1:4" x14ac:dyDescent="0.2">
      <c r="A1778" s="5">
        <v>1717</v>
      </c>
      <c r="B1778" s="138">
        <f>'Tax Sched 23'!C6</f>
        <v>0</v>
      </c>
      <c r="D1778" s="2" t="str">
        <f t="shared" si="26"/>
        <v>Error?</v>
      </c>
    </row>
    <row r="1779" spans="1:4" x14ac:dyDescent="0.2">
      <c r="A1779" s="5">
        <v>1718</v>
      </c>
      <c r="B1779" s="138">
        <f>'Tax Sched 23'!C7</f>
        <v>205383</v>
      </c>
      <c r="D1779" s="2" t="str">
        <f t="shared" si="26"/>
        <v>Error?</v>
      </c>
    </row>
    <row r="1780" spans="1:4" x14ac:dyDescent="0.2">
      <c r="A1780" s="5">
        <v>1719</v>
      </c>
      <c r="B1780" s="138">
        <f>'Tax Sched 23'!C8</f>
        <v>25673</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26291</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129890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1703819</v>
      </c>
      <c r="C1791" s="2" t="s">
        <v>573</v>
      </c>
      <c r="D1791" s="2" t="str">
        <f t="shared" ref="D1791:D1854" si="27">IF(ISBLANK(B1791),"OK",IF(A1791-B1791=0,"OK","Error?"))</f>
        <v>Error?</v>
      </c>
    </row>
    <row r="1792" spans="1:4" x14ac:dyDescent="0.2">
      <c r="A1792" s="5">
        <v>1731</v>
      </c>
      <c r="B1792" s="138">
        <f>'Tax Sched 23'!F4</f>
        <v>1052627</v>
      </c>
      <c r="C1792" s="2" t="s">
        <v>573</v>
      </c>
      <c r="D1792" s="2" t="str">
        <f t="shared" si="27"/>
        <v>Error?</v>
      </c>
    </row>
    <row r="1793" spans="1:4" x14ac:dyDescent="0.2">
      <c r="A1793" s="5">
        <v>1732</v>
      </c>
      <c r="B1793" s="138">
        <f>'Tax Sched 23'!F5</f>
        <v>169236</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194617</v>
      </c>
      <c r="C1795" s="2" t="s">
        <v>573</v>
      </c>
      <c r="D1795" s="2" t="str">
        <f t="shared" si="27"/>
        <v>Error?</v>
      </c>
    </row>
    <row r="1796" spans="1:4" x14ac:dyDescent="0.2">
      <c r="A1796" s="5">
        <v>1735</v>
      </c>
      <c r="B1796" s="138">
        <f>'Tax Sched 23'!F8</f>
        <v>24327</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24913</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123082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1614506</v>
      </c>
      <c r="C1807" s="2" t="s">
        <v>573</v>
      </c>
      <c r="D1807" s="2" t="str">
        <f t="shared" si="27"/>
        <v>Error?</v>
      </c>
    </row>
    <row r="1808" spans="1:4" x14ac:dyDescent="0.2">
      <c r="A1808" s="5">
        <v>1747</v>
      </c>
      <c r="B1808" s="138">
        <f>'Tax Sched 23'!E4</f>
        <v>2163484</v>
      </c>
      <c r="D1808" s="2" t="str">
        <f t="shared" si="27"/>
        <v>Error?</v>
      </c>
    </row>
    <row r="1809" spans="1:4" x14ac:dyDescent="0.2">
      <c r="A1809" s="5">
        <v>1748</v>
      </c>
      <c r="B1809" s="138">
        <f>'Tax Sched 23'!E5</f>
        <v>347834</v>
      </c>
      <c r="D1809" s="2" t="str">
        <f t="shared" si="27"/>
        <v>Error?</v>
      </c>
    </row>
    <row r="1810" spans="1:4" x14ac:dyDescent="0.2">
      <c r="A1810" s="5">
        <v>1749</v>
      </c>
      <c r="B1810" s="138">
        <f>'Tax Sched 23'!E6</f>
        <v>0</v>
      </c>
      <c r="D1810" s="2" t="str">
        <f t="shared" si="27"/>
        <v>Error?</v>
      </c>
    </row>
    <row r="1811" spans="1:4" x14ac:dyDescent="0.2">
      <c r="A1811" s="5">
        <v>1750</v>
      </c>
      <c r="B1811" s="138">
        <f>'Tax Sched 23'!E7</f>
        <v>400000</v>
      </c>
      <c r="D1811" s="2" t="str">
        <f t="shared" si="27"/>
        <v>Error?</v>
      </c>
    </row>
    <row r="1812" spans="1:4" x14ac:dyDescent="0.2">
      <c r="A1812" s="5">
        <v>1751</v>
      </c>
      <c r="B1812" s="138">
        <f>'Tax Sched 23'!E8</f>
        <v>50000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51204</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252972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3318325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241985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241985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241985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24363</v>
      </c>
      <c r="D2008" s="2" t="str">
        <f t="shared" si="30"/>
        <v>Error?</v>
      </c>
    </row>
    <row r="2009" spans="1:4" x14ac:dyDescent="0.2">
      <c r="A2009" s="5">
        <v>1948</v>
      </c>
      <c r="B2009" s="138">
        <f>'Cap Outlay Deprec 26'!C8</f>
        <v>6513425</v>
      </c>
      <c r="D2009" s="2" t="str">
        <f t="shared" si="30"/>
        <v>Error?</v>
      </c>
    </row>
    <row r="2010" spans="1:4" x14ac:dyDescent="0.2">
      <c r="A2010" s="5">
        <v>1949</v>
      </c>
      <c r="B2010" s="138">
        <f>'Cap Outlay Deprec 26'!C10</f>
        <v>339573</v>
      </c>
      <c r="D2010" s="2" t="str">
        <f t="shared" si="30"/>
        <v>Error?</v>
      </c>
    </row>
    <row r="2011" spans="1:4" x14ac:dyDescent="0.2">
      <c r="A2011" s="5">
        <v>1950</v>
      </c>
      <c r="B2011" s="138">
        <f>'Cap Outlay Deprec 26'!C12</f>
        <v>843629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13542928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324956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151652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1998076</v>
      </c>
      <c r="C2019" s="2" t="s">
        <v>573</v>
      </c>
      <c r="D2019" s="2" t="str">
        <f t="shared" si="30"/>
        <v>Error?</v>
      </c>
    </row>
    <row r="2020" spans="1:4" x14ac:dyDescent="0.2">
      <c r="A2020" s="5">
        <v>1959</v>
      </c>
      <c r="B2020" s="138">
        <f>'Cap Outlay Deprec 26'!E5</f>
        <v>708</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311168</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311876</v>
      </c>
      <c r="C2025" s="2" t="s">
        <v>573</v>
      </c>
      <c r="D2025" s="2" t="str">
        <f t="shared" si="30"/>
        <v>Error?</v>
      </c>
    </row>
    <row r="2026" spans="1:4" x14ac:dyDescent="0.2">
      <c r="A2026" s="5">
        <v>1965</v>
      </c>
      <c r="B2026" s="138">
        <f>'Cap Outlay Deprec 26'!F5</f>
        <v>23655</v>
      </c>
      <c r="C2026" s="2" t="s">
        <v>573</v>
      </c>
      <c r="D2026" s="2" t="str">
        <f t="shared" si="30"/>
        <v>Error?</v>
      </c>
    </row>
    <row r="2027" spans="1:4" x14ac:dyDescent="0.2">
      <c r="A2027" s="5">
        <v>1966</v>
      </c>
      <c r="B2027" s="138">
        <f>'Cap Outlay Deprec 26'!F8</f>
        <v>6838381</v>
      </c>
      <c r="C2027" s="2" t="s">
        <v>573</v>
      </c>
      <c r="D2027" s="2" t="str">
        <f t="shared" si="30"/>
        <v>Error?</v>
      </c>
    </row>
    <row r="2028" spans="1:4" x14ac:dyDescent="0.2">
      <c r="A2028" s="5">
        <v>1967</v>
      </c>
      <c r="B2028" s="138">
        <f>'Cap Outlay Deprec 26'!F10</f>
        <v>28405</v>
      </c>
      <c r="C2028" s="2" t="s">
        <v>573</v>
      </c>
      <c r="D2028" s="2" t="str">
        <f t="shared" si="30"/>
        <v>Error?</v>
      </c>
    </row>
    <row r="2029" spans="1:4" x14ac:dyDescent="0.2">
      <c r="A2029" s="5">
        <v>1968</v>
      </c>
      <c r="B2029" s="138">
        <f>'Cap Outlay Deprec 26'!F12</f>
        <v>995281</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15229128</v>
      </c>
      <c r="C2031" s="2" t="s">
        <v>573</v>
      </c>
      <c r="D2031" s="2" t="str">
        <f t="shared" si="30"/>
        <v>Error?</v>
      </c>
    </row>
    <row r="2032" spans="1:4" x14ac:dyDescent="0.2">
      <c r="A2032" s="10">
        <v>1971</v>
      </c>
      <c r="D2032" s="2" t="str">
        <f t="shared" si="30"/>
        <v>OK</v>
      </c>
    </row>
    <row r="2033" spans="1:4" x14ac:dyDescent="0.2">
      <c r="A2033" s="5">
        <v>1972</v>
      </c>
      <c r="B2033" s="138">
        <f>'Cap Outlay Deprec 26'!H8</f>
        <v>3460708</v>
      </c>
      <c r="D2033" s="2" t="str">
        <f t="shared" si="30"/>
        <v>Error?</v>
      </c>
    </row>
    <row r="2034" spans="1:4" x14ac:dyDescent="0.2">
      <c r="A2034" s="5">
        <v>1973</v>
      </c>
      <c r="B2034" s="138">
        <f>'Cap Outlay Deprec 26'!H10</f>
        <v>154094</v>
      </c>
      <c r="D2034" s="2" t="str">
        <f t="shared" si="30"/>
        <v>Error?</v>
      </c>
    </row>
    <row r="2035" spans="1:4" x14ac:dyDescent="0.2">
      <c r="A2035" s="5">
        <v>1974</v>
      </c>
      <c r="B2035" s="138">
        <f>'Cap Outlay Deprec 26'!H12</f>
        <v>648125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4262927</v>
      </c>
      <c r="C2037" s="2" t="s">
        <v>573</v>
      </c>
      <c r="D2037" s="2" t="str">
        <f t="shared" si="30"/>
        <v>Error?</v>
      </c>
    </row>
    <row r="2038" spans="1:4" x14ac:dyDescent="0.2">
      <c r="A2038" s="10">
        <v>1977</v>
      </c>
      <c r="D2038" s="2" t="str">
        <f t="shared" si="30"/>
        <v>OK</v>
      </c>
    </row>
    <row r="2039" spans="1:4" x14ac:dyDescent="0.2">
      <c r="A2039" s="5">
        <v>1978</v>
      </c>
      <c r="B2039" s="138">
        <f>'Cap Outlay Deprec 26'!I8</f>
        <v>401898</v>
      </c>
      <c r="D2039" s="2" t="str">
        <f t="shared" si="30"/>
        <v>Error?</v>
      </c>
    </row>
    <row r="2040" spans="1:4" x14ac:dyDescent="0.2">
      <c r="A2040" s="5">
        <v>1979</v>
      </c>
      <c r="B2040" s="138">
        <f>'Cap Outlay Deprec 26'!I10</f>
        <v>283</v>
      </c>
      <c r="D2040" s="2" t="str">
        <f t="shared" si="30"/>
        <v>Error?</v>
      </c>
    </row>
    <row r="2041" spans="1:4" x14ac:dyDescent="0.2">
      <c r="A2041" s="5">
        <v>1980</v>
      </c>
      <c r="B2041" s="138">
        <f>'Cap Outlay Deprec 26'!I12</f>
        <v>51871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454052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128945</v>
      </c>
      <c r="D2046" s="2" t="str">
        <f t="shared" si="30"/>
        <v>Error?</v>
      </c>
    </row>
    <row r="2047" spans="1:4" x14ac:dyDescent="0.2">
      <c r="A2047" s="5">
        <v>1986</v>
      </c>
      <c r="B2047" s="138">
        <f>'Cap Outlay Deprec 26'!J12</f>
        <v>88921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217866</v>
      </c>
      <c r="C2049" s="2" t="s">
        <v>573</v>
      </c>
      <c r="D2049" s="2" t="str">
        <f t="shared" si="31"/>
        <v>Error?</v>
      </c>
    </row>
    <row r="2050" spans="1:4" x14ac:dyDescent="0.2">
      <c r="A2050" s="10">
        <v>1989</v>
      </c>
      <c r="D2050" s="2" t="str">
        <f t="shared" si="31"/>
        <v>OK</v>
      </c>
    </row>
    <row r="2051" spans="1:4" x14ac:dyDescent="0.2">
      <c r="A2051" s="5">
        <v>1990</v>
      </c>
      <c r="B2051" s="138">
        <f>'Cap Outlay Deprec 26'!K8</f>
        <v>3862606</v>
      </c>
      <c r="C2051" s="2" t="s">
        <v>573</v>
      </c>
      <c r="D2051" s="2" t="str">
        <f t="shared" si="31"/>
        <v>Error?</v>
      </c>
    </row>
    <row r="2052" spans="1:4" x14ac:dyDescent="0.2">
      <c r="A2052" s="5">
        <v>1991</v>
      </c>
      <c r="B2052" s="138">
        <f>'Cap Outlay Deprec 26'!K10</f>
        <v>25432</v>
      </c>
      <c r="C2052" s="2" t="s">
        <v>573</v>
      </c>
      <c r="D2052" s="2" t="str">
        <f t="shared" si="31"/>
        <v>Error?</v>
      </c>
    </row>
    <row r="2053" spans="1:4" x14ac:dyDescent="0.2">
      <c r="A2053" s="5">
        <v>1992</v>
      </c>
      <c r="B2053" s="138">
        <f>'Cap Outlay Deprec 26'!K12</f>
        <v>611075</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4499113</v>
      </c>
      <c r="C2055" s="2" t="s">
        <v>573</v>
      </c>
      <c r="D2055" s="2" t="str">
        <f t="shared" si="31"/>
        <v>Error?</v>
      </c>
    </row>
    <row r="2056" spans="1:4" x14ac:dyDescent="0.2">
      <c r="A2056" s="5">
        <v>1995</v>
      </c>
      <c r="B2056" s="138">
        <f>'Cap Outlay Deprec 26'!L5</f>
        <v>23655</v>
      </c>
      <c r="C2056" s="2" t="s">
        <v>573</v>
      </c>
      <c r="D2056" s="2" t="str">
        <f t="shared" si="31"/>
        <v>Error?</v>
      </c>
    </row>
    <row r="2057" spans="1:4" x14ac:dyDescent="0.2">
      <c r="A2057" s="5">
        <v>1996</v>
      </c>
      <c r="B2057" s="138">
        <f>'Cap Outlay Deprec 26'!L8</f>
        <v>2975775</v>
      </c>
      <c r="C2057" s="2" t="s">
        <v>573</v>
      </c>
      <c r="D2057" s="2" t="str">
        <f t="shared" si="31"/>
        <v>Error?</v>
      </c>
    </row>
    <row r="2058" spans="1:4" x14ac:dyDescent="0.2">
      <c r="A2058" s="5">
        <v>1997</v>
      </c>
      <c r="B2058" s="138">
        <f>'Cap Outlay Deprec 26'!L10</f>
        <v>2973</v>
      </c>
      <c r="C2058" s="2" t="s">
        <v>573</v>
      </c>
      <c r="D2058" s="2" t="str">
        <f t="shared" si="31"/>
        <v>Error?</v>
      </c>
    </row>
    <row r="2059" spans="1:4" x14ac:dyDescent="0.2">
      <c r="A2059" s="5">
        <v>1998</v>
      </c>
      <c r="B2059" s="138">
        <f>'Cap Outlay Deprec 26'!L12</f>
        <v>384206</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10730015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420</v>
      </c>
      <c r="C2088" s="2" t="s">
        <v>573</v>
      </c>
      <c r="D2088" s="2" t="str">
        <f t="shared" si="31"/>
        <v>Error?</v>
      </c>
    </row>
    <row r="2089" spans="1:4" x14ac:dyDescent="0.2">
      <c r="A2089" s="5">
        <v>2028</v>
      </c>
      <c r="B2089" s="138">
        <f>'Expenditures 15-22'!K92</f>
        <v>444850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49516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2437714</v>
      </c>
      <c r="C2551" s="2" t="s">
        <v>573</v>
      </c>
      <c r="D2551" s="2" t="str">
        <f t="shared" si="38"/>
        <v>Error?</v>
      </c>
    </row>
    <row r="2552" spans="1:4" x14ac:dyDescent="0.2">
      <c r="A2552" s="10">
        <v>2491</v>
      </c>
      <c r="D2552" s="2" t="str">
        <f t="shared" si="38"/>
        <v>OK</v>
      </c>
    </row>
    <row r="2553" spans="1:4" x14ac:dyDescent="0.2">
      <c r="A2553" s="5">
        <v>2492</v>
      </c>
      <c r="B2553" s="138">
        <f>'Acct Summary 7-8'!C6</f>
        <v>1643828</v>
      </c>
      <c r="C2553" s="2" t="s">
        <v>573</v>
      </c>
      <c r="D2553" s="2" t="str">
        <f t="shared" si="38"/>
        <v>Error?</v>
      </c>
    </row>
    <row r="2554" spans="1:4" x14ac:dyDescent="0.2">
      <c r="A2554" s="5">
        <v>2493</v>
      </c>
      <c r="B2554" s="138">
        <f>'Acct Summary 7-8'!C7</f>
        <v>402986</v>
      </c>
      <c r="C2554" s="2" t="s">
        <v>573</v>
      </c>
      <c r="D2554" s="2" t="str">
        <f t="shared" si="38"/>
        <v>Error?</v>
      </c>
    </row>
    <row r="2555" spans="1:4" x14ac:dyDescent="0.2">
      <c r="A2555" s="5">
        <v>2494</v>
      </c>
      <c r="B2555" s="138">
        <f>'Acct Summary 7-8'!C8</f>
        <v>4484528</v>
      </c>
      <c r="C2555" s="2" t="s">
        <v>573</v>
      </c>
      <c r="D2555" s="2" t="str">
        <f t="shared" si="38"/>
        <v>Error?</v>
      </c>
    </row>
    <row r="2556" spans="1:4" x14ac:dyDescent="0.2">
      <c r="A2556" s="5">
        <v>2495</v>
      </c>
      <c r="B2556" s="138">
        <f>'Acct Summary 7-8'!C12</f>
        <v>2399243</v>
      </c>
      <c r="C2556" s="2" t="s">
        <v>573</v>
      </c>
      <c r="D2556" s="2" t="str">
        <f t="shared" si="38"/>
        <v>Error?</v>
      </c>
    </row>
    <row r="2557" spans="1:4" x14ac:dyDescent="0.2">
      <c r="A2557" s="5">
        <v>2496</v>
      </c>
      <c r="B2557" s="138">
        <f>'Acct Summary 7-8'!C13</f>
        <v>1471222</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455270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4325735</v>
      </c>
      <c r="C2561" s="2" t="s">
        <v>573</v>
      </c>
      <c r="D2561" s="2" t="str">
        <f t="shared" si="39"/>
        <v>Error?</v>
      </c>
    </row>
    <row r="2562" spans="1:4" x14ac:dyDescent="0.2">
      <c r="A2562" s="5">
        <v>2501</v>
      </c>
      <c r="B2562" s="138">
        <f>'Acct Summary 7-8'!C20</f>
        <v>158793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339480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339480</v>
      </c>
      <c r="C2568" s="2" t="s">
        <v>573</v>
      </c>
      <c r="D2568" s="2" t="str">
        <f t="shared" si="39"/>
        <v>Error?</v>
      </c>
    </row>
    <row r="2569" spans="1:4" x14ac:dyDescent="0.2">
      <c r="A2569" s="5">
        <v>2508</v>
      </c>
      <c r="B2569" s="138">
        <f>'Acct Summary 7-8'!D13</f>
        <v>638535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638535</v>
      </c>
      <c r="C2573" s="2" t="s">
        <v>573</v>
      </c>
      <c r="D2573" s="2" t="str">
        <f t="shared" si="39"/>
        <v>Error?</v>
      </c>
    </row>
    <row r="2574" spans="1:4" x14ac:dyDescent="0.2">
      <c r="A2574" s="5">
        <v>2513</v>
      </c>
      <c r="B2574" s="138">
        <f>'Acct Summary 7-8'!D20</f>
        <v>-299055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389729</v>
      </c>
      <c r="C2591" s="2" t="s">
        <v>573</v>
      </c>
      <c r="D2591" s="2" t="str">
        <f t="shared" si="39"/>
        <v>Error?</v>
      </c>
    </row>
    <row r="2592" spans="1:4" x14ac:dyDescent="0.2">
      <c r="A2592" s="10">
        <v>2531</v>
      </c>
      <c r="D2592" s="2" t="str">
        <f t="shared" si="39"/>
        <v>OK</v>
      </c>
    </row>
    <row r="2593" spans="1:4" x14ac:dyDescent="0.2">
      <c r="A2593" s="5">
        <v>2532</v>
      </c>
      <c r="B2593" s="138">
        <f>'Acct Summary 7-8'!F6</f>
        <v>315772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705501</v>
      </c>
      <c r="C2595" s="2" t="s">
        <v>573</v>
      </c>
      <c r="D2595" s="2" t="str">
        <f t="shared" si="39"/>
        <v>Error?</v>
      </c>
    </row>
    <row r="2596" spans="1:4" x14ac:dyDescent="0.2">
      <c r="A2596" s="5">
        <v>2535</v>
      </c>
      <c r="B2596" s="138">
        <f>'Acct Summary 7-8'!F13</f>
        <v>695479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695479</v>
      </c>
      <c r="C2600" s="2" t="s">
        <v>573</v>
      </c>
      <c r="D2600" s="2" t="str">
        <f t="shared" si="39"/>
        <v>Error?</v>
      </c>
    </row>
    <row r="2601" spans="1:4" x14ac:dyDescent="0.2">
      <c r="A2601" s="5">
        <v>2540</v>
      </c>
      <c r="B2601" s="138">
        <f>'Acct Summary 7-8'!F20</f>
        <v>10022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78226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78226</v>
      </c>
      <c r="C2606" s="2" t="s">
        <v>573</v>
      </c>
      <c r="D2606" s="2" t="str">
        <f t="shared" si="39"/>
        <v>Error?</v>
      </c>
    </row>
    <row r="2607" spans="1:4" x14ac:dyDescent="0.2">
      <c r="A2607" s="5">
        <v>2546</v>
      </c>
      <c r="B2607" s="138">
        <f>'Acct Summary 7-8'!G12</f>
        <v>38166</v>
      </c>
      <c r="C2607" s="2" t="s">
        <v>573</v>
      </c>
      <c r="D2607" s="2" t="str">
        <f t="shared" si="39"/>
        <v>Error?</v>
      </c>
    </row>
    <row r="2608" spans="1:4" x14ac:dyDescent="0.2">
      <c r="A2608" s="5">
        <v>2547</v>
      </c>
      <c r="B2608" s="138">
        <f>'Acct Summary 7-8'!G13</f>
        <v>51292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89458</v>
      </c>
      <c r="C2612" s="2" t="s">
        <v>573</v>
      </c>
      <c r="D2612" s="2" t="str">
        <f t="shared" si="39"/>
        <v>Error?</v>
      </c>
    </row>
    <row r="2613" spans="1:4" x14ac:dyDescent="0.2">
      <c r="A2613" s="5">
        <v>2552</v>
      </c>
      <c r="B2613" s="138">
        <f>'Acct Summary 7-8'!G20</f>
        <v>-11232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1521468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1521468</v>
      </c>
      <c r="C2661" s="2" t="s">
        <v>573</v>
      </c>
      <c r="D2661" s="2" t="str">
        <f t="shared" si="40"/>
        <v>Error?</v>
      </c>
    </row>
    <row r="2662" spans="1:4" x14ac:dyDescent="0.2">
      <c r="A2662" s="5">
        <v>2601</v>
      </c>
      <c r="B2662" s="138">
        <f>'Acct Summary 7-8'!H20</f>
        <v>-1521468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420</v>
      </c>
      <c r="C2789" s="2" t="s">
        <v>573</v>
      </c>
      <c r="D2789" s="2" t="str">
        <f t="shared" si="42"/>
        <v>Error?</v>
      </c>
    </row>
    <row r="2790" spans="1:4" x14ac:dyDescent="0.2">
      <c r="A2790" s="5">
        <v>2729</v>
      </c>
      <c r="B2790" s="138">
        <f>'Expenditures 15-22'!E102</f>
        <v>10420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7343406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438861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8137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438861</v>
      </c>
      <c r="D2912" s="2" t="str">
        <f t="shared" si="44"/>
        <v>Error?</v>
      </c>
    </row>
    <row r="2913" spans="1:4" x14ac:dyDescent="0.2">
      <c r="A2913" s="5">
        <v>2852</v>
      </c>
      <c r="B2913" s="138">
        <f>'Assets-Liab 5-6'!I41</f>
        <v>438861</v>
      </c>
      <c r="C2913" s="2" t="s">
        <v>573</v>
      </c>
      <c r="D2913" s="2" t="str">
        <f t="shared" si="44"/>
        <v>Error?</v>
      </c>
    </row>
    <row r="2914" spans="1:4" x14ac:dyDescent="0.2">
      <c r="A2914" s="5">
        <v>2853</v>
      </c>
      <c r="B2914" s="138">
        <f>'Assets-Liab 5-6'!L33</f>
        <v>8137</v>
      </c>
      <c r="D2914" s="2" t="str">
        <f t="shared" si="44"/>
        <v>Error?</v>
      </c>
    </row>
    <row r="2915" spans="1:4" x14ac:dyDescent="0.2">
      <c r="A2915" s="10">
        <v>2854</v>
      </c>
      <c r="D2915" s="2" t="str">
        <f t="shared" si="44"/>
        <v>OK</v>
      </c>
    </row>
    <row r="2916" spans="1:4" x14ac:dyDescent="0.2">
      <c r="A2916" s="5">
        <v>2855</v>
      </c>
      <c r="B2916" s="138">
        <f>'Assets-Liab 5-6'!L34</f>
        <v>8137</v>
      </c>
      <c r="C2916" s="2" t="s">
        <v>573</v>
      </c>
      <c r="D2916" s="2" t="str">
        <f t="shared" si="44"/>
        <v>Error?</v>
      </c>
    </row>
    <row r="2917" spans="1:4" x14ac:dyDescent="0.2">
      <c r="A2917" s="5">
        <v>2856</v>
      </c>
      <c r="B2917" s="138">
        <f>'Assets-Liab 5-6'!L41</f>
        <v>8137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10000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420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420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18350</v>
      </c>
      <c r="D3055" s="2" t="str">
        <f t="shared" si="46"/>
        <v>Error?</v>
      </c>
    </row>
    <row r="3056" spans="1:4" x14ac:dyDescent="0.2">
      <c r="A3056" s="5">
        <v>2995</v>
      </c>
      <c r="B3056" s="138">
        <f>'Expenditures 15-22'!D10</f>
        <v>1153</v>
      </c>
      <c r="D3056" s="2" t="str">
        <f t="shared" si="46"/>
        <v>Error?</v>
      </c>
    </row>
    <row r="3057" spans="1:4" x14ac:dyDescent="0.2">
      <c r="A3057" s="5">
        <v>2996</v>
      </c>
      <c r="B3057" s="138">
        <f>'Expenditures 15-22'!E10</f>
        <v>27309</v>
      </c>
      <c r="D3057" s="2" t="str">
        <f t="shared" si="46"/>
        <v>Error?</v>
      </c>
    </row>
    <row r="3058" spans="1:4" x14ac:dyDescent="0.2">
      <c r="A3058" s="5">
        <v>2997</v>
      </c>
      <c r="B3058" s="138">
        <f>'Expenditures 15-22'!F10</f>
        <v>23947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70759</v>
      </c>
      <c r="C3062" s="2" t="s">
        <v>573</v>
      </c>
      <c r="D3062" s="2" t="str">
        <f t="shared" si="46"/>
        <v>Error?</v>
      </c>
    </row>
    <row r="3063" spans="1:4" x14ac:dyDescent="0.2">
      <c r="A3063" s="10">
        <v>3002</v>
      </c>
      <c r="D3063" s="2" t="str">
        <f t="shared" si="46"/>
        <v>OK</v>
      </c>
    </row>
    <row r="3064" spans="1:4" x14ac:dyDescent="0.2">
      <c r="A3064" s="5">
        <v>3003</v>
      </c>
      <c r="B3064" s="138">
        <f>'Expenditures 15-22'!D219</f>
        <v>261</v>
      </c>
      <c r="D3064" s="2" t="str">
        <f t="shared" si="46"/>
        <v>Error?</v>
      </c>
    </row>
    <row r="3065" spans="1:4" x14ac:dyDescent="0.2">
      <c r="A3065" s="5">
        <v>3004</v>
      </c>
      <c r="B3065" s="138">
        <f>'Expenditures 15-22'!K219</f>
        <v>261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14011</v>
      </c>
      <c r="C3225" s="2" t="s">
        <v>573</v>
      </c>
      <c r="D3225" s="2" t="str">
        <f t="shared" si="49"/>
        <v>Error?</v>
      </c>
    </row>
    <row r="3226" spans="1:4" x14ac:dyDescent="0.2">
      <c r="A3226" s="5">
        <v>3165</v>
      </c>
      <c r="B3226" s="138">
        <f>'Acct Summary 7-8'!I8</f>
        <v>14011</v>
      </c>
      <c r="C3226" s="2" t="s">
        <v>573</v>
      </c>
      <c r="D3226" s="2" t="str">
        <f t="shared" si="49"/>
        <v>Error?</v>
      </c>
    </row>
    <row r="3227" spans="1:4" x14ac:dyDescent="0.2">
      <c r="A3227" s="5">
        <v>3166</v>
      </c>
      <c r="B3227" s="138">
        <f>'Acct Summary 7-8'!I20</f>
        <v>14011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770000</v>
      </c>
      <c r="C3231" s="2" t="s">
        <v>573</v>
      </c>
      <c r="D3231" s="2" t="str">
        <f t="shared" si="49"/>
        <v>Error?</v>
      </c>
    </row>
    <row r="3232" spans="1:4" x14ac:dyDescent="0.2">
      <c r="A3232" s="5">
        <v>3171</v>
      </c>
      <c r="B3232" s="138">
        <f>'Acct Summary 7-8'!C77</f>
        <v>-770000</v>
      </c>
      <c r="C3232" s="2" t="s">
        <v>573</v>
      </c>
      <c r="D3232" s="2" t="str">
        <f t="shared" si="49"/>
        <v>Error?</v>
      </c>
    </row>
    <row r="3233" spans="1:4" x14ac:dyDescent="0.2">
      <c r="A3233" s="5">
        <v>3172</v>
      </c>
      <c r="B3233" s="138">
        <f>'Acct Summary 7-8'!C78</f>
        <v>-611207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770000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750000</v>
      </c>
      <c r="C3237" s="2" t="s">
        <v>573</v>
      </c>
      <c r="D3237" s="2" t="str">
        <f t="shared" si="49"/>
        <v>Error?</v>
      </c>
    </row>
    <row r="3238" spans="1:4" x14ac:dyDescent="0.2">
      <c r="A3238" s="5">
        <v>3177</v>
      </c>
      <c r="B3238" s="138">
        <f>'Acct Summary 7-8'!D77</f>
        <v>20000</v>
      </c>
      <c r="C3238" s="2" t="s">
        <v>573</v>
      </c>
      <c r="D3238" s="2" t="str">
        <f t="shared" si="49"/>
        <v>Error?</v>
      </c>
    </row>
    <row r="3239" spans="1:4" x14ac:dyDescent="0.2">
      <c r="A3239" s="5">
        <v>3178</v>
      </c>
      <c r="B3239" s="138">
        <f>'Acct Summary 7-8'!D78</f>
        <v>-279055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10022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-11232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750000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750000</v>
      </c>
      <c r="C3299" s="2" t="s">
        <v>573</v>
      </c>
      <c r="D3299" s="2" t="str">
        <f t="shared" si="50"/>
        <v>Error?</v>
      </c>
    </row>
    <row r="3300" spans="1:4" x14ac:dyDescent="0.2">
      <c r="A3300" s="5">
        <v>3239</v>
      </c>
      <c r="B3300" s="138">
        <f>'Acct Summary 7-8'!H78</f>
        <v>-771468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14011</v>
      </c>
      <c r="C3320" s="2" t="s">
        <v>573</v>
      </c>
      <c r="D3320" s="2" t="str">
        <f t="shared" si="50"/>
        <v>Error?</v>
      </c>
    </row>
    <row r="3321" spans="1:4" x14ac:dyDescent="0.2">
      <c r="A3321" s="5">
        <v>3260</v>
      </c>
      <c r="B3321" s="138">
        <f>'Acct Summary 7-8'!I79</f>
        <v>424850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438861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267808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78076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16208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15946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383878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19216</v>
      </c>
      <c r="D3387" s="2" t="str">
        <f t="shared" si="51"/>
        <v>Error?</v>
      </c>
    </row>
    <row r="3388" spans="1:4" x14ac:dyDescent="0.2">
      <c r="A3388" s="5">
        <v>3327</v>
      </c>
      <c r="B3388" s="138">
        <f>'Expenditures 15-22'!D217</f>
        <v>13918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19216</v>
      </c>
      <c r="C3390" s="2" t="s">
        <v>573</v>
      </c>
      <c r="D3390" s="2" t="str">
        <f t="shared" si="51"/>
        <v>Error?</v>
      </c>
    </row>
    <row r="3391" spans="1:4" x14ac:dyDescent="0.2">
      <c r="A3391" s="5">
        <v>3330</v>
      </c>
      <c r="B3391" s="138">
        <f>'Expenditures 15-22'!K217</f>
        <v>13918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3140706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324454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1336</v>
      </c>
      <c r="D3417" s="2" t="str">
        <f t="shared" si="52"/>
        <v>Error?</v>
      </c>
    </row>
    <row r="3418" spans="1:4" x14ac:dyDescent="0.2">
      <c r="A3418" s="10">
        <v>3357</v>
      </c>
      <c r="D3418" s="2" t="str">
        <f t="shared" si="52"/>
        <v>OK</v>
      </c>
    </row>
    <row r="3419" spans="1:4" x14ac:dyDescent="0.2">
      <c r="A3419" s="5">
        <v>3358</v>
      </c>
      <c r="B3419" s="138">
        <f>'Assets-Liab 5-6'!F4</f>
        <v>206562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134463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156685</v>
      </c>
      <c r="D3425" s="2" t="str">
        <f t="shared" si="52"/>
        <v>Error?</v>
      </c>
    </row>
    <row r="3426" spans="1:4" x14ac:dyDescent="0.2">
      <c r="A3426" s="10">
        <v>3365</v>
      </c>
      <c r="D3426" s="2" t="str">
        <f t="shared" si="52"/>
        <v>OK</v>
      </c>
    </row>
    <row r="3427" spans="1:4" x14ac:dyDescent="0.2">
      <c r="A3427" s="5">
        <v>3366</v>
      </c>
      <c r="B3427" s="138">
        <f>'Assets-Liab 5-6'!I4</f>
        <v>438861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8137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50536</v>
      </c>
      <c r="C3446" s="2" t="s">
        <v>573</v>
      </c>
      <c r="D3446" s="2" t="str">
        <f t="shared" si="52"/>
        <v>Error?</v>
      </c>
    </row>
    <row r="3447" spans="1:4" x14ac:dyDescent="0.2">
      <c r="A3447" s="5">
        <v>3386</v>
      </c>
      <c r="B3447" s="138">
        <f>'Tax Sched 23'!D16</f>
        <v>23409</v>
      </c>
      <c r="C3447" s="2" t="s">
        <v>573</v>
      </c>
      <c r="D3447" s="2" t="str">
        <f t="shared" si="52"/>
        <v>Error?</v>
      </c>
    </row>
    <row r="3448" spans="1:4" x14ac:dyDescent="0.2">
      <c r="A3448" s="5">
        <v>3387</v>
      </c>
      <c r="B3448" s="138">
        <f>'Tax Sched 23'!C16</f>
        <v>27127</v>
      </c>
      <c r="D3448" s="2" t="str">
        <f t="shared" si="52"/>
        <v>Error?</v>
      </c>
    </row>
    <row r="3449" spans="1:4" x14ac:dyDescent="0.2">
      <c r="A3449" s="5">
        <v>3388</v>
      </c>
      <c r="B3449" s="138">
        <f>'Tax Sched 23'!F16</f>
        <v>25704</v>
      </c>
      <c r="C3449" s="2" t="s">
        <v>573</v>
      </c>
      <c r="D3449" s="2" t="str">
        <f t="shared" si="52"/>
        <v>Error?</v>
      </c>
    </row>
    <row r="3450" spans="1:4" x14ac:dyDescent="0.2">
      <c r="A3450" s="5">
        <v>3389</v>
      </c>
      <c r="B3450" s="138">
        <f>'Tax Sched 23'!E16</f>
        <v>52831</v>
      </c>
      <c r="D3450" s="2" t="str">
        <f t="shared" si="52"/>
        <v>Error?</v>
      </c>
    </row>
    <row r="3451" spans="1:4" x14ac:dyDescent="0.2">
      <c r="A3451" s="5">
        <v>3390</v>
      </c>
      <c r="B3451" s="138">
        <f>'Cap Outlay Deprec 26'!C15</f>
        <v>5821938</v>
      </c>
      <c r="D3451" s="2" t="str">
        <f t="shared" si="52"/>
        <v>Error?</v>
      </c>
    </row>
    <row r="3452" spans="1:4" x14ac:dyDescent="0.2">
      <c r="A3452" s="5">
        <v>3391</v>
      </c>
      <c r="B3452" s="138">
        <f>'Cap Outlay Deprec 26'!D15</f>
        <v>1521468</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7343406</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7343406</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107421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1420688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5905216</v>
      </c>
      <c r="C4122" s="2" t="s">
        <v>573</v>
      </c>
      <c r="D4122" s="2" t="str">
        <f t="shared" si="63"/>
        <v>Error?</v>
      </c>
    </row>
    <row r="4123" spans="1:4" x14ac:dyDescent="0.2">
      <c r="A4123" s="5">
        <v>4062</v>
      </c>
      <c r="B4123" s="138">
        <f>'Acct Summary 7-8'!D10</f>
        <v>339480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705501</v>
      </c>
      <c r="C4125" s="2" t="s">
        <v>573</v>
      </c>
      <c r="D4125" s="2" t="str">
        <f t="shared" si="63"/>
        <v>Error?</v>
      </c>
    </row>
    <row r="4126" spans="1:4" x14ac:dyDescent="0.2">
      <c r="A4126" s="5">
        <v>4065</v>
      </c>
      <c r="B4126" s="138">
        <f>'Acct Summary 7-8'!G10</f>
        <v>78226</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14011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1420688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5746423</v>
      </c>
      <c r="C4136" s="2" t="s">
        <v>573</v>
      </c>
      <c r="D4136" s="2" t="str">
        <f t="shared" si="63"/>
        <v>Error?</v>
      </c>
    </row>
    <row r="4137" spans="1:4" x14ac:dyDescent="0.2">
      <c r="A4137" s="5">
        <v>4076</v>
      </c>
      <c r="B4137" s="138">
        <f>'Acct Summary 7-8'!D19</f>
        <v>638535</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695479</v>
      </c>
      <c r="C4139" s="2" t="s">
        <v>573</v>
      </c>
      <c r="D4139" s="2" t="str">
        <f t="shared" si="63"/>
        <v>Error?</v>
      </c>
    </row>
    <row r="4140" spans="1:4" x14ac:dyDescent="0.2">
      <c r="A4140" s="5">
        <v>4079</v>
      </c>
      <c r="B4140" s="138">
        <f>'Acct Summary 7-8'!G19</f>
        <v>89458</v>
      </c>
      <c r="C4140" s="2" t="s">
        <v>573</v>
      </c>
      <c r="D4140" s="2" t="str">
        <f t="shared" si="63"/>
        <v>Error?</v>
      </c>
    </row>
    <row r="4141" spans="1:4" x14ac:dyDescent="0.2">
      <c r="A4141" s="5">
        <v>4080</v>
      </c>
      <c r="B4141" s="138">
        <f>'Acct Summary 7-8'!H19</f>
        <v>1521468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2914.8</v>
      </c>
      <c r="C4265" s="2" t="s">
        <v>573</v>
      </c>
      <c r="D4265" s="2" t="str">
        <f t="shared" si="65"/>
        <v>Error?</v>
      </c>
      <c r="E4265" s="128"/>
    </row>
    <row r="4266" spans="1:5" x14ac:dyDescent="0.2">
      <c r="A4266" s="12">
        <v>4205</v>
      </c>
      <c r="B4266" s="138">
        <f>('FP Info 3'!F10)*100000</f>
        <v>468.6</v>
      </c>
      <c r="C4266" s="2" t="s">
        <v>573</v>
      </c>
      <c r="D4266" s="2" t="str">
        <f t="shared" si="65"/>
        <v>Error?</v>
      </c>
      <c r="E4266" s="128"/>
    </row>
    <row r="4267" spans="1:5" x14ac:dyDescent="0.2">
      <c r="A4267" s="12">
        <v>4206</v>
      </c>
      <c r="B4267" s="138">
        <f>('FP Info 3'!H10)*100000</f>
        <v>538.9</v>
      </c>
      <c r="C4267" s="2" t="s">
        <v>573</v>
      </c>
      <c r="D4267" s="2" t="str">
        <f t="shared" si="65"/>
        <v>Error?</v>
      </c>
      <c r="E4267" s="128"/>
    </row>
    <row r="4268" spans="1:5" x14ac:dyDescent="0.2">
      <c r="A4268" s="12">
        <v>4207</v>
      </c>
      <c r="B4268" s="138">
        <f>('FP Info 3'!J10)*100000</f>
        <v>3922</v>
      </c>
      <c r="C4268" s="2" t="s">
        <v>573</v>
      </c>
      <c r="D4268" s="2" t="str">
        <f t="shared" si="65"/>
        <v>Error?</v>
      </c>
    </row>
    <row r="4269" spans="1:5" x14ac:dyDescent="0.2">
      <c r="A4269" s="12">
        <v>4208</v>
      </c>
      <c r="B4269" s="138">
        <f>'FP Info 3'!J16</f>
        <v>4103477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19711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7530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20118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32524</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74225285</v>
      </c>
      <c r="D4995" s="2" t="str">
        <f t="shared" si="77"/>
        <v>Error?</v>
      </c>
    </row>
    <row r="4996" spans="1:4" x14ac:dyDescent="0.2">
      <c r="A4996" s="12">
        <v>4935</v>
      </c>
      <c r="B4996" s="138">
        <f>'FP Info 3'!H31</f>
        <v>5121544.665</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770000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770000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2091669</v>
      </c>
      <c r="D5061" s="2" t="str">
        <f t="shared" si="78"/>
        <v>Error?</v>
      </c>
    </row>
    <row r="5062" spans="1:4" x14ac:dyDescent="0.2">
      <c r="A5062" s="10">
        <v>5001</v>
      </c>
      <c r="D5062" s="2" t="str">
        <f t="shared" si="78"/>
        <v>OK</v>
      </c>
    </row>
    <row r="5063" spans="1:4" x14ac:dyDescent="0.2">
      <c r="A5063" s="5">
        <v>5002</v>
      </c>
      <c r="B5063" s="138">
        <f>'Revenues 9-14'!C7</f>
        <v>241985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2333654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30382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30382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9199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9199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5944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25949</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2382</v>
      </c>
      <c r="D5098" s="2" t="str">
        <f t="shared" si="78"/>
        <v>Error?</v>
      </c>
    </row>
    <row r="5099" spans="1:4" x14ac:dyDescent="0.2">
      <c r="A5099" s="5">
        <v>5038</v>
      </c>
      <c r="B5099" s="138">
        <f>'Revenues 9-14'!C79</f>
        <v>2100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3465</v>
      </c>
      <c r="D5101" s="2" t="str">
        <f t="shared" si="78"/>
        <v>Error?</v>
      </c>
    </row>
    <row r="5102" spans="1:4" x14ac:dyDescent="0.2">
      <c r="A5102" s="5">
        <v>5041</v>
      </c>
      <c r="B5102" s="138">
        <f>'Revenues 9-14'!C82</f>
        <v>7947</v>
      </c>
      <c r="C5102" s="2" t="s">
        <v>573</v>
      </c>
      <c r="D5102" s="2" t="str">
        <f t="shared" si="78"/>
        <v>Error?</v>
      </c>
    </row>
    <row r="5103" spans="1:4" x14ac:dyDescent="0.2">
      <c r="A5103" s="5">
        <v>5042</v>
      </c>
      <c r="B5103" s="138">
        <f>'Revenues 9-14'!C84</f>
        <v>17772</v>
      </c>
      <c r="D5103" s="2" t="str">
        <f t="shared" si="78"/>
        <v>Error?</v>
      </c>
    </row>
    <row r="5104" spans="1:4" x14ac:dyDescent="0.2">
      <c r="A5104" s="5">
        <v>5043</v>
      </c>
      <c r="B5104" s="138">
        <f>'Revenues 9-14'!C85</f>
        <v>320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1398</v>
      </c>
      <c r="D5111" s="2" t="str">
        <f t="shared" si="78"/>
        <v>Error?</v>
      </c>
    </row>
    <row r="5112" spans="1:4" x14ac:dyDescent="0.2">
      <c r="A5112" s="5">
        <v>5051</v>
      </c>
      <c r="B5112" s="138">
        <f>'Revenues 9-14'!C93</f>
        <v>19490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10793</v>
      </c>
      <c r="D5119" s="2" t="str">
        <f t="shared" ref="D5119:D5182" si="79">IF(ISBLANK(B5119),"OK",IF(A5119-B5119=0,"OK","Error?"))</f>
        <v>Error?</v>
      </c>
    </row>
    <row r="5120" spans="1:4" x14ac:dyDescent="0.2">
      <c r="A5120" s="5">
        <v>5059</v>
      </c>
      <c r="B5120" s="138">
        <f>'Revenues 9-14'!C108</f>
        <v>11093</v>
      </c>
      <c r="C5120" s="2" t="s">
        <v>573</v>
      </c>
      <c r="D5120" s="2" t="str">
        <f t="shared" si="79"/>
        <v>Error?</v>
      </c>
    </row>
    <row r="5121" spans="1:4" x14ac:dyDescent="0.2">
      <c r="A5121" s="5">
        <v>5060</v>
      </c>
      <c r="B5121" s="138">
        <f>'Revenues 9-14'!C109</f>
        <v>2437714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1434213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1434213</v>
      </c>
      <c r="C5132" s="2" t="s">
        <v>573</v>
      </c>
      <c r="D5132" s="2" t="str">
        <f t="shared" si="79"/>
        <v>Error?</v>
      </c>
    </row>
    <row r="5133" spans="1:4" x14ac:dyDescent="0.2">
      <c r="A5133" s="5">
        <v>5072</v>
      </c>
      <c r="B5133" s="138">
        <f>'Revenues 9-14'!C125</f>
        <v>68986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600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69586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1598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137681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209615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1643828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86373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21048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107421</v>
      </c>
      <c r="C5246" s="2" t="s">
        <v>573</v>
      </c>
      <c r="D5246" s="2" t="str">
        <f t="shared" si="80"/>
        <v>Error?</v>
      </c>
    </row>
    <row r="5247" spans="1:4" x14ac:dyDescent="0.2">
      <c r="A5247" s="5">
        <v>5186</v>
      </c>
      <c r="B5247" s="138">
        <f>'Revenues 9-14'!C200</f>
        <v>96825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96825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6396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91721</v>
      </c>
      <c r="D5278" s="2" t="str">
        <f t="shared" si="81"/>
        <v>Error?</v>
      </c>
    </row>
    <row r="5279" spans="1:4" x14ac:dyDescent="0.2">
      <c r="A5279" s="5">
        <v>5218</v>
      </c>
      <c r="B5279" s="138">
        <f>'Revenues 9-14'!C214</f>
        <v>10740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108857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402986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402986</v>
      </c>
      <c r="C5326" s="2" t="s">
        <v>573</v>
      </c>
      <c r="D5326" s="2" t="str">
        <f t="shared" si="82"/>
        <v>Error?</v>
      </c>
    </row>
    <row r="5327" spans="1:5" x14ac:dyDescent="0.2">
      <c r="A5327" s="5">
        <v>5266</v>
      </c>
      <c r="B5327" s="138">
        <f>'Revenues 9-14'!C268</f>
        <v>4484528</v>
      </c>
      <c r="C5327" s="2" t="s">
        <v>573</v>
      </c>
      <c r="D5327" s="2" t="str">
        <f t="shared" si="82"/>
        <v>Error?</v>
      </c>
    </row>
    <row r="5328" spans="1:5" x14ac:dyDescent="0.2">
      <c r="A5328" s="5">
        <v>5267</v>
      </c>
      <c r="B5328" s="138">
        <f>'Revenues 9-14'!D5</f>
        <v>332725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332725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6755</v>
      </c>
      <c r="D5354" s="2" t="str">
        <f t="shared" si="82"/>
        <v>Error?</v>
      </c>
    </row>
    <row r="5355" spans="1:4" x14ac:dyDescent="0.2">
      <c r="A5355" s="5">
        <v>5294</v>
      </c>
      <c r="B5355" s="138">
        <f>'Revenues 9-14'!D108</f>
        <v>6755</v>
      </c>
      <c r="C5355" s="2" t="s">
        <v>573</v>
      </c>
      <c r="D5355" s="2" t="str">
        <f t="shared" si="82"/>
        <v>Error?</v>
      </c>
    </row>
    <row r="5356" spans="1:4" x14ac:dyDescent="0.2">
      <c r="A5356" s="5">
        <v>5295</v>
      </c>
      <c r="B5356" s="138">
        <f>'Revenues 9-14'!D109</f>
        <v>339480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339480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386893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386893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2836</v>
      </c>
      <c r="D5586" s="2" t="str">
        <f t="shared" si="86"/>
        <v>Error?</v>
      </c>
    </row>
    <row r="5587" spans="1:4" x14ac:dyDescent="0.2">
      <c r="A5587" s="5">
        <v>5526</v>
      </c>
      <c r="B5587" s="138">
        <f>'Revenues 9-14'!F108</f>
        <v>2836</v>
      </c>
      <c r="C5587" s="2" t="s">
        <v>573</v>
      </c>
      <c r="D5587" s="2" t="str">
        <f t="shared" si="86"/>
        <v>Error?</v>
      </c>
    </row>
    <row r="5588" spans="1:4" x14ac:dyDescent="0.2">
      <c r="A5588" s="5">
        <v>5527</v>
      </c>
      <c r="B5588" s="138">
        <f>'Revenues 9-14'!F109</f>
        <v>389729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87275</v>
      </c>
      <c r="D5615" s="2" t="str">
        <f t="shared" si="86"/>
        <v>Error?</v>
      </c>
    </row>
    <row r="5616" spans="1:4" x14ac:dyDescent="0.2">
      <c r="A5616" s="10">
        <v>5555</v>
      </c>
      <c r="D5616" s="2" t="str">
        <f t="shared" si="86"/>
        <v>OK</v>
      </c>
    </row>
    <row r="5617" spans="1:5" x14ac:dyDescent="0.2">
      <c r="A5617" s="5">
        <v>5556</v>
      </c>
      <c r="B5617" s="138">
        <f>'Revenues 9-14'!F153</f>
        <v>228497</v>
      </c>
      <c r="D5617" s="2" t="str">
        <f t="shared" si="86"/>
        <v>Error?</v>
      </c>
    </row>
    <row r="5618" spans="1:5" x14ac:dyDescent="0.2">
      <c r="A5618" s="5">
        <v>5557</v>
      </c>
      <c r="B5618" s="138">
        <f>'Revenues 9-14'!F155</f>
        <v>315772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315772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315772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705501</v>
      </c>
      <c r="C5720" s="2" t="s">
        <v>573</v>
      </c>
      <c r="D5720" s="2" t="str">
        <f t="shared" si="88"/>
        <v>Error?</v>
      </c>
    </row>
    <row r="5721" spans="1:4" x14ac:dyDescent="0.2">
      <c r="A5721" s="5">
        <v>5660</v>
      </c>
      <c r="B5721" s="138">
        <f>'Revenues 9-14'!G5</f>
        <v>25673</v>
      </c>
      <c r="D5721" s="2" t="str">
        <f t="shared" si="88"/>
        <v>Error?</v>
      </c>
    </row>
    <row r="5722" spans="1:4" x14ac:dyDescent="0.2">
      <c r="A5722" s="5">
        <v>5661</v>
      </c>
      <c r="B5722" s="138">
        <f>'Revenues 9-14'!G7</f>
        <v>0</v>
      </c>
      <c r="D5722" s="2" t="str">
        <f t="shared" si="88"/>
        <v>Error?</v>
      </c>
    </row>
    <row r="5723" spans="1:4" x14ac:dyDescent="0.2">
      <c r="A5723" s="5">
        <v>5662</v>
      </c>
      <c r="B5723" s="138">
        <f>'Revenues 9-14'!G8</f>
        <v>50536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76209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2017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2017</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78226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14011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14011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14011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78226</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14011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20005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8320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350.3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148151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148151</v>
      </c>
      <c r="D6215" s="2" t="str">
        <f t="shared" si="96"/>
        <v>Error?</v>
      </c>
      <c r="E6215" s="2" t="s">
        <v>190</v>
      </c>
    </row>
    <row r="6216" spans="1:5" x14ac:dyDescent="0.2">
      <c r="A6216">
        <v>6155</v>
      </c>
      <c r="B6216" s="138">
        <f>'Assets-Liab 5-6'!J41</f>
        <v>148151</v>
      </c>
      <c r="D6216" s="2" t="str">
        <f t="shared" si="96"/>
        <v>Error?</v>
      </c>
      <c r="E6216" s="2" t="s">
        <v>190</v>
      </c>
    </row>
    <row r="6217" spans="1:5" x14ac:dyDescent="0.2">
      <c r="A6217">
        <v>6156</v>
      </c>
      <c r="B6217" s="138">
        <f>'Assets-Liab 5-6'!J4</f>
        <v>148151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52058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52058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52058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56433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56433</v>
      </c>
      <c r="D6229" s="2" t="str">
        <f t="shared" si="96"/>
        <v>Error?</v>
      </c>
      <c r="E6229" s="2" t="s">
        <v>190</v>
      </c>
    </row>
    <row r="6230" spans="1:5" x14ac:dyDescent="0.2">
      <c r="A6230">
        <v>6169</v>
      </c>
      <c r="B6230" s="138">
        <f>'Acct Summary 7-8'!J20</f>
        <v>-4375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-4375</v>
      </c>
      <c r="D6263" s="2" t="str">
        <f t="shared" si="96"/>
        <v>Error?</v>
      </c>
      <c r="E6263" s="2" t="s">
        <v>190</v>
      </c>
    </row>
    <row r="6264" spans="1:5" x14ac:dyDescent="0.2">
      <c r="A6264">
        <v>6203</v>
      </c>
      <c r="B6264" s="138">
        <f>'Acct Summary 7-8'!J79</f>
        <v>152526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148151</v>
      </c>
      <c r="D6266" s="2" t="str">
        <f t="shared" si="96"/>
        <v>Error?</v>
      </c>
      <c r="E6266" s="2" t="s">
        <v>190</v>
      </c>
    </row>
    <row r="6267" spans="1:5" x14ac:dyDescent="0.2">
      <c r="A6267">
        <v>6206</v>
      </c>
      <c r="B6267" s="138">
        <f>'Acct Summary 7-8'!C82</f>
        <v>-611207</v>
      </c>
      <c r="D6267" s="2" t="str">
        <f t="shared" si="96"/>
        <v>Error?</v>
      </c>
      <c r="E6267" s="2" t="s">
        <v>190</v>
      </c>
    </row>
    <row r="6268" spans="1:5" x14ac:dyDescent="0.2">
      <c r="A6268">
        <v>6207</v>
      </c>
      <c r="B6268" s="138">
        <f>'Acct Summary 7-8'!D82</f>
        <v>-279055</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10022</v>
      </c>
      <c r="D6270" s="2" t="str">
        <f t="shared" si="96"/>
        <v>Error?</v>
      </c>
      <c r="E6270" s="2" t="s">
        <v>190</v>
      </c>
    </row>
    <row r="6271" spans="1:5" x14ac:dyDescent="0.2">
      <c r="A6271">
        <v>6210</v>
      </c>
      <c r="B6271" s="138">
        <f>'Acct Summary 7-8'!G82</f>
        <v>-11232</v>
      </c>
      <c r="D6271" s="2" t="str">
        <f t="shared" ref="D6271:D6334" si="97">IF(ISBLANK(B6271),"OK",IF(A6271-B6271=0,"OK","Error?"))</f>
        <v>Error?</v>
      </c>
      <c r="E6271" s="2" t="s">
        <v>190</v>
      </c>
    </row>
    <row r="6272" spans="1:5" x14ac:dyDescent="0.2">
      <c r="A6272">
        <v>6211</v>
      </c>
      <c r="B6272" s="138">
        <f>'Acct Summary 7-8'!H82</f>
        <v>-771468</v>
      </c>
      <c r="D6272" s="2" t="str">
        <f t="shared" si="97"/>
        <v>Error?</v>
      </c>
      <c r="E6272" s="2" t="s">
        <v>190</v>
      </c>
    </row>
    <row r="6273" spans="1:5" x14ac:dyDescent="0.2">
      <c r="A6273">
        <v>6212</v>
      </c>
      <c r="B6273" s="138">
        <f>'Acct Summary 7-8'!I82</f>
        <v>14011</v>
      </c>
      <c r="D6273" s="2" t="str">
        <f t="shared" si="97"/>
        <v>Error?</v>
      </c>
      <c r="E6273" s="2" t="s">
        <v>190</v>
      </c>
    </row>
    <row r="6274" spans="1:5" x14ac:dyDescent="0.2">
      <c r="A6274">
        <v>6213</v>
      </c>
      <c r="B6274" s="138">
        <f>'Acct Summary 7-8'!J82</f>
        <v>-4375</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-0.19504946387541486</v>
      </c>
      <c r="D6276" s="2" t="str">
        <f t="shared" si="97"/>
        <v>Error?</v>
      </c>
      <c r="E6276" s="2" t="s">
        <v>190</v>
      </c>
    </row>
    <row r="6277" spans="1:5" x14ac:dyDescent="0.2">
      <c r="A6277">
        <v>6216</v>
      </c>
      <c r="B6277" s="138">
        <f>'Acct Summary 7-8'!D83</f>
        <v>-0.86007569640072246</v>
      </c>
      <c r="D6277" s="2" t="str">
        <f t="shared" si="97"/>
        <v>Error?</v>
      </c>
      <c r="E6277" s="2" t="s">
        <v>190</v>
      </c>
    </row>
    <row r="6278" spans="1:5" x14ac:dyDescent="0.2">
      <c r="A6278">
        <v>6217</v>
      </c>
      <c r="B6278" s="138">
        <f>'Acct Summary 7-8'!E83</f>
        <v>0</v>
      </c>
      <c r="D6278" s="2" t="str">
        <f t="shared" si="97"/>
        <v>Error?</v>
      </c>
      <c r="E6278" s="2" t="s">
        <v>190</v>
      </c>
    </row>
    <row r="6279" spans="1:5" x14ac:dyDescent="0.2">
      <c r="A6279">
        <v>6218</v>
      </c>
      <c r="B6279" s="138">
        <f>'Acct Summary 7-8'!F83</f>
        <v>4.8518120467462553E-2</v>
      </c>
      <c r="D6279" s="2" t="str">
        <f t="shared" si="97"/>
        <v>Error?</v>
      </c>
      <c r="E6279" s="2" t="s">
        <v>190</v>
      </c>
    </row>
    <row r="6280" spans="1:5" x14ac:dyDescent="0.2">
      <c r="A6280">
        <v>6219</v>
      </c>
      <c r="B6280" s="138">
        <f>'Acct Summary 7-8'!G83</f>
        <v>-8.3532272818544875E-2</v>
      </c>
      <c r="D6280" s="2" t="str">
        <f t="shared" si="97"/>
        <v>Error?</v>
      </c>
      <c r="E6280" s="2" t="s">
        <v>190</v>
      </c>
    </row>
    <row r="6281" spans="1:5" x14ac:dyDescent="0.2">
      <c r="A6281">
        <v>6220</v>
      </c>
      <c r="B6281" s="138">
        <f>'Acct Summary 7-8'!H83</f>
        <v>-4.9236876535724541</v>
      </c>
      <c r="D6281" s="2" t="str">
        <f t="shared" si="97"/>
        <v>Error?</v>
      </c>
      <c r="E6281" s="2" t="s">
        <v>190</v>
      </c>
    </row>
    <row r="6282" spans="1:5" x14ac:dyDescent="0.2">
      <c r="A6282">
        <v>6221</v>
      </c>
      <c r="B6282" s="138">
        <f>'Acct Summary 7-8'!I83</f>
        <v>3.1925826172751734E-2</v>
      </c>
      <c r="D6282" s="2" t="str">
        <f t="shared" si="97"/>
        <v>Error?</v>
      </c>
      <c r="E6282" s="2" t="s">
        <v>190</v>
      </c>
    </row>
    <row r="6283" spans="1:5" x14ac:dyDescent="0.2">
      <c r="A6283">
        <v>6222</v>
      </c>
      <c r="B6283" s="138">
        <f>'Acct Summary 7-8'!J83</f>
        <v>-2.9530681534380463E-2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750000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48980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48980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3078</v>
      </c>
      <c r="D6350" s="2" t="str">
        <f t="shared" si="98"/>
        <v>Error?</v>
      </c>
      <c r="E6350" s="2" t="s">
        <v>190</v>
      </c>
    </row>
    <row r="6351" spans="1:5" x14ac:dyDescent="0.2">
      <c r="A6351">
        <v>6290</v>
      </c>
      <c r="B6351" s="138">
        <f>'Revenues 9-14'!J108</f>
        <v>3078</v>
      </c>
      <c r="D6351" s="2" t="str">
        <f t="shared" si="98"/>
        <v>Error?</v>
      </c>
      <c r="E6351" s="2" t="s">
        <v>190</v>
      </c>
    </row>
    <row r="6352" spans="1:5" x14ac:dyDescent="0.2">
      <c r="A6352">
        <v>6291</v>
      </c>
      <c r="B6352" s="138">
        <f>'Revenues 9-14'!J109</f>
        <v>52058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74813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2575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98199</v>
      </c>
      <c r="D6848" s="2" t="str">
        <f t="shared" si="106"/>
        <v>Error?</v>
      </c>
    </row>
    <row r="6849" spans="1:4" x14ac:dyDescent="0.2">
      <c r="A6849">
        <v>6788</v>
      </c>
      <c r="B6849" s="138">
        <f>'Expenditures 15-22'!I8</f>
        <v>5840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49151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96702</v>
      </c>
      <c r="D6880" s="2" t="str">
        <f t="shared" si="106"/>
        <v>Error?</v>
      </c>
    </row>
    <row r="6881" spans="1:4" x14ac:dyDescent="0.2">
      <c r="A6881">
        <v>6820</v>
      </c>
      <c r="B6881" s="138">
        <f>'Expenditures 15-22'!K22</f>
        <v>96702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8415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36470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36470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599</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599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37069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7040</v>
      </c>
      <c r="D6981" s="2" t="str">
        <f t="shared" si="108"/>
        <v>Error?</v>
      </c>
    </row>
    <row r="6982" spans="1:4" x14ac:dyDescent="0.2">
      <c r="A6982">
        <v>6921</v>
      </c>
      <c r="B6982" s="138">
        <f>'Expenditures 15-22'!K85</f>
        <v>7040</v>
      </c>
      <c r="D6982" s="2" t="str">
        <f t="shared" si="108"/>
        <v>Error?</v>
      </c>
    </row>
    <row r="6983" spans="1:4" x14ac:dyDescent="0.2">
      <c r="A6983">
        <v>6922</v>
      </c>
      <c r="B6983" s="138">
        <f>'Expenditures 15-22'!H86</f>
        <v>437810</v>
      </c>
      <c r="D6983" s="2" t="str">
        <f t="shared" si="108"/>
        <v>Error?</v>
      </c>
    </row>
    <row r="6984" spans="1:4" x14ac:dyDescent="0.2">
      <c r="A6984">
        <v>6923</v>
      </c>
      <c r="B6984" s="138">
        <f>'Expenditures 15-22'!K86</f>
        <v>437810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444850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10000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45484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1340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583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1923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1923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56433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1923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52058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3328</v>
      </c>
      <c r="D7073" s="2" t="str">
        <f t="shared" si="109"/>
        <v>Error?</v>
      </c>
    </row>
    <row r="7074" spans="1:4" x14ac:dyDescent="0.2">
      <c r="A7074">
        <v>7013</v>
      </c>
      <c r="B7074" s="138">
        <f>'Expenditures 15-22'!K216</f>
        <v>3328</v>
      </c>
      <c r="D7074" s="2" t="str">
        <f t="shared" si="109"/>
        <v>Error?</v>
      </c>
    </row>
    <row r="7075" spans="1:4" x14ac:dyDescent="0.2">
      <c r="A7075">
        <v>7014</v>
      </c>
      <c r="B7075" s="138">
        <f>'Expenditures 15-22'!D218</f>
        <v>537</v>
      </c>
      <c r="D7075" s="2" t="str">
        <f t="shared" si="109"/>
        <v>Error?</v>
      </c>
    </row>
    <row r="7076" spans="1:4" x14ac:dyDescent="0.2">
      <c r="A7076">
        <v>7015</v>
      </c>
      <c r="B7076" s="138">
        <f>'Expenditures 15-22'!K218</f>
        <v>537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40968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40968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15465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15465</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56433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56433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56433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56433</v>
      </c>
      <c r="D7224" s="2" t="str">
        <f t="shared" si="111"/>
        <v>Error?</v>
      </c>
    </row>
    <row r="7225" spans="1:4" x14ac:dyDescent="0.2">
      <c r="A7225">
        <v>7164</v>
      </c>
      <c r="B7225" s="138">
        <f>'Expenditures 15-22'!K343</f>
        <v>-4375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13609</v>
      </c>
      <c r="D7246" s="2" t="str">
        <f t="shared" si="112"/>
        <v>Error?</v>
      </c>
    </row>
    <row r="7247" spans="1:4" x14ac:dyDescent="0.2">
      <c r="A7247">
        <f t="shared" si="113"/>
        <v>7186</v>
      </c>
      <c r="B7247" s="138">
        <f>'Expenditures 15-22'!E7</f>
        <v>4739</v>
      </c>
      <c r="D7247" s="2" t="str">
        <f t="shared" si="112"/>
        <v>Error?</v>
      </c>
    </row>
    <row r="7248" spans="1:4" x14ac:dyDescent="0.2">
      <c r="A7248">
        <f t="shared" si="113"/>
        <v>7187</v>
      </c>
      <c r="B7248" s="138">
        <f>'Expenditures 15-22'!F7</f>
        <v>5038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38155</v>
      </c>
      <c r="D7251" s="2" t="str">
        <f t="shared" si="112"/>
        <v>Error?</v>
      </c>
    </row>
    <row r="7252" spans="1:4" x14ac:dyDescent="0.2">
      <c r="A7252">
        <f t="shared" si="113"/>
        <v>7191</v>
      </c>
      <c r="B7252" s="138">
        <f>'Expenditures 15-22'!D9</f>
        <v>10996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47407</v>
      </c>
      <c r="D7624" s="2" t="str">
        <f t="shared" si="124"/>
        <v>Error?</v>
      </c>
      <c r="E7624" s="2" t="s">
        <v>19</v>
      </c>
    </row>
    <row r="7625" spans="1:5" x14ac:dyDescent="0.2">
      <c r="A7625">
        <f t="shared" si="123"/>
        <v>7564</v>
      </c>
      <c r="B7625" s="138">
        <f>'Cap Outlay Deprec 26'!I17</f>
        <v>4740.7</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458792.7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750000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241985</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1251418</v>
      </c>
      <c r="D7797" s="2" t="str">
        <f t="shared" si="127"/>
        <v>Error?</v>
      </c>
      <c r="E7797" s="4" t="s">
        <v>1904</v>
      </c>
    </row>
    <row r="7798" spans="1:5" x14ac:dyDescent="0.2">
      <c r="A7798">
        <v>7737</v>
      </c>
      <c r="B7798" s="138">
        <f>'Contracts Paid in CY 29'!F141</f>
        <v>195000</v>
      </c>
      <c r="D7798" s="2" t="str">
        <f t="shared" si="127"/>
        <v>Error?</v>
      </c>
      <c r="E7798" s="4" t="s">
        <v>1904</v>
      </c>
    </row>
    <row r="7799" spans="1:5" x14ac:dyDescent="0.2">
      <c r="A7799">
        <v>7738</v>
      </c>
      <c r="B7799" s="138">
        <f>'Contracts Paid in CY 29'!G141</f>
        <v>916472</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0" zoomScale="110" zoomScaleNormal="11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50" t="s">
        <v>1191</v>
      </c>
      <c r="B2" s="2450"/>
      <c r="C2" s="2450"/>
      <c r="D2" s="2450"/>
      <c r="E2" s="2450"/>
      <c r="F2" s="2450"/>
      <c r="G2" s="2450"/>
      <c r="H2" s="2450"/>
      <c r="I2" s="2450"/>
      <c r="J2" s="2450"/>
      <c r="K2" s="2450"/>
      <c r="L2" s="2450"/>
    </row>
    <row r="3" spans="1:29" ht="13.5" customHeight="1" x14ac:dyDescent="0.2">
      <c r="A3" s="2481" t="s">
        <v>1190</v>
      </c>
      <c r="B3" s="2481"/>
      <c r="C3" s="2481"/>
      <c r="D3" s="2481"/>
      <c r="E3" s="2481"/>
      <c r="F3" s="2481"/>
      <c r="G3" s="2481"/>
      <c r="H3" s="2481"/>
      <c r="I3" s="2481"/>
      <c r="J3" s="2481"/>
      <c r="K3" s="2481"/>
      <c r="L3" s="2481"/>
    </row>
    <row r="4" spans="1:29" ht="13.5" customHeight="1" x14ac:dyDescent="0.2">
      <c r="A4" s="2450" t="s">
        <v>1989</v>
      </c>
      <c r="B4" s="2471"/>
      <c r="C4" s="2471"/>
      <c r="D4" s="2471"/>
      <c r="E4" s="2471"/>
      <c r="F4" s="2471"/>
      <c r="G4" s="2471"/>
      <c r="H4" s="2471"/>
      <c r="I4" s="2471"/>
      <c r="J4" s="2471"/>
      <c r="K4" s="2471"/>
      <c r="L4" s="2471"/>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72" t="str">
        <f>COVER!A17</f>
        <v>Harrison SD 36</v>
      </c>
      <c r="B7" s="2473"/>
      <c r="C7" s="2473"/>
      <c r="D7" s="2474"/>
      <c r="E7" s="2475">
        <f>COVER!A13</f>
        <v>44063036002</v>
      </c>
      <c r="F7" s="2476"/>
      <c r="G7" s="2482" t="str">
        <f>COVER!T23</f>
        <v>066-005142</v>
      </c>
      <c r="H7" s="2483"/>
      <c r="I7" s="2483"/>
      <c r="J7" s="2483"/>
      <c r="K7" s="2483"/>
      <c r="L7" s="2484"/>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85"/>
      <c r="B9" s="2486"/>
      <c r="C9" s="2486"/>
      <c r="D9" s="2486"/>
      <c r="E9" s="2486"/>
      <c r="F9" s="2487"/>
      <c r="G9" s="2456" t="str">
        <f>COVER!T13</f>
        <v>EDER, CASELLA &amp; CO.</v>
      </c>
      <c r="H9" s="2488"/>
      <c r="I9" s="2488"/>
      <c r="J9" s="2488"/>
      <c r="K9" s="2488"/>
      <c r="L9" s="2489"/>
    </row>
    <row r="10" spans="1:29" ht="13.5" customHeight="1" x14ac:dyDescent="0.2">
      <c r="A10" s="2462" t="str">
        <f>COVER!A38</f>
        <v>SUSAN WINGS</v>
      </c>
      <c r="B10" s="2463"/>
      <c r="C10" s="2463"/>
      <c r="D10" s="2463"/>
      <c r="E10" s="2463"/>
      <c r="F10" s="2464"/>
      <c r="G10" s="2456" t="str">
        <f>COVER!T17</f>
        <v>5400 WEST ELM STREET, SUITE 203</v>
      </c>
      <c r="H10" s="2457"/>
      <c r="I10" s="2457"/>
      <c r="J10" s="2457"/>
      <c r="K10" s="2457"/>
      <c r="L10" s="2458"/>
    </row>
    <row r="11" spans="1:29" ht="13.5" customHeight="1" x14ac:dyDescent="0.2">
      <c r="A11" s="1157" t="s">
        <v>1519</v>
      </c>
      <c r="B11" s="1158"/>
      <c r="C11" s="1159"/>
      <c r="D11" s="1164"/>
      <c r="E11" s="1159"/>
      <c r="F11" s="1163"/>
      <c r="G11" s="2456" t="str">
        <f>COVER!T19</f>
        <v>MCHENRY</v>
      </c>
      <c r="H11" s="2457"/>
      <c r="I11" s="2457"/>
      <c r="J11" s="2457"/>
      <c r="K11" s="2457"/>
      <c r="L11" s="2458"/>
    </row>
    <row r="12" spans="1:29" ht="13.5" customHeight="1" x14ac:dyDescent="0.2">
      <c r="A12" s="2465" t="s">
        <v>1518</v>
      </c>
      <c r="B12" s="2466"/>
      <c r="C12" s="2466"/>
      <c r="D12" s="2466"/>
      <c r="E12" s="2466"/>
      <c r="F12" s="2467"/>
      <c r="G12" s="2459"/>
      <c r="H12" s="2460"/>
      <c r="I12" s="2460"/>
      <c r="J12" s="2460"/>
      <c r="K12" s="2460"/>
      <c r="L12" s="2461"/>
    </row>
    <row r="13" spans="1:29" ht="13.5" customHeight="1" x14ac:dyDescent="0.2">
      <c r="A13" s="2456"/>
      <c r="B13" s="2457"/>
      <c r="C13" s="2457"/>
      <c r="D13" s="2457"/>
      <c r="E13" s="2457"/>
      <c r="F13" s="2458"/>
      <c r="G13" s="2451" t="s">
        <v>1520</v>
      </c>
      <c r="H13" s="2452"/>
      <c r="I13" s="2468" t="str">
        <f>COVER!T25</f>
        <v>CPAS@EDERCASELLA.COM</v>
      </c>
      <c r="J13" s="2469"/>
      <c r="K13" s="2469"/>
      <c r="L13" s="2470"/>
    </row>
    <row r="14" spans="1:29" ht="13.5" customHeight="1" x14ac:dyDescent="0.2">
      <c r="A14" s="2456" t="str">
        <f>COVER!A19</f>
        <v>6809 MCCULLOM LAKE ROAD</v>
      </c>
      <c r="B14" s="2457"/>
      <c r="C14" s="2457"/>
      <c r="D14" s="2457"/>
      <c r="E14" s="2457"/>
      <c r="F14" s="2458"/>
      <c r="G14" s="1168" t="s">
        <v>1185</v>
      </c>
      <c r="H14" s="1166"/>
      <c r="I14" s="1166"/>
      <c r="J14" s="1166"/>
      <c r="K14" s="1166"/>
      <c r="L14" s="1167"/>
    </row>
    <row r="15" spans="1:29" ht="13.5" customHeight="1" x14ac:dyDescent="0.2">
      <c r="A15" s="2456" t="str">
        <f>COVER!A21</f>
        <v xml:space="preserve">WONDER LAKE </v>
      </c>
      <c r="B15" s="2457"/>
      <c r="C15" s="2457"/>
      <c r="D15" s="2457"/>
      <c r="E15" s="2457"/>
      <c r="F15" s="2458"/>
      <c r="G15" s="2453" t="str">
        <f>COVER!T15</f>
        <v>KEVIN SMITH</v>
      </c>
      <c r="H15" s="2454"/>
      <c r="I15" s="2454"/>
      <c r="J15" s="2454"/>
      <c r="K15" s="2454"/>
      <c r="L15" s="2455"/>
    </row>
    <row r="16" spans="1:29" ht="12.2" customHeight="1" x14ac:dyDescent="0.2">
      <c r="A16" s="2478">
        <f>COVER!A25</f>
        <v>60097</v>
      </c>
      <c r="B16" s="2479"/>
      <c r="C16" s="2479"/>
      <c r="D16" s="2479"/>
      <c r="E16" s="2479"/>
      <c r="F16" s="2480"/>
      <c r="G16" s="2490"/>
      <c r="H16" s="2491"/>
      <c r="I16" s="2491"/>
      <c r="J16" s="2491"/>
      <c r="K16" s="2491"/>
      <c r="L16" s="2492"/>
    </row>
    <row r="17" spans="1:13" ht="12.2" customHeight="1" x14ac:dyDescent="0.2">
      <c r="A17" s="2493"/>
      <c r="B17" s="2479"/>
      <c r="C17" s="2479"/>
      <c r="D17" s="2479"/>
      <c r="E17" s="2479"/>
      <c r="F17" s="2480"/>
      <c r="G17" s="1168" t="s">
        <v>1184</v>
      </c>
      <c r="H17" s="1166"/>
      <c r="I17" s="1166"/>
      <c r="J17" s="1166"/>
      <c r="K17" s="1170" t="s">
        <v>1183</v>
      </c>
      <c r="L17" s="1163"/>
      <c r="M17" s="1156"/>
    </row>
    <row r="18" spans="1:13" ht="12.2" customHeight="1" x14ac:dyDescent="0.2">
      <c r="A18" s="2462"/>
      <c r="B18" s="2463"/>
      <c r="C18" s="2463"/>
      <c r="D18" s="2463"/>
      <c r="E18" s="2463"/>
      <c r="F18" s="2464"/>
      <c r="G18" s="2472" t="str">
        <f>COVER!T21</f>
        <v>815-344-1300</v>
      </c>
      <c r="H18" s="2473"/>
      <c r="I18" s="2473"/>
      <c r="J18" s="2473"/>
      <c r="K18" s="2472" t="str">
        <f>COVER!X21</f>
        <v>815-344-1320</v>
      </c>
      <c r="L18" s="2477"/>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10"/>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4" t="str">
        <f>'Single Audit Cover'!A7</f>
        <v>Harrison SD 36</v>
      </c>
      <c r="B1" s="2471"/>
      <c r="C1" s="2471"/>
      <c r="D1" s="2471"/>
    </row>
    <row r="2" spans="1:11" s="1185" customFormat="1" ht="12.75" x14ac:dyDescent="0.2">
      <c r="A2" s="2495">
        <f>'Single Audit Cover'!E7</f>
        <v>44063036002</v>
      </c>
      <c r="B2" s="2496"/>
      <c r="C2" s="2496"/>
      <c r="D2" s="2496"/>
    </row>
    <row r="3" spans="1:11" s="1185" customFormat="1" ht="12.75" x14ac:dyDescent="0.2">
      <c r="A3" s="2494" t="s">
        <v>1513</v>
      </c>
      <c r="B3" s="2471"/>
      <c r="C3" s="2471"/>
      <c r="D3" s="2471"/>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F22" sqref="AF22"/>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8" t="str">
        <f>'Single Audit Cover'!A7</f>
        <v>Harrison SD 36</v>
      </c>
      <c r="B1" s="2498"/>
      <c r="C1" s="2498"/>
      <c r="D1" s="2498"/>
      <c r="E1" s="2498"/>
    </row>
    <row r="2" spans="1:5" x14ac:dyDescent="0.2">
      <c r="A2" s="2499">
        <f>'Single Audit Cover'!E7</f>
        <v>44063036002</v>
      </c>
      <c r="B2" s="2499"/>
      <c r="C2" s="2499"/>
      <c r="D2" s="2499"/>
      <c r="E2" s="2499"/>
    </row>
    <row r="3" spans="1:5" ht="4.5" customHeight="1" x14ac:dyDescent="0.2"/>
    <row r="4" spans="1:5" x14ac:dyDescent="0.2">
      <c r="A4" s="2498" t="s">
        <v>1245</v>
      </c>
      <c r="B4" s="2498"/>
      <c r="C4" s="2498"/>
      <c r="D4" s="2498"/>
      <c r="E4" s="2498"/>
    </row>
    <row r="5" spans="1:5" x14ac:dyDescent="0.2">
      <c r="A5" s="2501" t="str">
        <f>'Single Audit Cover'!A4</f>
        <v>Year Ending June 30, 2019</v>
      </c>
      <c r="B5" s="2501"/>
      <c r="C5" s="2501"/>
      <c r="D5" s="2501"/>
      <c r="E5" s="2501"/>
    </row>
    <row r="6" spans="1:5" x14ac:dyDescent="0.2">
      <c r="A6" s="2498" t="s">
        <v>1244</v>
      </c>
      <c r="B6" s="2498"/>
      <c r="C6" s="2498"/>
      <c r="D6" s="2498"/>
      <c r="E6" s="2498"/>
    </row>
    <row r="8" spans="1:5" x14ac:dyDescent="0.2">
      <c r="A8" s="1230" t="s">
        <v>1243</v>
      </c>
    </row>
    <row r="10" spans="1:5" x14ac:dyDescent="0.2">
      <c r="A10" s="1231" t="s">
        <v>1242</v>
      </c>
      <c r="B10" s="1232" t="s">
        <v>1241</v>
      </c>
      <c r="C10" s="1232"/>
      <c r="D10" s="1233">
        <f>SUM('Acct Summary 7-8'!C7:K7)</f>
        <v>402986</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8320</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-7530</v>
      </c>
    </row>
    <row r="19" spans="1:4" ht="13.5" thickBot="1" x14ac:dyDescent="0.25">
      <c r="A19" s="1235" t="s">
        <v>1235</v>
      </c>
      <c r="D19" s="1236">
        <f>SUM(D10:D17)</f>
        <v>403776</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0"/>
      <c r="B24" s="2500"/>
      <c r="D24" s="1238"/>
    </row>
    <row r="25" spans="1:4" x14ac:dyDescent="0.2">
      <c r="A25" s="2497"/>
      <c r="B25" s="2497"/>
      <c r="D25" s="1238"/>
    </row>
    <row r="26" spans="1:4" x14ac:dyDescent="0.2">
      <c r="A26" s="2497"/>
      <c r="B26" s="2497"/>
      <c r="D26" s="1238"/>
    </row>
    <row r="27" spans="1:4" x14ac:dyDescent="0.2">
      <c r="A27" s="2497"/>
      <c r="B27" s="2497"/>
      <c r="D27" s="1238"/>
    </row>
    <row r="28" spans="1:4" x14ac:dyDescent="0.2">
      <c r="A28" s="2497"/>
      <c r="B28" s="2497"/>
      <c r="D28" s="1238"/>
    </row>
    <row r="29" spans="1:4" x14ac:dyDescent="0.2">
      <c r="A29" s="2497"/>
      <c r="B29" s="2497"/>
      <c r="D29" s="1238"/>
    </row>
    <row r="30" spans="1:4" x14ac:dyDescent="0.2">
      <c r="A30" s="2497"/>
      <c r="B30" s="2497"/>
      <c r="D30" s="1238"/>
    </row>
    <row r="32" spans="1:4" x14ac:dyDescent="0.2">
      <c r="A32" s="1230" t="s">
        <v>1233</v>
      </c>
      <c r="D32" s="1233">
        <f>SUM(D19:D30)</f>
        <v>403776</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497"/>
      <c r="B40" s="2497"/>
      <c r="D40" s="1238"/>
    </row>
    <row r="41" spans="1:4" x14ac:dyDescent="0.2">
      <c r="A41" s="2497"/>
      <c r="B41" s="2497"/>
      <c r="D41" s="1241"/>
    </row>
    <row r="42" spans="1:4" x14ac:dyDescent="0.2">
      <c r="A42" s="2497"/>
      <c r="B42" s="2497"/>
      <c r="D42" s="1241"/>
    </row>
    <row r="43" spans="1:4" x14ac:dyDescent="0.2">
      <c r="A43" s="2497"/>
      <c r="B43" s="2497"/>
      <c r="D43" s="1241"/>
    </row>
    <row r="44" spans="1:4" x14ac:dyDescent="0.2">
      <c r="A44" s="2497"/>
      <c r="B44" s="2497"/>
      <c r="D44" s="1241"/>
    </row>
    <row r="45" spans="1:4" x14ac:dyDescent="0.2">
      <c r="A45" s="2497"/>
      <c r="B45" s="2497"/>
      <c r="D45" s="1241"/>
    </row>
    <row r="47" spans="1:4" x14ac:dyDescent="0.2">
      <c r="B47" s="1242" t="s">
        <v>1227</v>
      </c>
      <c r="C47" s="1242"/>
      <c r="D47" s="1243">
        <f>SUM(D35:D45)</f>
        <v>0</v>
      </c>
    </row>
    <row r="49" spans="2:4" x14ac:dyDescent="0.2">
      <c r="B49" s="1242" t="s">
        <v>1226</v>
      </c>
      <c r="C49" s="1242"/>
      <c r="D49" s="1243">
        <f>D32-D47</f>
        <v>403776</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O22" sqref="O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1" t="str">
        <f>'Single Audit Cover'!A7</f>
        <v>Harrison SD 36</v>
      </c>
      <c r="C1" s="2502"/>
      <c r="D1" s="2502"/>
      <c r="E1" s="2502"/>
      <c r="F1" s="2502"/>
      <c r="G1" s="2502"/>
      <c r="H1" s="2502"/>
      <c r="I1" s="2502"/>
      <c r="J1" s="2502"/>
      <c r="K1" s="2502"/>
      <c r="L1" s="2502"/>
      <c r="M1" s="2502"/>
    </row>
    <row r="2" spans="2:14" ht="15" x14ac:dyDescent="0.2">
      <c r="B2" s="2503">
        <f>'Single Audit Cover'!E7</f>
        <v>44063036002</v>
      </c>
      <c r="C2" s="2503"/>
      <c r="D2" s="2503"/>
      <c r="E2" s="2503"/>
      <c r="F2" s="2503"/>
      <c r="G2" s="2503"/>
      <c r="H2" s="2503"/>
      <c r="I2" s="2503"/>
      <c r="J2" s="2503"/>
      <c r="K2" s="2503"/>
      <c r="L2" s="2503"/>
      <c r="M2" s="2503"/>
      <c r="N2" s="1272"/>
    </row>
    <row r="3" spans="2:14" ht="15" x14ac:dyDescent="0.2">
      <c r="B3" s="2504" t="s">
        <v>1219</v>
      </c>
      <c r="C3" s="2504"/>
      <c r="D3" s="2504"/>
      <c r="E3" s="2504"/>
      <c r="F3" s="2504"/>
      <c r="G3" s="2504"/>
      <c r="H3" s="2504"/>
      <c r="I3" s="2504"/>
      <c r="J3" s="2504"/>
      <c r="K3" s="2504"/>
      <c r="L3" s="2504"/>
      <c r="M3" s="2504"/>
      <c r="N3" s="1272"/>
    </row>
    <row r="4" spans="2:14" ht="15" x14ac:dyDescent="0.2">
      <c r="B4" s="2505" t="str">
        <f>'Single Audit Cover'!A4</f>
        <v>Year Ending June 30, 2019</v>
      </c>
      <c r="C4" s="2505"/>
      <c r="D4" s="2505"/>
      <c r="E4" s="2505"/>
      <c r="F4" s="2505"/>
      <c r="G4" s="2505"/>
      <c r="H4" s="2505"/>
      <c r="I4" s="2505"/>
      <c r="J4" s="2505"/>
      <c r="K4" s="2505"/>
      <c r="L4" s="2505"/>
      <c r="M4" s="2505"/>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5" t="str">
        <f>'Single Audit Cover'!A7</f>
        <v>Harrison SD 36</v>
      </c>
      <c r="B1" s="2515"/>
      <c r="C1" s="2515"/>
      <c r="D1" s="2515"/>
      <c r="E1" s="2515"/>
      <c r="F1" s="2515"/>
    </row>
    <row r="2" spans="1:7" ht="13.5" customHeight="1" x14ac:dyDescent="0.2">
      <c r="A2" s="2503">
        <f>'Single Audit Cover'!E7</f>
        <v>44063036002</v>
      </c>
      <c r="B2" s="2503"/>
      <c r="C2" s="2503"/>
      <c r="D2" s="2503"/>
      <c r="E2" s="2503"/>
      <c r="F2" s="2503"/>
      <c r="G2" s="1245"/>
    </row>
    <row r="3" spans="1:7" ht="15.75" customHeight="1" x14ac:dyDescent="0.2">
      <c r="A3" s="2516" t="s">
        <v>1271</v>
      </c>
      <c r="B3" s="2516"/>
      <c r="C3" s="2516"/>
      <c r="D3" s="2516"/>
      <c r="E3" s="2516"/>
      <c r="F3" s="2516"/>
    </row>
    <row r="4" spans="1:7" ht="13.5" customHeight="1" x14ac:dyDescent="0.2">
      <c r="A4" s="2517" t="str">
        <f>'Single Audit Cover'!A4</f>
        <v>Year Ending June 30, 2019</v>
      </c>
      <c r="B4" s="2517"/>
      <c r="C4" s="2517"/>
      <c r="D4" s="2517"/>
      <c r="E4" s="2517"/>
      <c r="F4" s="2517"/>
    </row>
    <row r="5" spans="1:7" ht="8.25" customHeight="1" x14ac:dyDescent="0.2">
      <c r="C5" s="317"/>
      <c r="D5" s="317"/>
    </row>
    <row r="6" spans="1:7" ht="13.5" customHeight="1" x14ac:dyDescent="0.2">
      <c r="A6" s="1246" t="s">
        <v>1728</v>
      </c>
      <c r="C6" s="317"/>
      <c r="D6" s="317"/>
    </row>
    <row r="7" spans="1:7" ht="60.95" customHeight="1" x14ac:dyDescent="0.2">
      <c r="A7" s="2514" t="s">
        <v>1729</v>
      </c>
      <c r="B7" s="2514"/>
      <c r="C7" s="2514"/>
      <c r="D7" s="2514"/>
      <c r="E7" s="2514"/>
      <c r="F7" s="2514"/>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14" t="s">
        <v>1731</v>
      </c>
      <c r="B13" s="2514"/>
      <c r="C13" s="2514"/>
      <c r="D13" s="2514"/>
      <c r="E13" s="2514"/>
      <c r="F13" s="2514"/>
    </row>
    <row r="14" spans="1:7" ht="9.75" customHeight="1" x14ac:dyDescent="0.2">
      <c r="C14" s="1230"/>
      <c r="D14" s="1230"/>
    </row>
    <row r="15" spans="1:7" ht="13.5" customHeight="1" x14ac:dyDescent="0.2">
      <c r="C15" s="1819" t="s">
        <v>1270</v>
      </c>
      <c r="D15" s="2512" t="s">
        <v>1269</v>
      </c>
      <c r="E15" s="2512"/>
      <c r="F15" s="2512"/>
    </row>
    <row r="16" spans="1:7" ht="13.5" customHeight="1" x14ac:dyDescent="0.2">
      <c r="A16" s="1252"/>
      <c r="B16" s="1246" t="s">
        <v>1268</v>
      </c>
      <c r="C16" s="1819" t="s">
        <v>1267</v>
      </c>
      <c r="D16" s="2513" t="s">
        <v>1588</v>
      </c>
      <c r="E16" s="2513"/>
      <c r="F16" s="2513"/>
    </row>
    <row r="17" spans="1:6" ht="20.45" customHeight="1" x14ac:dyDescent="0.2">
      <c r="A17" s="1253"/>
      <c r="B17" s="1254"/>
      <c r="C17" s="1255"/>
      <c r="D17" s="2507"/>
      <c r="E17" s="2507"/>
      <c r="F17" s="2507"/>
    </row>
    <row r="18" spans="1:6" ht="20.65" customHeight="1" x14ac:dyDescent="0.2">
      <c r="A18" s="1253"/>
      <c r="B18" s="1254"/>
      <c r="C18" s="1255"/>
      <c r="D18" s="2507"/>
      <c r="E18" s="2507"/>
      <c r="F18" s="2507"/>
    </row>
    <row r="19" spans="1:6" ht="20.65" customHeight="1" x14ac:dyDescent="0.2">
      <c r="A19" s="1253"/>
      <c r="B19" s="1254"/>
      <c r="C19" s="1255"/>
      <c r="D19" s="2507"/>
      <c r="E19" s="2507"/>
      <c r="F19" s="2507"/>
    </row>
    <row r="20" spans="1:6" ht="20.65" customHeight="1" x14ac:dyDescent="0.2">
      <c r="A20" s="1253"/>
      <c r="B20" s="1254"/>
      <c r="C20" s="1255"/>
      <c r="D20" s="2507"/>
      <c r="E20" s="2507"/>
      <c r="F20" s="2507"/>
    </row>
    <row r="21" spans="1:6" ht="20.65" customHeight="1" x14ac:dyDescent="0.2">
      <c r="A21" s="1253"/>
      <c r="B21" s="1254"/>
      <c r="C21" s="1255"/>
      <c r="D21" s="2507"/>
      <c r="E21" s="2507"/>
      <c r="F21" s="2507"/>
    </row>
    <row r="22" spans="1:6" ht="20.65" customHeight="1" x14ac:dyDescent="0.2">
      <c r="A22" s="1253"/>
      <c r="B22" s="1254"/>
      <c r="C22" s="1255"/>
      <c r="D22" s="2507"/>
      <c r="E22" s="2507"/>
      <c r="F22" s="2507"/>
    </row>
    <row r="23" spans="1:6" ht="20.65" customHeight="1" x14ac:dyDescent="0.2">
      <c r="A23" s="1253"/>
      <c r="B23" s="1254"/>
      <c r="C23" s="1255"/>
      <c r="D23" s="2507"/>
      <c r="E23" s="2507"/>
      <c r="F23" s="2507"/>
    </row>
    <row r="24" spans="1:6" ht="20.65" customHeight="1" x14ac:dyDescent="0.2">
      <c r="A24" s="1253"/>
      <c r="B24" s="1254"/>
      <c r="C24" s="1255"/>
      <c r="D24" s="2507"/>
      <c r="E24" s="2507"/>
      <c r="F24" s="2507"/>
    </row>
    <row r="25" spans="1:6" ht="20.65" customHeight="1" x14ac:dyDescent="0.2">
      <c r="A25" s="1253"/>
      <c r="B25" s="1254"/>
      <c r="C25" s="1255"/>
      <c r="D25" s="2507"/>
      <c r="E25" s="2507"/>
      <c r="F25" s="2507"/>
    </row>
    <row r="26" spans="1:6" ht="20.65" customHeight="1" x14ac:dyDescent="0.2">
      <c r="A26" s="1253"/>
      <c r="B26" s="1254"/>
      <c r="C26" s="1255"/>
      <c r="D26" s="2507"/>
      <c r="E26" s="2507"/>
      <c r="F26" s="2507"/>
    </row>
    <row r="27" spans="1:6" ht="20.65" customHeight="1" x14ac:dyDescent="0.2">
      <c r="A27" s="1253"/>
      <c r="B27" s="1254"/>
      <c r="C27" s="1255"/>
      <c r="D27" s="2507"/>
      <c r="E27" s="2507"/>
      <c r="F27" s="2507"/>
    </row>
    <row r="28" spans="1:6" ht="20.65" customHeight="1" x14ac:dyDescent="0.2">
      <c r="A28" s="1253"/>
      <c r="B28" s="1254"/>
      <c r="C28" s="1255"/>
      <c r="D28" s="2507"/>
      <c r="E28" s="2507"/>
      <c r="F28" s="2507"/>
    </row>
    <row r="29" spans="1:6" ht="20.65" customHeight="1" x14ac:dyDescent="0.2">
      <c r="A29" s="1253"/>
      <c r="B29" s="1254"/>
      <c r="C29" s="1255"/>
      <c r="D29" s="2507"/>
      <c r="E29" s="2507"/>
      <c r="F29" s="2507"/>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08" t="s">
        <v>1732</v>
      </c>
      <c r="B32" s="2508"/>
      <c r="C32" s="2508"/>
      <c r="D32" s="2508"/>
      <c r="E32" s="2508"/>
      <c r="F32" s="2508"/>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09">
        <f>+C33+C34</f>
        <v>0</v>
      </c>
      <c r="F34" s="2510"/>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1" t="s">
        <v>1590</v>
      </c>
      <c r="C49" s="2511"/>
      <c r="D49" s="2511"/>
      <c r="E49" s="1369"/>
    </row>
    <row r="50" spans="1:5" s="1270" customFormat="1" ht="3.75" customHeight="1" x14ac:dyDescent="0.2">
      <c r="A50" s="1269"/>
      <c r="B50" s="1818"/>
      <c r="C50" s="1818"/>
      <c r="D50" s="1818"/>
      <c r="E50" s="1369"/>
    </row>
    <row r="51" spans="1:5" s="1270" customFormat="1" ht="20.25" customHeight="1" x14ac:dyDescent="0.2">
      <c r="A51" s="1271">
        <v>6</v>
      </c>
      <c r="B51" s="2506" t="s">
        <v>1551</v>
      </c>
      <c r="C51" s="2506"/>
      <c r="D51" s="2506"/>
    </row>
    <row r="52" spans="1:5" ht="14.25" customHeight="1" x14ac:dyDescent="0.2">
      <c r="A52" s="1271"/>
      <c r="B52" s="2506"/>
      <c r="C52" s="2506"/>
      <c r="D52" s="2506"/>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G18" sqref="G18"/>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9" t="str">
        <f>'Single Audit Cover'!A7</f>
        <v>Harrison SD 36</v>
      </c>
      <c r="C1" s="2530"/>
      <c r="D1" s="2530"/>
      <c r="E1" s="2530"/>
      <c r="F1" s="2530"/>
      <c r="G1" s="2530"/>
      <c r="H1" s="2530"/>
      <c r="I1" s="2530"/>
      <c r="J1" s="1379"/>
    </row>
    <row r="2" spans="2:10" s="317" customFormat="1" ht="12.75" customHeight="1" x14ac:dyDescent="0.2">
      <c r="B2" s="2531">
        <f>'Single Audit Cover'!E7</f>
        <v>44063036002</v>
      </c>
      <c r="C2" s="2532"/>
      <c r="D2" s="2532"/>
      <c r="E2" s="2532"/>
      <c r="F2" s="2532"/>
      <c r="G2" s="2532"/>
      <c r="H2" s="2532"/>
      <c r="I2" s="2532"/>
      <c r="J2" s="1379"/>
    </row>
    <row r="3" spans="2:10" s="317" customFormat="1" ht="12.75" customHeight="1" x14ac:dyDescent="0.2">
      <c r="B3" s="2533" t="s">
        <v>1285</v>
      </c>
      <c r="C3" s="2534"/>
      <c r="D3" s="2534"/>
      <c r="E3" s="2534"/>
      <c r="F3" s="2534"/>
      <c r="G3" s="2534"/>
      <c r="H3" s="2534"/>
      <c r="I3" s="2534"/>
      <c r="J3" s="1380"/>
    </row>
    <row r="4" spans="2:10" s="317" customFormat="1" ht="12.75" customHeight="1" x14ac:dyDescent="0.2">
      <c r="B4" s="2533" t="str">
        <f>'Single Audit Cover'!A4</f>
        <v>Year Ending June 30, 2019</v>
      </c>
      <c r="C4" s="2534"/>
      <c r="D4" s="2534"/>
      <c r="E4" s="2534"/>
      <c r="F4" s="2534"/>
      <c r="G4" s="2534"/>
      <c r="H4" s="2534"/>
      <c r="I4" s="2534"/>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33" t="s">
        <v>1284</v>
      </c>
      <c r="C7" s="2534"/>
      <c r="D7" s="2534"/>
      <c r="E7" s="2534"/>
      <c r="F7" s="2534"/>
      <c r="G7" s="2534"/>
      <c r="H7" s="2534"/>
      <c r="I7" s="2534"/>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5"/>
      <c r="D11" s="2535"/>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6"/>
      <c r="E29" s="2536"/>
      <c r="F29" s="2536"/>
      <c r="G29" s="2536"/>
      <c r="H29" s="2536"/>
      <c r="I29" s="2536"/>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37" t="s">
        <v>1751</v>
      </c>
      <c r="D37" s="2538"/>
      <c r="E37" s="2538"/>
      <c r="F37" s="2539"/>
      <c r="G37" s="2537" t="s">
        <v>1592</v>
      </c>
      <c r="H37" s="2538"/>
      <c r="I37" s="2539"/>
    </row>
    <row r="38" spans="2:9" ht="16.5" customHeight="1" x14ac:dyDescent="0.2">
      <c r="B38" s="1401"/>
      <c r="C38" s="2525"/>
      <c r="D38" s="2526"/>
      <c r="E38" s="2526"/>
      <c r="F38" s="2527"/>
      <c r="G38" s="2540"/>
      <c r="H38" s="2541"/>
      <c r="I38" s="2542"/>
    </row>
    <row r="39" spans="2:9" ht="16.5" customHeight="1" x14ac:dyDescent="0.2">
      <c r="B39" s="1401"/>
      <c r="C39" s="2525"/>
      <c r="D39" s="2526"/>
      <c r="E39" s="2526"/>
      <c r="F39" s="2527"/>
      <c r="G39" s="2528"/>
      <c r="H39" s="2528"/>
      <c r="I39" s="2528"/>
    </row>
    <row r="40" spans="2:9" ht="16.5" customHeight="1" x14ac:dyDescent="0.2">
      <c r="B40" s="1401"/>
      <c r="C40" s="2525"/>
      <c r="D40" s="2526"/>
      <c r="E40" s="2526"/>
      <c r="F40" s="2527"/>
      <c r="G40" s="2528"/>
      <c r="H40" s="2528"/>
      <c r="I40" s="2528"/>
    </row>
    <row r="41" spans="2:9" ht="16.5" customHeight="1" x14ac:dyDescent="0.2">
      <c r="B41" s="1401"/>
      <c r="C41" s="2525"/>
      <c r="D41" s="2526"/>
      <c r="E41" s="2526"/>
      <c r="F41" s="2527"/>
      <c r="G41" s="2528"/>
      <c r="H41" s="2528"/>
      <c r="I41" s="2528"/>
    </row>
    <row r="42" spans="2:9" ht="16.5" customHeight="1" x14ac:dyDescent="0.2">
      <c r="B42" s="1401"/>
      <c r="C42" s="2525"/>
      <c r="D42" s="2526"/>
      <c r="E42" s="2526"/>
      <c r="F42" s="2527"/>
      <c r="G42" s="2528"/>
      <c r="H42" s="2528"/>
      <c r="I42" s="2528"/>
    </row>
    <row r="43" spans="2:9" ht="16.5" customHeight="1" x14ac:dyDescent="0.2">
      <c r="B43" s="1401"/>
      <c r="C43" s="2518" t="s">
        <v>1593</v>
      </c>
      <c r="D43" s="2519"/>
      <c r="E43" s="2519"/>
      <c r="F43" s="2520"/>
      <c r="G43" s="2521">
        <f>SUM(G38:I42)</f>
        <v>0</v>
      </c>
      <c r="H43" s="2521"/>
      <c r="I43" s="2521"/>
    </row>
    <row r="44" spans="2:9" ht="12.75" customHeight="1" x14ac:dyDescent="0.2"/>
    <row r="45" spans="2:9" ht="12.75" customHeight="1" x14ac:dyDescent="0.2">
      <c r="B45" s="1392" t="s">
        <v>1841</v>
      </c>
      <c r="D45" s="2522">
        <v>0</v>
      </c>
      <c r="E45" s="2523"/>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24"/>
      <c r="F49" s="2524"/>
      <c r="G49" s="2524"/>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9" t="str">
        <f>'Single Audit Cover'!A7</f>
        <v>Harrison SD 36</v>
      </c>
      <c r="C1" s="2529"/>
      <c r="D1" s="2529"/>
      <c r="E1" s="2529"/>
      <c r="F1" s="2529"/>
      <c r="G1" s="2529"/>
      <c r="H1" s="2529"/>
      <c r="I1" s="2529"/>
      <c r="J1" s="2529"/>
      <c r="K1" s="2529"/>
      <c r="L1" s="1344"/>
      <c r="M1" s="1344"/>
    </row>
    <row r="2" spans="1:13" ht="12" customHeight="1" x14ac:dyDescent="0.2">
      <c r="B2" s="2531">
        <f>'Single Audit Cover'!E7</f>
        <v>44063036002</v>
      </c>
      <c r="C2" s="2531"/>
      <c r="D2" s="2531"/>
      <c r="E2" s="2531"/>
      <c r="F2" s="2531"/>
      <c r="G2" s="2531"/>
      <c r="H2" s="2531"/>
      <c r="I2" s="2531"/>
      <c r="J2" s="2531"/>
      <c r="K2" s="2531"/>
      <c r="L2" s="1345"/>
      <c r="M2" s="1346"/>
    </row>
    <row r="3" spans="1:13" ht="10.35" customHeight="1" x14ac:dyDescent="0.2">
      <c r="B3" s="2545" t="s">
        <v>1285</v>
      </c>
      <c r="C3" s="2545"/>
      <c r="D3" s="2545"/>
      <c r="E3" s="2545"/>
      <c r="F3" s="2545"/>
      <c r="G3" s="2545"/>
      <c r="H3" s="2545"/>
      <c r="I3" s="2545"/>
      <c r="J3" s="2545"/>
      <c r="K3" s="2545"/>
      <c r="L3" s="1347"/>
      <c r="M3" s="1347"/>
    </row>
    <row r="4" spans="1:13" ht="14.25" customHeight="1" x14ac:dyDescent="0.2">
      <c r="B4" s="2546" t="str">
        <f>'Single Audit Cover'!A4</f>
        <v>Year Ending June 30, 2019</v>
      </c>
      <c r="C4" s="2546"/>
      <c r="D4" s="2546"/>
      <c r="E4" s="2546"/>
      <c r="F4" s="2546"/>
      <c r="G4" s="2546"/>
      <c r="H4" s="2546"/>
      <c r="I4" s="2546"/>
      <c r="J4" s="2546"/>
      <c r="K4" s="2546"/>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6" t="s">
        <v>1296</v>
      </c>
      <c r="C7" s="2546"/>
      <c r="D7" s="2547"/>
      <c r="E7" s="2547"/>
      <c r="F7" s="2547"/>
      <c r="G7" s="2547"/>
      <c r="H7" s="2547"/>
      <c r="I7" s="2547"/>
      <c r="J7" s="2547"/>
      <c r="K7" s="2547"/>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4"/>
      <c r="C14" s="2544"/>
      <c r="D14" s="2544"/>
      <c r="E14" s="2544"/>
      <c r="F14" s="2544"/>
      <c r="G14" s="2544"/>
      <c r="H14" s="2544"/>
      <c r="I14" s="2544"/>
      <c r="J14" s="2544"/>
      <c r="K14" s="2544"/>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4"/>
      <c r="C17" s="2544"/>
      <c r="D17" s="2544"/>
      <c r="E17" s="2544"/>
      <c r="F17" s="2544"/>
      <c r="G17" s="2544"/>
      <c r="H17" s="2544"/>
      <c r="I17" s="2544"/>
      <c r="J17" s="2544"/>
      <c r="K17" s="2544"/>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48"/>
      <c r="C20" s="2548"/>
      <c r="D20" s="2544"/>
      <c r="E20" s="2544"/>
      <c r="F20" s="2544"/>
      <c r="G20" s="2544"/>
      <c r="H20" s="2544"/>
      <c r="I20" s="2544"/>
      <c r="J20" s="2544"/>
      <c r="K20" s="2544"/>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4"/>
      <c r="C23" s="2544"/>
      <c r="D23" s="2544"/>
      <c r="E23" s="2544"/>
      <c r="F23" s="2544"/>
      <c r="G23" s="2544"/>
      <c r="H23" s="2544"/>
      <c r="I23" s="2544"/>
      <c r="J23" s="2544"/>
      <c r="K23" s="2544"/>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4"/>
      <c r="C26" s="2544"/>
      <c r="D26" s="2544"/>
      <c r="E26" s="2544"/>
      <c r="F26" s="2544"/>
      <c r="G26" s="2544"/>
      <c r="H26" s="2544"/>
      <c r="I26" s="2544"/>
      <c r="J26" s="2544"/>
      <c r="K26" s="2544"/>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3"/>
      <c r="C29" s="2543"/>
      <c r="D29" s="2544"/>
      <c r="E29" s="2544"/>
      <c r="F29" s="2544"/>
      <c r="G29" s="2544"/>
      <c r="H29" s="2544"/>
      <c r="I29" s="2544"/>
      <c r="J29" s="2544"/>
      <c r="K29" s="2544"/>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3"/>
      <c r="C32" s="2543"/>
      <c r="D32" s="2544"/>
      <c r="E32" s="2544"/>
      <c r="F32" s="2544"/>
      <c r="G32" s="2544"/>
      <c r="H32" s="2544"/>
      <c r="I32" s="2544"/>
      <c r="J32" s="2544"/>
      <c r="K32" s="2544"/>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2" t="str">
        <f>'Single Audit Cover'!A7</f>
        <v>Harrison SD 36</v>
      </c>
      <c r="C1" s="2552"/>
      <c r="D1" s="2552"/>
      <c r="E1" s="2552"/>
      <c r="F1" s="2552"/>
      <c r="G1" s="2552"/>
      <c r="H1" s="2552"/>
      <c r="I1" s="2552"/>
      <c r="J1" s="2552"/>
      <c r="K1" s="2552"/>
      <c r="L1" s="1422"/>
    </row>
    <row r="2" spans="1:12" ht="12.75" customHeight="1" x14ac:dyDescent="0.2">
      <c r="B2" s="2553">
        <f>'Single Audit Cover'!E7</f>
        <v>44063036002</v>
      </c>
      <c r="C2" s="2553"/>
      <c r="D2" s="2553"/>
      <c r="E2" s="2553"/>
      <c r="F2" s="2553"/>
      <c r="G2" s="2553"/>
      <c r="H2" s="2553"/>
      <c r="I2" s="2553"/>
      <c r="J2" s="2553"/>
      <c r="K2" s="2553"/>
      <c r="L2" s="1423"/>
    </row>
    <row r="3" spans="1:12" ht="12.75" customHeight="1" x14ac:dyDescent="0.2">
      <c r="B3" s="2545" t="s">
        <v>1285</v>
      </c>
      <c r="C3" s="2545"/>
      <c r="D3" s="2545"/>
      <c r="E3" s="2545"/>
      <c r="F3" s="2545"/>
      <c r="G3" s="2545"/>
      <c r="H3" s="2545"/>
      <c r="I3" s="2545"/>
      <c r="J3" s="2545"/>
      <c r="K3" s="2545"/>
      <c r="L3" s="1347"/>
    </row>
    <row r="4" spans="1:12" ht="12.75" customHeight="1" x14ac:dyDescent="0.2">
      <c r="B4" s="2545" t="str">
        <f>'Single Audit Cover'!A4</f>
        <v>Year Ending June 30, 2019</v>
      </c>
      <c r="C4" s="2545"/>
      <c r="D4" s="2545"/>
      <c r="E4" s="2545"/>
      <c r="F4" s="2545"/>
      <c r="G4" s="2545"/>
      <c r="H4" s="2545"/>
      <c r="I4" s="2545"/>
      <c r="J4" s="2545"/>
      <c r="K4" s="2545"/>
      <c r="L4" s="1347"/>
    </row>
    <row r="5" spans="1:12" ht="5.25" customHeight="1" x14ac:dyDescent="0.2">
      <c r="B5" s="1230" t="s">
        <v>1169</v>
      </c>
      <c r="C5" s="1230"/>
      <c r="L5" s="322"/>
    </row>
    <row r="6" spans="1:12" ht="30.75" customHeight="1" x14ac:dyDescent="0.2">
      <c r="A6" s="322"/>
      <c r="B6" s="2554" t="s">
        <v>1308</v>
      </c>
      <c r="C6" s="2554"/>
      <c r="D6" s="2554"/>
      <c r="E6" s="2554"/>
      <c r="F6" s="2554"/>
      <c r="G6" s="2554"/>
      <c r="H6" s="2554"/>
      <c r="I6" s="2554"/>
      <c r="J6" s="2554"/>
      <c r="K6" s="2554"/>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6"/>
      <c r="G12" s="2536"/>
      <c r="H12" s="2536"/>
      <c r="I12" s="2536"/>
      <c r="J12" s="2536"/>
      <c r="K12" s="2536"/>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49"/>
      <c r="E14" s="2549"/>
      <c r="F14" s="2549"/>
      <c r="H14" s="1432" t="s">
        <v>1303</v>
      </c>
      <c r="I14" s="2550"/>
      <c r="J14" s="2550"/>
      <c r="K14" s="2550"/>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0"/>
      <c r="E16" s="2550"/>
      <c r="F16" s="2550"/>
      <c r="G16" s="2550"/>
      <c r="H16" s="2550"/>
      <c r="I16" s="2550"/>
      <c r="J16" s="2550"/>
      <c r="K16" s="2550"/>
      <c r="L16" s="322"/>
    </row>
    <row r="17" spans="2:12" ht="13.5" customHeight="1" x14ac:dyDescent="0.2">
      <c r="B17" s="1357" t="s">
        <v>1301</v>
      </c>
      <c r="C17" s="1357"/>
      <c r="D17" s="2551"/>
      <c r="E17" s="2551"/>
      <c r="F17" s="2551"/>
      <c r="G17" s="2551"/>
      <c r="H17" s="2551"/>
      <c r="I17" s="2551"/>
      <c r="J17" s="2551"/>
      <c r="K17" s="2551"/>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4"/>
      <c r="C20" s="2544"/>
      <c r="D20" s="2544"/>
      <c r="E20" s="2544"/>
      <c r="F20" s="2544"/>
      <c r="G20" s="2544"/>
      <c r="H20" s="2544"/>
      <c r="I20" s="2544"/>
      <c r="J20" s="2544"/>
      <c r="K20" s="2544"/>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4"/>
      <c r="C23" s="2544"/>
      <c r="D23" s="2544"/>
      <c r="E23" s="2544"/>
      <c r="F23" s="2544"/>
      <c r="G23" s="2544"/>
      <c r="H23" s="2544"/>
      <c r="I23" s="2544"/>
      <c r="J23" s="2544"/>
      <c r="K23" s="2544"/>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4"/>
      <c r="C26" s="2544"/>
      <c r="D26" s="2544"/>
      <c r="E26" s="2544"/>
      <c r="F26" s="2544"/>
      <c r="G26" s="2544"/>
      <c r="H26" s="2544"/>
      <c r="I26" s="2544"/>
      <c r="J26" s="2544"/>
      <c r="K26" s="2544"/>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4"/>
      <c r="C29" s="2544"/>
      <c r="D29" s="2544"/>
      <c r="E29" s="2544"/>
      <c r="F29" s="2544"/>
      <c r="G29" s="2544"/>
      <c r="H29" s="2544"/>
      <c r="I29" s="2544"/>
      <c r="J29" s="2544"/>
      <c r="K29" s="2544"/>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4"/>
      <c r="C32" s="2544"/>
      <c r="D32" s="2544"/>
      <c r="E32" s="2544"/>
      <c r="F32" s="2544"/>
      <c r="G32" s="2544"/>
      <c r="H32" s="2544"/>
      <c r="I32" s="2544"/>
      <c r="J32" s="2544"/>
      <c r="K32" s="2544"/>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4"/>
      <c r="C35" s="2544"/>
      <c r="D35" s="2544"/>
      <c r="E35" s="2544"/>
      <c r="F35" s="2544"/>
      <c r="G35" s="2544"/>
      <c r="H35" s="2544"/>
      <c r="I35" s="2544"/>
      <c r="J35" s="2544"/>
      <c r="K35" s="2544"/>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4"/>
      <c r="C38" s="2544"/>
      <c r="D38" s="2544"/>
      <c r="E38" s="2544"/>
      <c r="F38" s="2544"/>
      <c r="G38" s="2544"/>
      <c r="H38" s="2544"/>
      <c r="I38" s="2544"/>
      <c r="J38" s="2544"/>
      <c r="K38" s="2544"/>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4"/>
      <c r="C41" s="2544"/>
      <c r="D41" s="2544"/>
      <c r="E41" s="2544"/>
      <c r="F41" s="2544"/>
      <c r="G41" s="2544"/>
      <c r="H41" s="2544"/>
      <c r="I41" s="2544"/>
      <c r="J41" s="2544"/>
      <c r="K41" s="2544"/>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9" t="str">
        <f>'Single Audit Cover'!A7</f>
        <v>Harrison SD 36</v>
      </c>
      <c r="C1" s="2529"/>
      <c r="D1" s="2529"/>
      <c r="E1" s="1442"/>
    </row>
    <row r="2" spans="2:5" s="1252" customFormat="1" ht="12.75" customHeight="1" x14ac:dyDescent="0.2">
      <c r="B2" s="2531">
        <f>'Single Audit Cover'!E7</f>
        <v>44063036002</v>
      </c>
      <c r="C2" s="2531"/>
      <c r="D2" s="2531"/>
      <c r="E2" s="1443"/>
    </row>
    <row r="3" spans="2:5" ht="12.75" customHeight="1" x14ac:dyDescent="0.2">
      <c r="B3" s="2545" t="s">
        <v>1766</v>
      </c>
      <c r="C3" s="2545"/>
      <c r="D3" s="2545"/>
      <c r="E3" s="1244"/>
    </row>
    <row r="4" spans="2:5" s="1252" customFormat="1" ht="12.75" customHeight="1" x14ac:dyDescent="0.2">
      <c r="B4" s="2555" t="str">
        <f>'Single Audit Cover'!A4</f>
        <v>Year Ending June 30, 2019</v>
      </c>
      <c r="C4" s="2555"/>
      <c r="D4" s="2555"/>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7C0BB24B3B274B9DEDA793A795A348" ma:contentTypeVersion="9" ma:contentTypeDescription="Create a new document." ma:contentTypeScope="" ma:versionID="d62665202c7b46e50f42e814f6053d97">
  <xsd:schema xmlns:xsd="http://www.w3.org/2001/XMLSchema" xmlns:xs="http://www.w3.org/2001/XMLSchema" xmlns:p="http://schemas.microsoft.com/office/2006/metadata/properties" xmlns:ns3="54fdbbb2-8a27-4de6-9bc4-b74849914af9" targetNamespace="http://schemas.microsoft.com/office/2006/metadata/properties" ma:root="true" ma:fieldsID="fa96caf6dfb2fa20647192df3f60e67c" ns3:_="">
    <xsd:import namespace="54fdbbb2-8a27-4de6-9bc4-b74849914a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dbbb2-8a27-4de6-9bc4-b74849914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CA922C-DD34-4661-B0DB-937BADBE7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fdbbb2-8a27-4de6-9bc4-b74849914a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openxmlformats.org/package/2006/metadata/core-properties"/>
    <ds:schemaRef ds:uri="http://www.w3.org/XML/1998/namespace"/>
    <ds:schemaRef ds:uri="http://purl.org/dc/elements/1.1/"/>
    <ds:schemaRef ds:uri="http://purl.org/dc/terms/"/>
    <ds:schemaRef ds:uri="http://schemas.microsoft.com/office/2006/metadata/properties"/>
    <ds:schemaRef ds:uri="http://purl.org/dc/dcmitype/"/>
    <ds:schemaRef ds:uri="54fdbbb2-8a27-4de6-9bc4-b74849914af9"/>
    <ds:schemaRef ds:uri="http://schemas.microsoft.com/office/infopath/2007/PartnerControl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2019-10-14T15:57:45Z</cp:lastPrinted>
  <dcterms:created xsi:type="dcterms:W3CDTF">2003-10-29T19:06:34Z</dcterms:created>
  <dcterms:modified xsi:type="dcterms:W3CDTF">2019-12-17T15:21:46Z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0x010100317C0BB24B3B274B9DEDA793A795A348</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