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2186826E-A3D7-46C1-858E-184678317D62}" xr6:coauthVersionLast="36" xr6:coauthVersionMax="36" xr10:uidLastSave="{00000000-0000-0000-0000-000000000000}"/>
  <bookViews>
    <workbookView xWindow="-1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D167" i="34" l="1"/>
  <c r="D166" i="34"/>
  <c r="C167" i="34"/>
  <c r="C166" i="34"/>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B7803" i="106" l="1"/>
  <c r="D7803" i="106" s="1"/>
  <c r="B7807" i="106"/>
  <c r="D7807" i="106" s="1"/>
  <c r="B7806" i="106"/>
  <c r="D7806" i="106" s="1"/>
  <c r="B7802" i="106"/>
  <c r="D7802" i="106" s="1"/>
  <c r="B7801" i="106"/>
  <c r="D7801" i="106" s="1"/>
  <c r="B7805" i="106"/>
  <c r="D7805" i="106" s="1"/>
  <c r="B7804" i="106"/>
  <c r="D7804" i="106" s="1"/>
  <c r="B7808" i="106"/>
  <c r="D7808" i="106" s="1"/>
  <c r="I34" i="182"/>
  <c r="J34" i="182"/>
  <c r="H34" i="182"/>
  <c r="K34" i="182" l="1"/>
  <c r="D81" i="36" s="1"/>
  <c r="L334" i="29" l="1"/>
  <c r="B7795" i="106"/>
  <c r="L357" i="29" l="1"/>
  <c r="L285" i="29" l="1"/>
  <c r="L160" i="29"/>
  <c r="L137" i="29"/>
  <c r="G139" i="181" l="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H137" i="29" l="1"/>
  <c r="B7775" i="106"/>
  <c r="D285" i="29"/>
  <c r="B7783" i="106"/>
  <c r="K282" i="29"/>
  <c r="B7784" i="106" s="1"/>
  <c r="B7811" i="106"/>
  <c r="D7811" i="106" s="1"/>
  <c r="B15" i="7"/>
  <c r="F29" i="34"/>
  <c r="B7814" i="106"/>
  <c r="D7814" i="106" s="1"/>
  <c r="E137" i="29"/>
  <c r="E139" i="29" s="1"/>
  <c r="K133" i="29"/>
  <c r="B7776" i="106" s="1"/>
  <c r="B7774" i="106"/>
  <c r="K354" i="29"/>
  <c r="H357" i="29"/>
  <c r="B7791" i="106"/>
  <c r="B7810" i="106"/>
  <c r="D7810" i="106" s="1"/>
  <c r="F167" i="34"/>
  <c r="B7813" i="106"/>
  <c r="D7813" i="106" s="1"/>
  <c r="H334" i="29"/>
  <c r="B7789" i="106" s="1"/>
  <c r="B7785" i="106"/>
  <c r="K332" i="29"/>
  <c r="B7815" i="106"/>
  <c r="D7815" i="106" s="1"/>
  <c r="B7809" i="106"/>
  <c r="D7809" i="106" s="1"/>
  <c r="F166" i="34"/>
  <c r="B7793" i="106"/>
  <c r="K355" i="29"/>
  <c r="B7794" i="106" s="1"/>
  <c r="B7816" i="106"/>
  <c r="D7816" i="106" s="1"/>
  <c r="B5196" i="106"/>
  <c r="B7812" i="106"/>
  <c r="D7812" i="106" s="1"/>
  <c r="K356" i="29"/>
  <c r="K158" i="29"/>
  <c r="B7780" i="106" s="1"/>
  <c r="B7779" i="106"/>
  <c r="H160" i="29"/>
  <c r="K157" i="29"/>
  <c r="B7777" i="106"/>
  <c r="B7781" i="106"/>
  <c r="K159" i="29"/>
  <c r="B7782" i="106" s="1"/>
  <c r="K333" i="29"/>
  <c r="B7788" i="106" s="1"/>
  <c r="B7787" i="106"/>
  <c r="B7778" i="106"/>
  <c r="D17" i="171"/>
  <c r="K160" i="29" l="1"/>
  <c r="B7786" i="106"/>
  <c r="K334" i="29"/>
  <c r="B7792" i="106"/>
  <c r="K357" i="29"/>
  <c r="K15" i="4" s="1"/>
  <c r="F60" i="34"/>
  <c r="E15" i="4"/>
  <c r="L27" i="179"/>
  <c r="L26" i="179"/>
  <c r="L25" i="179"/>
  <c r="L24" i="179"/>
  <c r="L23" i="179"/>
  <c r="L22" i="179"/>
  <c r="L21" i="179"/>
  <c r="L20" i="179"/>
  <c r="L19" i="179"/>
  <c r="L18" i="179"/>
  <c r="L17" i="179"/>
  <c r="L16" i="179"/>
  <c r="L15" i="179"/>
  <c r="L14" i="179"/>
  <c r="L13" i="179"/>
  <c r="L12" i="179"/>
  <c r="L11" i="179"/>
  <c r="J15" i="4" l="1"/>
  <c r="B7796" i="106" s="1"/>
  <c r="F74" i="34"/>
  <c r="B7790" i="106"/>
  <c r="D14" i="17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D7766" i="106" s="1"/>
  <c r="B7765" i="106"/>
  <c r="B7764" i="106"/>
  <c r="D7764" i="106" s="1"/>
  <c r="J85" i="28"/>
  <c r="B7758" i="106" s="1"/>
  <c r="D7758" i="106" s="1"/>
  <c r="J88" i="28"/>
  <c r="K6" i="29"/>
  <c r="B7763" i="106" s="1"/>
  <c r="D7763" i="106" s="1"/>
  <c r="B7762" i="106"/>
  <c r="K12" i="12"/>
  <c r="B7719" i="106" s="1"/>
  <c r="D7719" i="106" s="1"/>
  <c r="K23" i="12"/>
  <c r="J12" i="12"/>
  <c r="J21" i="12"/>
  <c r="J23" i="12"/>
  <c r="B7729" i="106"/>
  <c r="D7729" i="106" s="1"/>
  <c r="B7734" i="106"/>
  <c r="B7726" i="106"/>
  <c r="F158" i="34"/>
  <c r="B30" i="36"/>
  <c r="B33" i="36" s="1"/>
  <c r="B43" i="36" s="1"/>
  <c r="B56" i="36" s="1"/>
  <c r="B66" i="36" s="1"/>
  <c r="B70" i="36" s="1"/>
  <c r="B74" i="36" s="1"/>
  <c r="D73" i="36"/>
  <c r="C188" i="5"/>
  <c r="B4395" i="106" s="1"/>
  <c r="D4395" i="106" s="1"/>
  <c r="C198" i="5"/>
  <c r="B5246" i="106" s="1"/>
  <c r="D5246" i="106" s="1"/>
  <c r="C204" i="5"/>
  <c r="B5260" i="106" s="1"/>
  <c r="D5260" i="106" s="1"/>
  <c r="C209" i="5"/>
  <c r="C217" i="5"/>
  <c r="C221" i="5"/>
  <c r="C252" i="5"/>
  <c r="B7761" i="106"/>
  <c r="D7761" i="106" s="1"/>
  <c r="L127" i="29"/>
  <c r="L129" i="29" s="1"/>
  <c r="L139" i="29"/>
  <c r="L149" i="29"/>
  <c r="I7" i="145"/>
  <c r="I6" i="145"/>
  <c r="D78" i="36"/>
  <c r="K75" i="29"/>
  <c r="F52" i="34" s="1"/>
  <c r="K130" i="29"/>
  <c r="K185" i="29"/>
  <c r="K122" i="29"/>
  <c r="F15" i="145" s="1"/>
  <c r="F19" i="145" s="1"/>
  <c r="K67" i="29"/>
  <c r="E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D27" i="108" s="1"/>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B2973" i="106" s="1"/>
  <c r="D2973" i="106" s="1"/>
  <c r="K79" i="29"/>
  <c r="K80" i="29"/>
  <c r="K81" i="29"/>
  <c r="B2976" i="106" s="1"/>
  <c r="D2976" i="106" s="1"/>
  <c r="K82" i="29"/>
  <c r="B2977" i="106" s="1"/>
  <c r="D2977" i="106" s="1"/>
  <c r="K83" i="29"/>
  <c r="B2978" i="106" s="1"/>
  <c r="D2978" i="106" s="1"/>
  <c r="K93" i="29"/>
  <c r="K94" i="29"/>
  <c r="B6999" i="106" s="1"/>
  <c r="D6999" i="106" s="1"/>
  <c r="K95" i="29"/>
  <c r="B7001" i="106" s="1"/>
  <c r="D7001" i="106" s="1"/>
  <c r="K96" i="29"/>
  <c r="B7003" i="106" s="1"/>
  <c r="D7003" i="106" s="1"/>
  <c r="K97" i="29"/>
  <c r="K98" i="29"/>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B4087" i="106" s="1"/>
  <c r="D4087" i="106" s="1"/>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K219" i="29"/>
  <c r="B3065" i="106" s="1"/>
  <c r="D3065" i="106" s="1"/>
  <c r="K220" i="29"/>
  <c r="B7078" i="106" s="1"/>
  <c r="D7078" i="106" s="1"/>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K250" i="29"/>
  <c r="B7086" i="106" s="1"/>
  <c r="D7086" i="106" s="1"/>
  <c r="K251" i="29"/>
  <c r="B7088" i="106" s="1"/>
  <c r="D7088" i="106" s="1"/>
  <c r="K252" i="29"/>
  <c r="K253" i="29"/>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D2915" i="106"/>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5" i="106"/>
  <c r="D2975"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8" i="106"/>
  <c r="D6288"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7" i="106"/>
  <c r="D6997" i="106" s="1"/>
  <c r="B6998" i="106"/>
  <c r="D6998" i="106" s="1"/>
  <c r="B7000" i="106"/>
  <c r="D7000" i="106" s="1"/>
  <c r="B7002" i="106"/>
  <c r="D7002" i="106" s="1"/>
  <c r="B7004" i="106"/>
  <c r="D7004" i="106" s="1"/>
  <c r="B7005" i="106"/>
  <c r="D7005" i="106" s="1"/>
  <c r="B7006" i="106"/>
  <c r="D7006" i="106" s="1"/>
  <c r="B7007" i="106"/>
  <c r="D7007" i="106" s="1"/>
  <c r="B7008" i="106"/>
  <c r="D7008" i="106" s="1"/>
  <c r="B7009" i="106"/>
  <c r="D7009" i="106" s="1"/>
  <c r="B7011" i="106"/>
  <c r="D7011" i="106" s="1"/>
  <c r="B7012" i="106"/>
  <c r="D7012"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6" i="106"/>
  <c r="D7076" i="106" s="1"/>
  <c r="B7077" i="106"/>
  <c r="D7077" i="106" s="1"/>
  <c r="B7079" i="106"/>
  <c r="D7079" i="106" s="1"/>
  <c r="B7081" i="106"/>
  <c r="D7081" i="106" s="1"/>
  <c r="B7083" i="106"/>
  <c r="D7083" i="106" s="1"/>
  <c r="B7084" i="106"/>
  <c r="D7084" i="106" s="1"/>
  <c r="B7085" i="106"/>
  <c r="D7085" i="106" s="1"/>
  <c r="B7087" i="106"/>
  <c r="D7087" i="106" s="1"/>
  <c r="B7089" i="106"/>
  <c r="D7089" i="106" s="1"/>
  <c r="B7090" i="106"/>
  <c r="D7090" i="106" s="1"/>
  <c r="B7091" i="106"/>
  <c r="D7091" i="106" s="1"/>
  <c r="B7092" i="106"/>
  <c r="D7092"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5" i="127"/>
  <c r="B66" i="127"/>
  <c r="D26" i="108"/>
  <c r="F26" i="108"/>
  <c r="E27" i="108"/>
  <c r="F27" i="108"/>
  <c r="G27" i="108"/>
  <c r="F31" i="108"/>
  <c r="F36" i="108"/>
  <c r="F37" i="108"/>
  <c r="G28" i="108"/>
  <c r="D31" i="108"/>
  <c r="D36" i="108"/>
  <c r="D37" i="108"/>
  <c r="E31" i="108"/>
  <c r="G31" i="108"/>
  <c r="G33" i="108"/>
  <c r="E35" i="108"/>
  <c r="G35"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F56" i="34"/>
  <c r="C57" i="34"/>
  <c r="D57" i="34"/>
  <c r="C61" i="34"/>
  <c r="C62" i="34"/>
  <c r="F62" i="34"/>
  <c r="C63" i="34"/>
  <c r="D63" i="34"/>
  <c r="C64" i="34"/>
  <c r="F64" i="34"/>
  <c r="C67" i="34"/>
  <c r="D67" i="34"/>
  <c r="C68" i="34"/>
  <c r="D68" i="34"/>
  <c r="F68" i="34"/>
  <c r="C69" i="34"/>
  <c r="D69" i="34"/>
  <c r="F69" i="34"/>
  <c r="C70" i="34"/>
  <c r="D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B5304" i="106"/>
  <c r="D5304"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F14" i="4"/>
  <c r="B2597" i="106" s="1"/>
  <c r="D2597" i="106" s="1"/>
  <c r="B2633" i="106"/>
  <c r="D2633" i="106" s="1"/>
  <c r="D7" i="118"/>
  <c r="D8" i="118"/>
  <c r="D9" i="118"/>
  <c r="H14" i="118"/>
  <c r="H19" i="118"/>
  <c r="H24" i="118"/>
  <c r="J22" i="37"/>
  <c r="L22" i="37"/>
  <c r="D24" i="37"/>
  <c r="B4270" i="106" s="1"/>
  <c r="D4270" i="106" s="1"/>
  <c r="L5" i="11"/>
  <c r="B2056" i="106" s="1"/>
  <c r="D2056" i="106" s="1"/>
  <c r="G14" i="4" l="1"/>
  <c r="B2609" i="106" s="1"/>
  <c r="D2609" i="106" s="1"/>
  <c r="B7074" i="106"/>
  <c r="D7074" i="106" s="1"/>
  <c r="C14" i="4"/>
  <c r="B2558" i="106" s="1"/>
  <c r="D2558" i="106" s="1"/>
  <c r="G39" i="108"/>
  <c r="G34" i="108"/>
  <c r="B2724" i="106"/>
  <c r="D2724" i="106" s="1"/>
  <c r="F44" i="34"/>
  <c r="F42" i="34"/>
  <c r="H28" i="118"/>
  <c r="D68" i="36"/>
  <c r="D22" i="37"/>
  <c r="N22" i="3"/>
  <c r="B283" i="106" s="1"/>
  <c r="D283" i="106" s="1"/>
  <c r="D69" i="36"/>
  <c r="D11" i="37"/>
  <c r="H29" i="118"/>
  <c r="D31" i="36"/>
  <c r="F50" i="34"/>
  <c r="G29" i="108"/>
  <c r="F46" i="34"/>
  <c r="E29" i="108"/>
  <c r="B7047" i="106"/>
  <c r="D7047" i="106" s="1"/>
  <c r="F36" i="34"/>
  <c r="B6289" i="106"/>
  <c r="D6289" i="106" s="1"/>
  <c r="F19" i="7"/>
  <c r="B1807" i="106" s="1"/>
  <c r="D1807" i="106" s="1"/>
  <c r="J210" i="29"/>
  <c r="B7072" i="106" s="1"/>
  <c r="D7072" i="106" s="1"/>
  <c r="J129" i="29"/>
  <c r="B7038" i="106" s="1"/>
  <c r="D7038" i="106" s="1"/>
  <c r="I129" i="29"/>
  <c r="B7037" i="106" s="1"/>
  <c r="D7037" i="106" s="1"/>
  <c r="B3454" i="106"/>
  <c r="D3454" i="106" s="1"/>
  <c r="B2864" i="106"/>
  <c r="D2864" i="106" s="1"/>
  <c r="B2029" i="106"/>
  <c r="D2029" i="106" s="1"/>
  <c r="B276" i="106"/>
  <c r="D276" i="106" s="1"/>
  <c r="B2028" i="106"/>
  <c r="D2028" i="106" s="1"/>
  <c r="B275" i="106"/>
  <c r="D275" i="106" s="1"/>
  <c r="B2026" i="106"/>
  <c r="D2026" i="106" s="1"/>
  <c r="B2027" i="106"/>
  <c r="D2027" i="106" s="1"/>
  <c r="B274" i="106"/>
  <c r="D274" i="106" s="1"/>
  <c r="K184" i="29"/>
  <c r="F13" i="4" s="1"/>
  <c r="B2596" i="106" s="1"/>
  <c r="D2596" i="106" s="1"/>
  <c r="F77" i="4"/>
  <c r="B3255" i="106" s="1"/>
  <c r="D3255" i="106" s="1"/>
  <c r="G38" i="108"/>
  <c r="E38" i="108"/>
  <c r="G30" i="108"/>
  <c r="B1274" i="106"/>
  <c r="D1274" i="106" s="1"/>
  <c r="F70" i="34"/>
  <c r="E30" i="108"/>
  <c r="B2895" i="106"/>
  <c r="D2895" i="106" s="1"/>
  <c r="G210" i="29"/>
  <c r="I210" i="29"/>
  <c r="B7071" i="106" s="1"/>
  <c r="D7071" i="106" s="1"/>
  <c r="E26" i="108"/>
  <c r="G15" i="145"/>
  <c r="G26" i="108"/>
  <c r="B6995" i="106"/>
  <c r="D6995" i="106" s="1"/>
  <c r="F28" i="108"/>
  <c r="F41" i="108" s="1"/>
  <c r="G43" i="108" s="1"/>
  <c r="E28" i="108"/>
  <c r="B1124" i="106"/>
  <c r="D1124" i="106" s="1"/>
  <c r="F34" i="34"/>
  <c r="J352" i="29"/>
  <c r="J367" i="29" s="1"/>
  <c r="B7245" i="106" s="1"/>
  <c r="D7245" i="106" s="1"/>
  <c r="H342" i="29"/>
  <c r="B7221" i="106" s="1"/>
  <c r="D7221" i="106" s="1"/>
  <c r="H112" i="29"/>
  <c r="B7018" i="106" s="1"/>
  <c r="D7018" i="106" s="1"/>
  <c r="J77" i="4"/>
  <c r="B6262" i="106" s="1"/>
  <c r="D6262" i="106" s="1"/>
  <c r="H76" i="4"/>
  <c r="B3298" i="106" s="1"/>
  <c r="D3298" i="106" s="1"/>
  <c r="H365" i="29"/>
  <c r="B7242" i="106" s="1"/>
  <c r="D7242" i="106" s="1"/>
  <c r="C342" i="29"/>
  <c r="B7216" i="106" s="1"/>
  <c r="D7216" i="106" s="1"/>
  <c r="L15" i="11"/>
  <c r="B3459" i="106" s="1"/>
  <c r="D3459" i="106" s="1"/>
  <c r="H33" i="118"/>
  <c r="C129" i="29"/>
  <c r="B1225" i="106" s="1"/>
  <c r="D1225" i="106" s="1"/>
  <c r="L367" i="29"/>
  <c r="D6103" i="106"/>
  <c r="B3647" i="106"/>
  <c r="D3647" i="106" s="1"/>
  <c r="C352" i="29"/>
  <c r="B3621" i="106" s="1"/>
  <c r="D3621" i="106" s="1"/>
  <c r="K76" i="4"/>
  <c r="B3586" i="106" s="1"/>
  <c r="D3586" i="106" s="1"/>
  <c r="L13" i="11"/>
  <c r="B2060" i="106" s="1"/>
  <c r="D2060" i="106" s="1"/>
  <c r="B1308" i="106"/>
  <c r="D1308" i="106" s="1"/>
  <c r="E174" i="29"/>
  <c r="B1309" i="106" s="1"/>
  <c r="D1309" i="106" s="1"/>
  <c r="B1126" i="106"/>
  <c r="D1126" i="106" s="1"/>
  <c r="D17" i="7"/>
  <c r="B4104" i="106" s="1"/>
  <c r="D4104" i="106" s="1"/>
  <c r="D9" i="7"/>
  <c r="B1767" i="106" s="1"/>
  <c r="D1767" i="106" s="1"/>
  <c r="L342" i="29"/>
  <c r="F49" i="34"/>
  <c r="B3254" i="106"/>
  <c r="D3254" i="106" s="1"/>
  <c r="I24" i="12"/>
  <c r="B3649" i="106"/>
  <c r="D3649" i="106" s="1"/>
  <c r="G367" i="29"/>
  <c r="B3650" i="106" s="1"/>
  <c r="D3650" i="106" s="1"/>
  <c r="D5" i="4"/>
  <c r="B3406" i="106" s="1"/>
  <c r="D3406" i="106" s="1"/>
  <c r="L312" i="29"/>
  <c r="I342" i="29"/>
  <c r="B7222" i="106" s="1"/>
  <c r="D7222" i="106" s="1"/>
  <c r="K350" i="29"/>
  <c r="F21" i="8"/>
  <c r="K24" i="12"/>
  <c r="F41" i="34"/>
  <c r="F35" i="34"/>
  <c r="D3583" i="106"/>
  <c r="B3635" i="106"/>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I7" i="4" s="1"/>
  <c r="B4444" i="106" s="1"/>
  <c r="D4444"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D41" i="108"/>
  <c r="E43" i="108" s="1"/>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D7251" i="106"/>
  <c r="B7214" i="106"/>
  <c r="D7214" i="106" s="1"/>
  <c r="B7201" i="106"/>
  <c r="D7201" i="106" s="1"/>
  <c r="E342" i="29"/>
  <c r="B7218" i="106" s="1"/>
  <c r="D7218" i="106" s="1"/>
  <c r="B6917" i="106"/>
  <c r="D6917" i="106" s="1"/>
  <c r="J74" i="29"/>
  <c r="D266" i="5"/>
  <c r="B5501" i="106" s="1"/>
  <c r="D5501" i="106" s="1"/>
  <c r="D7256" i="106"/>
  <c r="D7248" i="106"/>
  <c r="D7247" i="106"/>
  <c r="D7246" i="106"/>
  <c r="J312" i="29"/>
  <c r="B7117" i="106" s="1"/>
  <c r="D7117" i="106" s="1"/>
  <c r="I312" i="29"/>
  <c r="B7116" i="106" s="1"/>
  <c r="D7116"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66" i="5"/>
  <c r="J24" i="12"/>
  <c r="B7730" i="106"/>
  <c r="D7730" i="106" s="1"/>
  <c r="B7270" i="106"/>
  <c r="B4435" i="106" l="1"/>
  <c r="D4435" i="106" s="1"/>
  <c r="K28" i="118"/>
  <c r="O27" i="118" s="1"/>
  <c r="O29" i="118" s="1"/>
  <c r="B1266" i="106"/>
  <c r="D1266" i="106" s="1"/>
  <c r="F66" i="34"/>
  <c r="B1328" i="106"/>
  <c r="D1328" i="106" s="1"/>
  <c r="J151" i="29"/>
  <c r="B7052" i="106" s="1"/>
  <c r="D7052" i="106" s="1"/>
  <c r="B1381" i="106"/>
  <c r="D1381" i="106" s="1"/>
  <c r="K365" i="29"/>
  <c r="K16" i="4" s="1"/>
  <c r="M23" i="3"/>
  <c r="B273" i="106"/>
  <c r="D273" i="106" s="1"/>
  <c r="L16" i="11"/>
  <c r="B2061" i="106" s="1"/>
  <c r="D2061" i="106" s="1"/>
  <c r="H77" i="4"/>
  <c r="B3299" i="106" s="1"/>
  <c r="D3299" i="106" s="1"/>
  <c r="B7235" i="106"/>
  <c r="D7235" i="106" s="1"/>
  <c r="B2914" i="106"/>
  <c r="D2914" i="106" s="1"/>
  <c r="L34" i="3"/>
  <c r="C367" i="29"/>
  <c r="B3622" i="106" s="1"/>
  <c r="D3622" i="106" s="1"/>
  <c r="J16" i="4"/>
  <c r="B6226" i="106" s="1"/>
  <c r="D6226" i="106" s="1"/>
  <c r="B1365" i="106"/>
  <c r="D1365" i="106" s="1"/>
  <c r="F65" i="34"/>
  <c r="B1317" i="106"/>
  <c r="D1317" i="106" s="1"/>
  <c r="C151" i="29"/>
  <c r="B1226" i="106" s="1"/>
  <c r="D1226" i="106" s="1"/>
  <c r="L114" i="29"/>
  <c r="C114" i="29"/>
  <c r="B757" i="106" s="1"/>
  <c r="D757" i="106" s="1"/>
  <c r="B5527" i="106"/>
  <c r="D5527" i="106" s="1"/>
  <c r="K77" i="4"/>
  <c r="B3587" i="106" s="1"/>
  <c r="D3587" i="106" s="1"/>
  <c r="F174" i="34"/>
  <c r="K342" i="29"/>
  <c r="F13" i="34" s="1"/>
  <c r="B5770" i="106"/>
  <c r="D5770" i="106" s="1"/>
  <c r="B5778" i="106"/>
  <c r="D5778" i="106" s="1"/>
  <c r="G6" i="4"/>
  <c r="B2604" i="106" s="1"/>
  <c r="D2604" i="106" s="1"/>
  <c r="D7255" i="106"/>
  <c r="D7252" i="106"/>
  <c r="B1996" i="106"/>
  <c r="D1996" i="106" s="1"/>
  <c r="I26" i="12"/>
  <c r="B7741" i="106" s="1"/>
  <c r="D7741" i="106" s="1"/>
  <c r="D7253" i="106"/>
  <c r="D7254" i="106"/>
  <c r="D7250" i="106"/>
  <c r="B7733" i="106"/>
  <c r="D7733" i="106" s="1"/>
  <c r="K26" i="12"/>
  <c r="B7743" i="106" s="1"/>
  <c r="D7743" i="106" s="1"/>
  <c r="B1879" i="106"/>
  <c r="D1879" i="106" s="1"/>
  <c r="H22" i="37"/>
  <c r="B3628" i="106"/>
  <c r="D3628" i="106" s="1"/>
  <c r="F73" i="34"/>
  <c r="G15" i="4"/>
  <c r="B6032" i="106" s="1"/>
  <c r="D6032" i="106" s="1"/>
  <c r="B3670" i="106"/>
  <c r="D3670" i="106" s="1"/>
  <c r="K352" i="29"/>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0" i="5"/>
  <c r="F4" i="4"/>
  <c r="B2591" i="106" s="1"/>
  <c r="D2591" i="106" s="1"/>
  <c r="B5588" i="106"/>
  <c r="D5588" i="106" s="1"/>
  <c r="B1151" i="106"/>
  <c r="D1151" i="106" s="1"/>
  <c r="K112" i="29"/>
  <c r="B1241" i="106"/>
  <c r="D1241" i="106" s="1"/>
  <c r="E151" i="29"/>
  <c r="B1242" i="106" s="1"/>
  <c r="D1242" i="106" s="1"/>
  <c r="B1474" i="106"/>
  <c r="D1474" i="106" s="1"/>
  <c r="G12" i="4"/>
  <c r="B2607" i="106" s="1"/>
  <c r="D2607" i="106" s="1"/>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7243" i="106" l="1"/>
  <c r="D7243" i="106" s="1"/>
  <c r="F24" i="37"/>
  <c r="B1145" i="106"/>
  <c r="D1145" i="106" s="1"/>
  <c r="K367" i="29"/>
  <c r="B3678" i="106" s="1"/>
  <c r="D3678" i="106" s="1"/>
  <c r="B279" i="106"/>
  <c r="D279" i="106" s="1"/>
  <c r="B2916" i="106"/>
  <c r="D2916" i="106" s="1"/>
  <c r="L41" i="3"/>
  <c r="B7224" i="106"/>
  <c r="D7224" i="106" s="1"/>
  <c r="D268" i="5"/>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K368" i="29" l="1"/>
  <c r="B3681" i="106" s="1"/>
  <c r="D3681" i="106" s="1"/>
  <c r="B6223" i="106"/>
  <c r="D6223" i="106" s="1"/>
  <c r="F8" i="4"/>
  <c r="F10" i="4" s="1"/>
  <c r="B4125" i="106" s="1"/>
  <c r="D4125" i="106" s="1"/>
  <c r="B280" i="106"/>
  <c r="D280" i="106" s="1"/>
  <c r="M41" i="3"/>
  <c r="B2917" i="106"/>
  <c r="D2917" i="106" s="1"/>
  <c r="D53" i="36"/>
  <c r="K17" i="4"/>
  <c r="K20" i="4" s="1"/>
  <c r="J19" i="4"/>
  <c r="B6229" i="106" s="1"/>
  <c r="D6229" i="106" s="1"/>
  <c r="J20" i="4"/>
  <c r="B6230" i="106" s="1"/>
  <c r="D6230" i="106" s="1"/>
  <c r="F76" i="34"/>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D8" i="146" l="1"/>
  <c r="K19" i="4"/>
  <c r="B4144" i="106" s="1"/>
  <c r="D4144" i="106" s="1"/>
  <c r="B3575" i="106"/>
  <c r="D3575" i="106" s="1"/>
  <c r="B2595" i="106"/>
  <c r="D2595" i="106" s="1"/>
  <c r="B281" i="106"/>
  <c r="D281" i="106" s="1"/>
  <c r="D54" i="36"/>
  <c r="J78" i="4"/>
  <c r="J81" i="4" s="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F175" i="34" l="1"/>
  <c r="F79" i="34"/>
  <c r="B6263" i="106"/>
  <c r="D6263" i="106" s="1"/>
  <c r="D78" i="4"/>
  <c r="B3239" i="106" s="1"/>
  <c r="D3239" i="106" s="1"/>
  <c r="B6215" i="106"/>
  <c r="D6215" i="106" s="1"/>
  <c r="J41" i="3"/>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F10" i="146" s="1"/>
  <c r="E78" i="4"/>
  <c r="B2636" i="106"/>
  <c r="D2636" i="106" s="1"/>
  <c r="D64" i="36"/>
  <c r="J82" i="4"/>
  <c r="B6266" i="106"/>
  <c r="D6266" i="106" s="1"/>
  <c r="F177" i="34" l="1"/>
  <c r="F179" i="34" s="1"/>
  <c r="D81" i="4"/>
  <c r="D41" i="3" s="1"/>
  <c r="B212" i="106"/>
  <c r="D212" i="106" s="1"/>
  <c r="H41" i="3"/>
  <c r="B6216" i="106"/>
  <c r="D6216" i="106" s="1"/>
  <c r="D51" i="36"/>
  <c r="B2912" i="106"/>
  <c r="D2912" i="106" s="1"/>
  <c r="I41" i="3"/>
  <c r="B3567" i="106"/>
  <c r="D3567" i="106" s="1"/>
  <c r="K41" i="3"/>
  <c r="B3278" i="106"/>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B1644" i="106" l="1"/>
  <c r="D1644" i="106" s="1"/>
  <c r="D82" i="4"/>
  <c r="B6268" i="106" s="1"/>
  <c r="D6268" i="106" s="1"/>
  <c r="C11" i="146"/>
  <c r="D58" i="36"/>
  <c r="B123" i="106"/>
  <c r="D123" i="106" s="1"/>
  <c r="N21" i="3"/>
  <c r="B140" i="106"/>
  <c r="D140" i="106" s="1"/>
  <c r="E41" i="3"/>
  <c r="J16" i="37"/>
  <c r="B4269" i="106" s="1"/>
  <c r="D4269" i="106" s="1"/>
  <c r="D76" i="36"/>
  <c r="B2913" i="106"/>
  <c r="D2913" i="106" s="1"/>
  <c r="D50" i="36"/>
  <c r="B92" i="106"/>
  <c r="D92" i="106" s="1"/>
  <c r="C41" i="3"/>
  <c r="B3568" i="106"/>
  <c r="D3568" i="106" s="1"/>
  <c r="D52" i="36"/>
  <c r="D45" i="36"/>
  <c r="B124" i="106"/>
  <c r="D124" i="106" s="1"/>
  <c r="D49" i="36"/>
  <c r="B213" i="106"/>
  <c r="D213" i="106" s="1"/>
  <c r="B189" i="106"/>
  <c r="D189" i="106" s="1"/>
  <c r="G41" i="3"/>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A7264" i="106"/>
  <c r="D7263" i="106"/>
  <c r="D83" i="4"/>
  <c r="B6277" i="106" s="1"/>
  <c r="D6277" i="106" s="1"/>
  <c r="O11" i="118" l="1"/>
  <c r="O13" i="118" s="1"/>
  <c r="J20" i="118"/>
  <c r="D60" i="36"/>
  <c r="D46" i="36"/>
  <c r="B141" i="106"/>
  <c r="D141" i="106" s="1"/>
  <c r="B190" i="106"/>
  <c r="D190" i="106" s="1"/>
  <c r="D48" i="36"/>
  <c r="B93" i="106"/>
  <c r="D93" i="106" s="1"/>
  <c r="D44" i="36"/>
  <c r="B170" i="106"/>
  <c r="D170" i="106" s="1"/>
  <c r="F41" i="3"/>
  <c r="B282" i="106"/>
  <c r="D282" i="106" s="1"/>
  <c r="N23" i="3"/>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B284" i="106"/>
  <c r="D284" i="106" s="1"/>
  <c r="D55" i="36"/>
  <c r="B171" i="106"/>
  <c r="D171" i="106" s="1"/>
  <c r="D47" i="36"/>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<sst xmlns="http://schemas.openxmlformats.org/spreadsheetml/2006/main" count="5113" uniqueCount="2124">
  <si>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</si>
  <si>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</si>
  <si>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</si>
  <si>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</si>
  <si>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</si>
  <si>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</si>
  <si>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</si>
  <si>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</si>
  <si>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</si>
  <si>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</si>
  <si>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</si>
  <si>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</si>
  <si>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</si>
  <si>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</si>
  <si>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</si>
  <si>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</si>
  <si>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</si>
  <si>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</si>
  <si>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</si>
  <si>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</si>
  <si>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</si>
  <si>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</si>
  <si>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</si>
  <si>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</si>
  <si>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</si>
  <si>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</si>
  <si>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</si>
  <si>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</si>
  <si>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</si>
  <si>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</si>
  <si>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</si>
  <si>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</si>
  <si>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</si>
  <si>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</si>
  <si>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</si>
  <si>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</si>
  <si>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</si>
  <si>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</si>
  <si>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</si>
  <si>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</si>
  <si>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</si>
  <si>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</si>
  <si>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</si>
  <si>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</si>
  <si>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</si>
  <si>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</si>
  <si>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</si>
  <si>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</si>
  <si>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</si>
  <si>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</si>
  <si>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</si>
  <si>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</si>
  <si>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</si>
  <si>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</si>
  <si>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</si>
  <si>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</si>
  <si>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</si>
  <si>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</si>
  <si>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</si>
  <si>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</si>
  <si>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</si>
  <si>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</si>
  <si>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</si>
  <si>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</si>
  <si>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</si>
  <si>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</si>
  <si>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</si>
  <si>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</si>
  <si>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</si>
  <si>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</si>
  <si>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</si>
  <si>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</si>
  <si>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</si>
  <si>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</si>
  <si>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</si>
  <si>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</si>
  <si>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</si>
  <si>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</si>
  <si>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</si>
  <si>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</si>
  <si>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</si>
  <si>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</si>
  <si>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</si>
  <si>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</si>
  <si>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</si>
  <si>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</si>
  <si>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</si>
  <si>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</si>
  <si>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</si>
  <si>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</si>
  <si>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</si>
  <si>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</si>
  <si>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</si>
  <si>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</si>
  <si>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</si>
  <si>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</si>
  <si>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</si>
  <si>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</si>
  <si>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</si>
  <si>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</si>
  <si>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</si>
  <si>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</si>
  <si>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</si>
  <si>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</si>
  <si>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</si>
  <si>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</si>
  <si>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</si>
  <si>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</si>
  <si>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</si>
  <si>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</si>
  <si>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</si>
  <si>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</si>
  <si>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</si>
  <si>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</si>
  <si>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</si>
  <si>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</si>
  <si>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</si>
  <si>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</si>
  <si>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</si>
  <si>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</si>
  <si>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</si>
  <si>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</si>
  <si>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</si>
  <si>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</si>
  <si>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</si>
  <si>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</si>
  <si>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</si>
  <si>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</si>
  <si>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</si>
  <si>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</si>
  <si>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</si>
  <si>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</si>
  <si>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</si>
  <si>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</si>
  <si>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</si>
  <si>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</si>
  <si>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</si>
  <si>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</si>
  <si>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</si>
  <si>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</si>
  <si>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</si>
  <si>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</si>
  <si>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</si>
  <si>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</si>
  <si>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</si>
  <si>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</si>
  <si>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</si>
  <si>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</si>
  <si>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</si>
  <si>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</si>
  <si>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</si>
  <si>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</si>
  <si>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</si>
  <si>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</si>
  <si>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</si>
  <si>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</si>
  <si>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</si>
  <si>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</si>
  <si>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</si>
  <si>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</si>
  <si>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</si>
  <si>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</si>
  <si>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</si>
  <si>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</si>
  <si>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</si>
  <si>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</si>
  <si>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</si>
  <si>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</si>
  <si>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</si>
  <si>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</si>
  <si>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</si>
  <si>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</si>
  <si>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</si>
  <si>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</si>
  <si>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</si>
  <si>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</si>
  <si>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</si>
  <si>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</si>
  <si>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</si>
  <si>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</si>
  <si>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</si>
  <si>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</si>
  <si>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</si>
  <si>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</si>
  <si>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</si>
  <si>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</si>
  <si>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</si>
  <si>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</si>
  <si>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</si>
  <si>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</si>
  <si>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</si>
  <si>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</si>
  <si>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</si>
  <si>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</si>
  <si>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</si>
  <si>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</si>
  <si>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</si>
  <si>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</si>
  <si>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</si>
  <si>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</si>
  <si>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</si>
  <si>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</si>
  <si>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</si>
  <si>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</si>
  <si>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</si>
  <si>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</si>
  <si>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</si>
  <si>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</si>
  <si>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</si>
  <si>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</si>
  <si>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</si>
  <si>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</si>
  <si>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</si>
  <si>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</si>
  <si>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</si>
  <si>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</si>
  <si>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</si>
  <si>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</si>
  <si>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</si>
  <si>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</si>
  <si>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</si>
  <si>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</si>
  <si>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</si>
  <si>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</si>
  <si>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</si>
  <si>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</si>
  <si>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</si>
  <si>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</si>
  <si>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</si>
  <si>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</si>
  <si>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</si>
  <si>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</si>
  <si>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</si>
  <si>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</si>
  <si>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</si>
  <si>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</si>
  <si>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</si>
  <si>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</si>
  <si>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</si>
  <si>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</si>
  <si>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</si>
  <si>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</si>
  <si>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</si>
  <si>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</si>
  <si>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</si>
  <si>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</si>
  <si>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</si>
  <si>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</si>
  <si>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</si>
  <si>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</si>
  <si>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</si>
  <si>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</si>
  <si>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</si>
  <si>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</si>
  <si>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</si>
  <si>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</si>
  <si>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</si>
  <si>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</si>
  <si>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</si>
  <si>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</si>
  <si>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</si>
  <si>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</si>
  <si>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</si>
  <si>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</si>
  <si>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</si>
  <si>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</si>
  <si>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</si>
  <si>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</si>
  <si>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</si>
  <si>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</si>
  <si>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</si>
  <si>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</si>
  <si>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</si>
  <si>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</si>
  <si>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</si>
  <si>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</si>
  <si>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</si>
  <si>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</si>
  <si>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</si>
  <si>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</si>
  <si>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</si>
  <si>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</si>
  <si>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</si>
  <si>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</si>
  <si>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</si>
  <si>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</si>
  <si>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</si>
  <si>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</si>
  <si>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</si>
  <si>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</si>
  <si>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</si>
  <si>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</si>
  <si>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</si>
  <si>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</si>
  <si>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</si>
  <si>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</si>
  <si>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</si>
  <si>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</si>
  <si>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</si>
  <si>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</si>
  <si>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</si>
  <si>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</si>
  <si>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</si>
  <si>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</si>
  <si>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</si>
  <si>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</si>
  <si>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</si>
  <si>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</si>
  <si>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</si>
  <si>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</si>
  <si>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</si>
  <si>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</si>
  <si>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</si>
  <si>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</si>
  <si>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</si>
  <si>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</si>
  <si>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</si>
  <si>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</si>
  <si>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</si>
  <si>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</si>
  <si>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</si>
  <si>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</si>
  <si>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</si>
  <si>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</si>
  <si>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</si>
  <si>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</si>
  <si>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</si>
  <si>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</si>
  <si>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</si>
  <si>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</si>
  <si>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</si>
  <si>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</si>
  <si>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</si>
  <si>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</si>
  <si>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</si>
  <si>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</si>
  <si>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</si>
  <si>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</si>
  <si>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</si>
  <si>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</si>
  <si>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</si>
  <si>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</si>
  <si>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</si>
  <si>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</si>
  <si>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</si>
  <si>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</si>
  <si>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</si>
  <si>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</si>
  <si>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</si>
  <si>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</si>
  <si>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</si>
  <si>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</si>
  <si>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</si>
  <si>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</si>
  <si>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</si>
  <si>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</si>
  <si>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</si>
  <si>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</si>
  <si>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</si>
  <si>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</si>
  <si>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</si>
  <si>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</si>
  <si>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</si>
  <si>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</si>
  <si>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</si>
  <si>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</si>
  <si>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</si>
  <si>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</si>
  <si>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</si>
  <si>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</si>
  <si>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</si>
  <si>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</si>
  <si>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</si>
  <si>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</si>
  <si>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</si>
  <si>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</si>
  <si>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</si>
  <si>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</si>
  <si>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</si>
  <si>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</si>
  <si>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</si>
  <si>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</si>
  <si>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</si>
  <si>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</si>
  <si>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</si>
  <si>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</si>
  <si>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</si>
  <si>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</si>
  <si>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</si>
  <si>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</si>
  <si>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</si>
  <si>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</si>
  <si>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</si>
  <si>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</si>
  <si>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</si>
  <si>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</si>
  <si>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</si>
  <si>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</si>
  <si>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</si>
  <si>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</si>
  <si>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</si>
  <si>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</si>
  <si>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</si>
  <si>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</si>
  <si>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</si>
  <si>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</si>
  <si>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</si>
  <si>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</si>
  <si>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</si>
  <si>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</si>
  <si>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</si>
  <si>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</si>
  <si>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</si>
  <si>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</si>
  <si>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</si>
  <si>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</si>
  <si>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</si>
  <si>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</si>
  <si>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</si>
  <si>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</si>
  <si>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</si>
  <si>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</si>
  <si>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</si>
  <si>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</si>
  <si>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</si>
  <si>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</si>
  <si>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</si>
  <si>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</si>
  <si>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</si>
  <si>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</si>
  <si>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</si>
  <si>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</si>
  <si>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</si>
  <si>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</si>
  <si>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</si>
  <si>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</si>
  <si>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</si>
  <si>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</si>
  <si>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</si>
  <si>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</si>
  <si>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</si>
  <si>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</si>
  <si>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</si>
  <si>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</si>
  <si>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</si>
  <si>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</si>
  <si>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</si>
  <si>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</si>
  <si>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</si>
  <si>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</si>
  <si>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</si>
  <si>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</si>
  <si>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</si>
  <si>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</si>
  <si>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</si>
  <si>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</si>
  <si>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</si>
  <si>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</si>
  <si>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</si>
  <si>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</si>
  <si>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</si>
  <si>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</si>
  <si>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</si>
  <si>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</si>
  <si>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</si>
  <si>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</si>
  <si>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</si>
  <si>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</si>
  <si>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</si>
  <si>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</si>
  <si>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</si>
  <si>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</si>
  <si>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</si>
  <si>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</si>
  <si>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</si>
  <si>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</si>
  <si>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</si>
  <si>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</si>
  <si>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</si>
  <si>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</si>
  <si>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</si>
  <si>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</si>
  <si>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</si>
  <si>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</si>
  <si>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</si>
  <si>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</si>
  <si>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</si>
  <si>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</si>
  <si>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</si>
  <si>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</si>
  <si>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</si>
  <si>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</si>
  <si>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</si>
  <si>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</si>
  <si>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</si>
  <si>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</si>
  <si>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</si>
  <si>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</si>
  <si>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</si>
  <si>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</si>
  <si>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</si>
  <si>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</si>
  <si>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</si>
  <si>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</si>
  <si>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</si>
  <si>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</si>
  <si>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</si>
  <si>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</si>
  <si>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</si>
  <si>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</si>
  <si>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</si>
  <si>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</si>
  <si>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</si>
  <si>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</si>
  <si>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</si>
  <si>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</si>
  <si>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</si>
  <si>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</si>
  <si>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</si>
  <si>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</si>
  <si>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</si>
  <si>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</si>
  <si>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</si>
  <si>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</si>
  <si>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</si>
  <si>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</si>
  <si>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</si>
  <si>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</si>
  <si>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</si>
  <si>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</si>
  <si>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</si>
  <si>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</si>
  <si>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</si>
  <si>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</si>
  <si>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</si>
  <si>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</si>
  <si>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</si>
  <si>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</si>
  <si>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</si>
  <si>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</si>
  <si>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</si>
  <si>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</si>
  <si>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</si>
  <si>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</si>
  <si>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</si>
  <si>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</si>
  <si>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</si>
  <si>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</si>
  <si>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</si>
  <si>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</si>
  <si>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</si>
  <si>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</si>
  <si>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</si>
  <si>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</si>
  <si>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</si>
  <si>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</si>
  <si>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</si>
  <si>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</si>
  <si>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</si>
  <si>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</si>
  <si>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</si>
  <si>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</si>
  <si>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</si>
  <si>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</si>
  <si>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</si>
  <si>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</si>
  <si>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</si>
  <si>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</si>
  <si>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</si>
  <si>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</si>
  <si>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</si>
  <si>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</si>
  <si>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</si>
  <si>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</si>
  <si>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</si>
  <si>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</si>
  <si>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</si>
  <si>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</si>
  <si>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</si>
  <si>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</si>
  <si>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</si>
  <si>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</si>
  <si>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</si>
  <si>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</si>
  <si>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</si>
  <si>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</si>
  <si>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</si>
  <si>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</si>
  <si>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</si>
  <si>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</si>
  <si>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</si>
  <si>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</si>
  <si>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</si>
  <si>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</si>
  <si>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</si>
  <si>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</si>
  <si>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</si>
  <si>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</si>
  <si>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</si>
  <si>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</si>
  <si>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</si>
  <si>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</si>
  <si>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</si>
  <si>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</si>
  <si>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</si>
  <si>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</si>
  <si>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</si>
  <si>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</si>
  <si>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</si>
  <si>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</si>
  <si>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</si>
  <si>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</si>
  <si>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</si>
  <si>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</si>
  <si>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</si>
  <si>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</si>
  <si>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</si>
  <si>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</si>
  <si>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</si>
  <si>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</si>
  <si>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</si>
  <si>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</si>
  <si>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</si>
  <si>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</si>
  <si>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</si>
  <si>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</si>
  <si>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</si>
  <si>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</si>
  <si>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</si>
  <si>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</si>
  <si>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</si>
  <si>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</si>
  <si>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</si>
  <si>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</si>
  <si>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</si>
  <si>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</si>
  <si>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</si>
  <si>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</si>
  <si>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</si>
  <si>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</si>
  <si>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</si>
  <si>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</si>
  <si>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</si>
  <si>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</si>
  <si>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</si>
  <si>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</si>
  <si>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</si>
  <si>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</si>
  <si>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</si>
  <si>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</si>
  <si>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</si>
  <si>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</si>
  <si>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</si>
  <si>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</si>
  <si>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</si>
  <si>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</si>
  <si>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</si>
  <si>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</si>
  <si>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</si>
  <si>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</si>
  <si>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</si>
  <si>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</si>
  <si>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</si>
  <si>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</si>
  <si>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</si>
  <si>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</si>
  <si>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</si>
  <si>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</si>
  <si>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</si>
  <si>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</si>
  <si>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</si>
  <si>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</si>
  <si>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</si>
  <si>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</si>
  <si>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</si>
  <si>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</si>
  <si>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</si>
  <si>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</si>
  <si>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</si>
  <si>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</si>
  <si>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</si>
  <si>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</si>
  <si>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</si>
  <si>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</si>
  <si>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</si>
  <si>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</si>
  <si>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</si>
  <si>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</si>
  <si>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</si>
  <si>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</si>
  <si>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</si>
  <si>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</si>
  <si>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</si>
  <si>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</si>
  <si>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</si>
  <si>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</si>
  <si>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</si>
  <si>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</si>
  <si>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</si>
  <si>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</si>
  <si>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</si>
  <si>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</si>
  <si>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</si>
  <si>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</si>
  <si>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</si>
  <si>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</si>
  <si>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</si>
  <si>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</si>
  <si>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</si>
  <si>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</si>
  <si>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</si>
  <si>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</si>
  <si>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</si>
  <si>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</si>
  <si>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</si>
  <si>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</si>
  <si>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</si>
  <si>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</si>
  <si>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</si>
  <si>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</si>
  <si>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</si>
  <si>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</si>
  <si>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</si>
  <si>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</si>
  <si>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</si>
  <si>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</si>
  <si>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</si>
  <si>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</si>
  <si>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</si>
  <si>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</si>
  <si>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</si>
  <si>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</si>
  <si>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</si>
  <si>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</si>
  <si>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</si>
  <si>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</si>
  <si>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</si>
  <si>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</si>
  <si>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</si>
  <si>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</si>
  <si>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</si>
  <si>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</si>
  <si>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</si>
  <si>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</si>
  <si>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</si>
  <si>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</si>
  <si>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</si>
  <si>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</si>
  <si>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</si>
  <si>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</si>
  <si>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</si>
  <si>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</si>
  <si>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</si>
  <si>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</si>
  <si>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</si>
  <si>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</si>
  <si>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</si>
  <si>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</si>
  <si>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</si>
  <si>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</si>
  <si>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</si>
  <si>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</si>
  <si>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</si>
  <si>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</si>
  <si>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</si>
  <si>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</si>
  <si>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</si>
  <si>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</si>
  <si>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</si>
  <si>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</si>
  <si>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</si>
  <si>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</si>
  <si>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</si>
  <si>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</si>
  <si>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</si>
  <si>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</si>
  <si>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</si>
  <si>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</si>
  <si>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</si>
  <si>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</si>
  <si>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</si>
  <si>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</si>
  <si>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</si>
  <si>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</si>
  <si>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</si>
  <si>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</si>
  <si>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</si>
  <si>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</si>
  <si>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</si>
  <si>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</si>
  <si>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</si>
  <si>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</si>
  <si>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</si>
  <si>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</si>
  <si>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</si>
  <si>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</si>
  <si>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</si>
  <si>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</si>
  <si>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</si>
  <si>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</si>
  <si>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</si>
  <si>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</si>
  <si>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</si>
  <si>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</si>
  <si>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</si>
  <si>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</si>
  <si>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</si>
  <si>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</si>
  <si>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</si>
  <si>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</si>
  <si>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</si>
  <si>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</si>
  <si>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</si>
  <si>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</si>
  <si>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</si>
  <si>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</si>
  <si>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</si>
  <si>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</si>
  <si>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</si>
  <si>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</si>
  <si>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</si>
  <si>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</si>
  <si>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</si>
  <si>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</si>
  <si>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</si>
  <si>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</si>
  <si>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</si>
  <si>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</si>
  <si>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</si>
  <si>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</si>
  <si>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</si>
  <si>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</si>
  <si>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</si>
  <si>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</si>
  <si>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</si>
  <si>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</si>
  <si>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</si>
  <si>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</si>
  <si>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</si>
  <si>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</si>
  <si>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</si>
  <si>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</si>
  <si>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</si>
  <si>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</si>
  <si>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</si>
  <si>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</si>
  <si>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</si>
  <si>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</si>
  <si>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</si>
  <si>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</si>
  <si>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</si>
  <si>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</si>
  <si>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</si>
  <si>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</si>
  <si>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</si>
  <si>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</si>
  <si>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</si>
  <si>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</si>
  <si>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</si>
  <si>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</si>
  <si>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</si>
  <si>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</si>
  <si>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</si>
  <si>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</si>
  <si>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</si>
  <si>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</si>
  <si>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</si>
  <si>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</si>
  <si>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</si>
  <si>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</si>
  <si>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</si>
  <si>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</si>
  <si>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</si>
  <si>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</si>
  <si>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</si>
  <si>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</si>
  <si>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</si>
  <si>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</si>
  <si>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</si>
  <si>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</si>
  <si>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</si>
  <si>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</si>
  <si>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</si>
  <si>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</si>
  <si>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</si>
  <si>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</si>
  <si>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</si>
  <si>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</si>
  <si>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</si>
  <si>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</si>
  <si>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</si>
  <si>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</si>
  <si>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</si>
  <si>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</si>
  <si>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</si>
  <si>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</si>
  <si>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</si>
  <si>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</si>
  <si>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</si>
  <si>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</si>
  <si>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</si>
  <si>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</si>
  <si>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</si>
  <si>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</si>
  <si>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</si>
  <si>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</si>
  <si>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</si>
  <si>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</si>
  <si>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</si>
  <si>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</si>
  <si>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</si>
  <si>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</si>
  <si>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</si>
  <si>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</si>
  <si>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</si>
  <si>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</si>
  <si>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</si>
  <si>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</si>
  <si>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</si>
  <si>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</si>
  <si>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</si>
  <si>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</si>
  <si>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</si>
  <si>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</si>
  <si>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</si>
  <si>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</si>
  <si>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</si>
  <si>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</si>
  <si>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</si>
  <si>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</si>
  <si>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</si>
  <si>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</si>
  <si>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</si>
  <si>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</si>
  <si>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</si>
  <si>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</si>
  <si>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</si>
  <si>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</si>
  <si>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</si>
  <si>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</si>
  <si>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</si>
  <si>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</si>
  <si>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</si>
  <si>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</si>
  <si>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</si>
  <si>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</si>
  <si>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</si>
  <si>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</si>
  <si>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</si>
  <si>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</si>
  <si>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</si>
  <si>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</si>
  <si>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</si>
  <si>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</si>
  <si>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</si>
  <si>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</si>
  <si>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</si>
  <si>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</si>
  <si>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</si>
  <si>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</si>
  <si>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</si>
  <si>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</si>
  <si>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</si>
  <si>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</si>
  <si>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</si>
  <si>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</si>
  <si>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</si>
  <si>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</si>
  <si>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</si>
  <si>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</si>
  <si>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</si>
  <si>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</si>
  <si>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</si>
  <si>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</si>
  <si>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</si>
  <si>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</si>
  <si>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</si>
  <si>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</si>
  <si>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</si>
  <si>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</si>
  <si>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</si>
  <si>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</si>
  <si>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</si>
  <si>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</si>
  <si>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</si>
  <si>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</si>
  <si>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</si>
  <si>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</si>
  <si>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</si>
  <si>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</si>
  <si>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</si>
  <si>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</si>
  <si>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</si>
  <si>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</si>
  <si>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</si>
  <si>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</si>
  <si>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</si>
  <si>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</si>
  <si>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</si>
  <si>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</si>
  <si>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</si>
  <si>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</si>
  <si>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</si>
  <si>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</si>
  <si>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</si>
  <si>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</si>
  <si>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</si>
  <si>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</si>
  <si>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</si>
  <si>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</si>
  <si>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</si>
  <si>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</si>
  <si>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</si>
  <si>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</si>
  <si>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</si>
  <si>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</si>
  <si>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</si>
  <si>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</si>
  <si>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</si>
  <si>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</si>
  <si>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</si>
  <si>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</si>
  <si>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</si>
  <si>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</si>
  <si>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</si>
  <si>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</si>
  <si>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</si>
  <si>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</si>
  <si>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</si>
  <si>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</si>
  <si>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</si>
  <si>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</si>
  <si>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</si>
  <si>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</si>
  <si>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</si>
  <si>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</si>
  <si>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</si>
  <si>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</si>
  <si>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</si>
  <si>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</si>
  <si>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</si>
  <si>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</si>
  <si>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</si>
  <si>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</si>
  <si>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</si>
  <si>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</si>
  <si>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</si>
  <si>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</si>
  <si>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</si>
  <si>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</si>
  <si>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</si>
  <si>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</si>
  <si>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</si>
  <si>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</si>
  <si>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</si>
  <si>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</si>
  <si>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</si>
  <si>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</si>
  <si>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</si>
  <si>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</si>
  <si>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</si>
  <si>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</si>
  <si>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</si>
  <si>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</si>
  <si>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</si>
  <si>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</si>
  <si>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</si>
  <si>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</si>
  <si>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</si>
  <si>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</si>
  <si>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</si>
  <si>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</si>
  <si>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</si>
  <si>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</si>
  <si>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</si>
  <si>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</si>
  <si>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</si>
  <si>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</si>
  <si>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</si>
  <si>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</si>
  <si>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</si>
  <si>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</si>
  <si>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</si>
  <si>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</si>
  <si>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</si>
  <si>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</si>
  <si>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</si>
  <si>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</si>
  <si>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</si>
  <si>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</si>
  <si>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</si>
  <si>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</si>
  <si>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</si>
  <si>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</si>
  <si>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</si>
  <si>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</si>
  <si>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</si>
  <si>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</si>
  <si>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</si>
  <si>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</si>
  <si>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</si>
  <si>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</si>
  <si>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</si>
  <si>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</si>
  <si>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</si>
  <si>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</si>
  <si>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</si>
  <si>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</si>
  <si>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</si>
  <si>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</si>
  <si>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</si>
  <si>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</si>
  <si>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</si>
  <si>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</si>
  <si>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</si>
  <si>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</si>
  <si>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</si>
  <si>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</si>
  <si>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</si>
  <si>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</si>
  <si>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</si>
  <si>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</si>
  <si>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</si>
  <si>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</si>
  <si>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</si>
  <si>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</si>
  <si>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</si>
  <si>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</si>
  <si>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</si>
  <si>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</si>
  <si>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</si>
  <si>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</si>
  <si>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</si>
  <si>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</si>
  <si>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</si>
  <si>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</si>
  <si>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</si>
  <si>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</si>
  <si>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</si>
  <si>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</si>
  <si>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</si>
  <si>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</si>
  <si>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</si>
  <si>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</si>
  <si>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</si>
  <si>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</si>
  <si>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</si>
  <si>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</si>
  <si>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</si>
  <si>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</si>
  <si>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</si>
  <si>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</si>
  <si>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</si>
  <si>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</si>
  <si>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</si>
  <si>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</si>
  <si>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</si>
  <si>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</si>
  <si>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</si>
  <si>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</si>
  <si>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</si>
  <si>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</si>
  <si>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</si>
  <si>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</si>
  <si>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</si>
  <si>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</si>
  <si>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</si>
  <si>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</si>
  <si>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</si>
  <si>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</si>
  <si>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</si>
  <si>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</si>
  <si>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</si>
  <si>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</si>
  <si>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</si>
  <si>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</si>
  <si>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</si>
  <si>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</si>
  <si>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</si>
  <si>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</si>
  <si>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</si>
  <si>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</si>
  <si>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</si>
  <si>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</si>
  <si>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</si>
  <si>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</si>
  <si>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</si>
  <si>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</si>
  <si>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</si>
  <si>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</si>
  <si>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</si>
  <si>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</si>
  <si>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</si>
  <si>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</si>
  <si>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</si>
  <si>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</si>
  <si>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</si>
  <si>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</si>
  <si>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</si>
  <si>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</si>
  <si>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</si>
  <si>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</si>
  <si>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</si>
  <si>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</si>
  <si>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</si>
  <si>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</si>
  <si>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</si>
  <si>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</si>
  <si>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</si>
  <si>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</si>
  <si>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</si>
  <si>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</si>
  <si>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</si>
  <si>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</si>
  <si>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</si>
  <si>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</si>
  <si>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</si>
  <si>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</si>
  <si>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</si>
  <si>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</si>
  <si>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</si>
  <si>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</si>
  <si>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</si>
  <si>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</si>
  <si>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</si>
  <si>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</si>
  <si>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</si>
  <si>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</si>
  <si>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</si>
  <si>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</si>
  <si>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</si>
  <si>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</si>
  <si>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</si>
  <si>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</si>
  <si>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</si>
  <si>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</si>
  <si>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</si>
  <si>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</si>
  <si>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</si>
  <si>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</si>
  <si>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</si>
  <si>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</si>
  <si>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</si>
  <si>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</si>
  <si>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</si>
  <si>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</si>
  <si>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</si>
  <si>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</si>
  <si>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</si>
  <si>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</si>
  <si>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</si>
  <si>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</si>
  <si>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</si>
  <si>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</si>
  <si>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</si>
  <si>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</si>
  <si>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</si>
  <si>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</si>
  <si>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</si>
  <si>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</si>
  <si>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</si>
  <si>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</si>
  <si>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</si>
  <si>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</si>
  <si>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</si>
  <si>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</si>
  <si>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</si>
  <si>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</si>
  <si>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</si>
  <si>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</si>
  <si>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</si>
  <si>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</si>
  <si>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</si>
  <si>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</si>
  <si>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</si>
  <si>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</si>
  <si>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</si>
  <si>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</si>
  <si>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</si>
  <si>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</si>
  <si>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</si>
  <si>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</si>
  <si>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</si>
  <si>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</si>
  <si>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</si>
  <si>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</si>
  <si>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</si>
  <si>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</si>
  <si>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</si>
  <si>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</si>
  <si>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</si>
  <si>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</si>
  <si>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</si>
  <si>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</si>
  <si>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</si>
  <si>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</si>
  <si>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</si>
  <si>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</si>
  <si>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</si>
  <si>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</si>
  <si>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</si>
  <si>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</si>
  <si>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</si>
  <si>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</si>
  <si>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</si>
  <si>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</si>
  <si>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</si>
  <si>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</si>
  <si>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</si>
  <si>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</si>
  <si>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</si>
  <si>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</si>
  <si>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</si>
  <si>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</si>
  <si>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</si>
  <si>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</si>
  <si>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</si>
  <si>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</si>
  <si>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</si>
  <si>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</si>
  <si>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</si>
  <si>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</si>
  <si>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</si>
  <si>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</si>
  <si>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</si>
  <si>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</si>
  <si>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</si>
  <si>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</si>
  <si>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</si>
  <si>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</si>
  <si>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</si>
  <si>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</si>
  <si>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</si>
  <si>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</si>
  <si>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</si>
  <si>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</si>
  <si>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</si>
  <si>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</si>
  <si>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</si>
  <si>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</si>
  <si>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</si>
  <si>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</si>
  <si>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</si>
  <si>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</si>
  <si>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</si>
  <si>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</si>
  <si>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</si>
  <si>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</si>
  <si>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</si>
  <si>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</si>
  <si>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</si>
  <si>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</si>
  <si>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</si>
  <si>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</si>
  <si>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</si>
  <si>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</si>
  <si>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</si>
  <si>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</si>
  <si>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</si>
  <si>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</si>
  <si>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</si>
  <si>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</si>
  <si>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</si>
  <si>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</si>
  <si>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</si>
  <si>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</si>
  <si>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</si>
  <si>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</si>
  <si>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</si>
  <si>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</si>
  <si>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</si>
  <si>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</si>
  <si>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</si>
  <si>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</si>
  <si>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</si>
  <si>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</si>
  <si>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</si>
  <si>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</si>
  <si>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</si>
  <si>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</si>
  <si>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</si>
  <si>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</si>
  <si>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</si>
  <si>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</si>
  <si>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</si>
  <si>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</si>
  <si>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</si>
  <si>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</si>
  <si>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</si>
  <si>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</si>
  <si>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</si>
  <si>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</si>
  <si>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</si>
  <si>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</si>
  <si>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</si>
  <si>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</si>
  <si>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</si>
  <si>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</si>
  <si>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</si>
  <si>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</si>
  <si>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</si>
  <si>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</si>
  <si>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</si>
  <si>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</si>
  <si>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</si>
  <si>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</si>
  <si>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</si>
  <si>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</si>
  <si>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</si>
  <si>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</si>
  <si>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</si>
  <si>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</si>
  <si>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</si>
  <si>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</si>
  <si>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</si>
  <si>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</si>
  <si>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</si>
  <si>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</si>
  <si>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</si>
  <si>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</si>
  <si>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</si>
  <si>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</si>
  <si>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</si>
  <si>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</si>
  <si>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</si>
  <si>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</si>
  <si>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</si>
  <si>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</si>
  <si>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</si>
  <si>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</si>
  <si>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</si>
  <si>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</si>
  <si>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</si>
  <si>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</si>
  <si>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</si>
  <si>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</si>
  <si>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</si>
  <si>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</si>
  <si>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</si>
  <si>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</si>
  <si>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</si>
  <si>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</si>
  <si>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</si>
  <si>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</si>
  <si>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</si>
  <si>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</si>
  <si>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</si>
  <si>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</si>
  <si>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</si>
  <si>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</si>
  <si>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</si>
  <si>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</si>
  <si>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</si>
  <si>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</si>
  <si>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</si>
  <si>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</si>
  <si>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</si>
  <si>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</si>
  <si>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</si>
  <si>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</si>
  <si>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</si>
  <si>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</si>
  <si>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</si>
  <si>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</si>
  <si>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</si>
  <si>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</si>
  <si>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</si>
  <si>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</si>
  <si>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</si>
  <si>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</si>
  <si>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</si>
  <si>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</si>
  <si>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</si>
  <si>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</si>
  <si>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</si>
  <si>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</si>
  <si>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</si>
  <si>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</si>
  <si>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</si>
  <si>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</si>
  <si>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</si>
  <si>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</si>
  <si>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</si>
  <si>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</si>
  <si>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</si>
  <si>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</si>
  <si>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</si>
  <si>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</si>
  <si>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</si>
  <si>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</si>
  <si>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</si>
  <si>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</si>
  <si>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</si>
  <si>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</si>
  <si>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</si>
  <si>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</si>
  <si>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</si>
  <si>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</si>
  <si>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</si>
  <si>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</si>
  <si>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</si>
  <si>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</si>
  <si>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</si>
  <si>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</si>
  <si>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</si>
  <si>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</si>
  <si>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</si>
  <si>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</si>
  <si>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</si>
  <si>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</si>
  <si>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</si>
  <si>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</si>
  <si>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</si>
  <si>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</si>
  <si>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</si>
  <si>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</si>
  <si>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</si>
  <si>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</si>
  <si>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</si>
  <si>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</si>
  <si>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</si>
  <si>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</si>
  <si>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</si>
  <si>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</si>
  <si>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</si>
  <si>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</si>
  <si>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</si>
  <si>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</si>
  <si>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</si>
  <si>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</si>
  <si>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</si>
  <si>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</si>
  <si>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</si>
  <si>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</si>
  <si>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</si>
  <si>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</si>
  <si>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</si>
  <si>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</si>
  <si>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</si>
  <si>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</si>
  <si>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</si>
  <si>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</si>
  <si>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</si>
  <si>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</si>
  <si>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</si>
  <si>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</si>
  <si>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</si>
  <si>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</si>
  <si>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</si>
  <si>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</si>
  <si>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</si>
  <si>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</si>
  <si>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</si>
  <si>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</si>
  <si>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</si>
  <si>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</si>
  <si>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</si>
  <si>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</si>
  <si>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</si>
  <si>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</si>
  <si>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</si>
  <si>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</si>
  <si>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</si>
  <si>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</si>
  <si>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</si>
  <si>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</si>
  <si>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</si>
  <si>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</si>
  <si>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</si>
  <si>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</si>
  <si>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</si>
  <si>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</si>
  <si>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</si>
  <si>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</si>
  <si>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</si>
  <si>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</si>
  <si>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</si>
  <si>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</si>
  <si>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</si>
  <si>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</si>
  <si>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</si>
  <si>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</si>
  <si>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</si>
  <si>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</si>
  <si>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</si>
  <si>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</si>
  <si>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</si>
  <si>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</si>
  <si>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</si>
  <si>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</si>
  <si>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</si>
  <si>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</si>
  <si>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</si>
  <si>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</si>
  <si>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</si>
  <si>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</si>
  <si>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</si>
  <si>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</si>
  <si>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</si>
  <si>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</si>
  <si>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</si>
  <si>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</si>
  <si>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</si>
  <si>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</si>
  <si>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</si>
  <si>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</si>
  <si>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</si>
  <si>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</si>
  <si>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</si>
  <si>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</si>
  <si>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</si>
  <si>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</si>
  <si>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</si>
  <si>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</si>
  <si>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</si>
  <si>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</si>
  <si>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</si>
  <si>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</si>
  <si>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</si>
  <si>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</si>
  <si>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</si>
  <si>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</si>
  <si>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</si>
  <si>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</si>
  <si>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</si>
  <si>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</si>
  <si>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</si>
  <si>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</si>
  <si>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</si>
  <si>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</si>
  <si>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</si>
  <si>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</si>
  <si>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</si>
  <si>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</si>
  <si>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</si>
  <si>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</si>
  <si>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</si>
  <si>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</si>
  <si>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</si>
  <si>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</si>
  <si>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</si>
  <si>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</si>
  <si>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</si>
  <si>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</si>
  <si>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</si>
  <si>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</si>
  <si>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</si>
  <si>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</si>
  <si>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</si>
  <si>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</si>
  <si>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</si>
  <si>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</si>
  <si>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</si>
  <si>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</si>
  <si>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</si>
  <si>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</si>
  <si>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</si>
  <si>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</si>
  <si>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</si>
  <si>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</si>
  <si>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</si>
  <si>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</si>
  <si>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</si>
  <si>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</si>
  <si>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</si>
  <si>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</si>
  <si>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</si>
  <si>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</si>
  <si>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</si>
  <si>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</si>
  <si>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</si>
  <si>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</si>
  <si>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</si>
  <si>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</si>
  <si>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</si>
  <si>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</si>
  <si>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</si>
  <si>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</si>
  <si>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</si>
  <si>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</si>
  <si>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</si>
  <si>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</si>
  <si>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</si>
  <si>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</si>
  <si>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</si>
  <si>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</si>
  <si>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</si>
  <si>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</si>
  <si>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</si>
  <si>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</si>
  <si>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</si>
  <si>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</si>
  <si>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</si>
  <si>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</si>
  <si>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</si>
  <si>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</si>
  <si>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</si>
  <si>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</si>
  <si>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</si>
  <si>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</si>
  <si>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</si>
  <si>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</si>
  <si>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</si>
  <si>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</si>
  <si>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</si>
  <si>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</si>
  <si>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</si>
  <si>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</si>
  <si>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</si>
  <si>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</si>
  <si>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</si>
  <si>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</si>
  <si>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</si>
  <si>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</si>
  <si>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</si>
  <si>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</si>
  <si>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</si>
  <si>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</si>
  <si>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</si>
  <si>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</si>
  <si>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</si>
  <si>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</si>
  <si>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</si>
  <si>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</si>
  <si>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</si>
  <si>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</si>
  <si>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</si>
  <si>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</si>
  <si>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</si>
  <si>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</si>
  <si>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</si>
  <si>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</si>
  <si>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</si>
  <si>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</si>
  <si>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</si>
  <si>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</si>
  <si>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</si>
  <si>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</si>
  <si>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</si>
  <si>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</si>
  <si>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</si>
  <si>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</si>
  <si>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</si>
  <si>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</si>
  <si>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</si>
  <si>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</si>
  <si>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</si>
  <si>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</si>
  <si>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</si>
  <si>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</si>
  <si>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</si>
  <si>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</si>
  <si>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</si>
  <si>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</si>
  <si>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</si>
  <si>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</si>
  <si>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</si>
  <si>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</si>
  <si>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</si>
  <si>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</si>
  <si>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</si>
  <si>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</si>
  <si>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</si>
  <si>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</si>
  <si>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</si>
  <si>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</si>
  <si>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</si>
  <si>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</si>
  <si>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</si>
  <si>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</si>
  <si>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</si>
  <si>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</si>
  <si>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</si>
  <si>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</si>
  <si>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</si>
  <si>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</si>
  <si>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</si>
  <si>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</si>
  <si>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</si>
  <si>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</si>
  <si>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</si>
  <si>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</si>
  <si>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</si>
  <si>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</si>
  <si>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</si>
  <si>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</si>
  <si>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</si>
  <si>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</si>
  <si>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</si>
  <si>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</si>
  <si>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</si>
  <si>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</si>
  <si>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</si>
  <si>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</si>
  <si>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</si>
  <si>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</si>
  <si>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</si>
  <si>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</si>
  <si>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</si>
  <si>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</si>
  <si>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</si>
  <si>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</si>
  <si>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</si>
  <si>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</si>
  <si>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</si>
  <si>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</si>
  <si>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</si>
  <si>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</si>
  <si>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</si>
  <si>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</si>
  <si>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</si>
  <si>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</si>
  <si>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</si>
  <si>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</si>
  <si>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</si>
  <si>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</si>
  <si>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</si>
  <si>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</si>
  <si>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</si>
  <si>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</si>
  <si>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</si>
  <si>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</si>
  <si>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</si>
  <si>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</si>
  <si>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</si>
  <si>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</si>
  <si>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</si>
  <si>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</si>
  <si>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</si>
  <si>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</si>
  <si>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</si>
  <si>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</si>
  <si>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</si>
  <si>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</si>
  <si>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</si>
  <si>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</si>
  <si>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</si>
  <si>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</si>
  <si>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</si>
  <si>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</si>
  <si>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</si>
  <si>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</si>
  <si>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</si>
  <si>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</si>
  <si>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</si>
  <si>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</si>
  <si>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</si>
  <si>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</si>
  <si>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</si>
  <si>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</si>
  <si>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</si>
  <si>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</si>
  <si>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</si>
  <si>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</si>
  <si>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</si>
  <si>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</si>
  <si>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</si>
  <si>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</si>
  <si>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</si>
  <si>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</si>
  <si>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</si>
  <si>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</si>
  <si>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</si>
  <si>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</si>
  <si>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</si>
  <si>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</si>
  <si>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</si>
  <si>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</si>
  <si>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</si>
  <si>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</si>
  <si>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</si>
  <si>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</si>
  <si>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</si>
  <si>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</si>
  <si>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</si>
  <si>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</si>
  <si>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</si>
  <si>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</si>
  <si>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</si>
  <si>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</si>
  <si>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</si>
  <si>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</si>
  <si>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</si>
  <si>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</si>
  <si>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</si>
  <si>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</si>
  <si>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</si>
  <si>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</si>
  <si>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</si>
  <si>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</si>
  <si>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</si>
  <si>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</si>
  <si>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</si>
  <si>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</si>
  <si>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</si>
  <si>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</si>
  <si>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</si>
  <si>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</si>
  <si>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</si>
  <si>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</si>
  <si>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</si>
  <si>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</si>
  <si>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</si>
  <si>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</si>
  <si>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</si>
  <si>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</si>
  <si>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</si>
  <si>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</si>
  <si>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</si>
  <si>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</si>
  <si>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</si>
  <si>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</si>
  <si>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</si>
  <si>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</si>
  <si>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</si>
  <si>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</si>
  <si>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</si>
  <si>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</si>
  <si>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</si>
  <si>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</si>
  <si>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</si>
  <si>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</si>
  <si>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</si>
  <si>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</si>
  <si>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</si>
  <si>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</si>
  <si>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</si>
  <si>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</si>
  <si>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</si>
  <si>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</si>
  <si>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</si>
  <si>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</si>
  <si>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</si>
  <si>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</si>
  <si>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</si>
  <si>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</si>
  <si>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</si>
  <si>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</si>
  <si>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</si>
  <si>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</si>
  <si>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</si>
  <si>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</si>
  <si>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</si>
  <si>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</si>
  <si>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</si>
  <si>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</si>
  <si>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</si>
  <si>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</si>
  <si>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</si>
  <si>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</si>
  <si>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</si>
  <si>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</si>
  <si>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</si>
  <si>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</si>
  <si>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</si>
  <si>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</si>
  <si>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</si>
  <si>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</si>
  <si>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</si>
  <si>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</si>
  <si>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</si>
  <si>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</si>
  <si>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</si>
  <si>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</si>
  <si>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</si>
  <si>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</si>
  <si>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</si>
  <si>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</si>
  <si>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</si>
  <si>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</si>
  <si>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</si>
  <si>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</si>
  <si>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</si>
  <si>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</si>
  <si>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</si>
  <si>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</si>
  <si>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</si>
  <si>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</si>
  <si>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</si>
  <si>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</si>
  <si>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</si>
  <si>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</si>
  <si>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</si>
  <si>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</si>
  <si>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</si>
  <si>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</si>
  <si>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</si>
  <si>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</si>
  <si>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</si>
  <si>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</si>
  <si>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</si>
  <si>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</si>
  <si>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</si>
  <si>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</si>
  <si>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</si>
  <si>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</si>
  <si>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</si>
  <si>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</si>
  <si>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</si>
  <si>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</si>
  <si>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</si>
  <si>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</si>
  <si>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</si>
  <si>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</si>
  <si>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</si>
  <si>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</si>
  <si>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</si>
  <si>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</si>
  <si>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</si>
  <si>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</si>
  <si>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</si>
  <si>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</si>
  <si>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</si>
  <si>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</si>
  <si>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</si>
  <si>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</si>
  <si>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</si>
  <si>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</si>
  <si>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</si>
  <si>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</si>
  <si>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</si>
  <si>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</si>
  <si>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</si>
  <si>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</si>
  <si>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</si>
  <si>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</si>
  <si>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</si>
  <si>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</si>
  <si>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</si>
  <si>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</si>
  <si>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</si>
  <si>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</si>
  <si>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</si>
  <si>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</si>
  <si>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</si>
  <si>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</si>
  <si>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</si>
  <si>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</si>
  <si>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</si>
  <si>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</si>
  <si>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</si>
  <si>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</si>
  <si>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</si>
  <si>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</si>
  <si>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</si>
  <si>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</si>
  <si>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</si>
  <si>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</si>
  <si>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</si>
  <si>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</si>
  <si>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</si>
  <si>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</si>
  <si>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</si>
  <si>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</si>
  <si>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</si>
  <si>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</si>
  <si>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</si>
  <si>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</si>
  <si>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</si>
  <si>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</si>
  <si>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</si>
  <si>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</si>
  <si>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</si>
  <si>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</si>
  <si>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EDER, CASELLA &amp; CO.</t>
  </si>
  <si>
    <t>5400 WEST ELM STREET, SUITE 203</t>
  </si>
  <si>
    <t>MCHENRY</t>
  </si>
  <si>
    <t>IL</t>
  </si>
  <si>
    <t>815-344-1300</t>
  </si>
  <si>
    <t>815-344-1320</t>
  </si>
  <si>
    <t>066-005142</t>
  </si>
  <si>
    <t>CPAS@EDERCASELLA.COM</t>
  </si>
  <si>
    <t>x</t>
  </si>
  <si>
    <t>9406 RILEY ROAD</t>
  </si>
  <si>
    <t>MARENGO</t>
  </si>
  <si>
    <t>CONKLING@RILEY18.ORG</t>
  </si>
  <si>
    <t>X</t>
  </si>
  <si>
    <t>CHRISTINE CONKLING</t>
  </si>
  <si>
    <t>815-568-8637</t>
  </si>
  <si>
    <t>815-568-3709</t>
  </si>
  <si>
    <t xml:space="preserve">DUE TO THE DISTRICT NOT MAINTAINING DETAILED HISTORICAL RECORDS FOR GENERAL FIXED ASSETS. </t>
  </si>
  <si>
    <t>EDER CASELLA &amp; CO.</t>
  </si>
  <si>
    <t>Kishwaukee Intermediate Delivery System (KIDS)</t>
  </si>
  <si>
    <t>District 165, District 47, District 50</t>
  </si>
  <si>
    <t>Illinois Energy Consortium (IEC)</t>
  </si>
  <si>
    <t>Performance Food Service</t>
  </si>
  <si>
    <t>CLIC (Insurance Cooperative; 100+ members)</t>
  </si>
  <si>
    <t>Regional Office of Education (ROE)</t>
  </si>
  <si>
    <t>District 154, District 200</t>
  </si>
  <si>
    <t>SEDOM</t>
  </si>
  <si>
    <t>District 154</t>
  </si>
  <si>
    <t>District 165</t>
  </si>
  <si>
    <t>Ed Fund - Page 10, Line 81 - Other District/School Activity Revenue</t>
  </si>
  <si>
    <t>Ed Fund - Page 12, Line 180 - Other Restricted Grants-In-Aid Received Directly from the Federal Govt</t>
  </si>
  <si>
    <t>Technology Fees</t>
  </si>
  <si>
    <t>Reimbursements</t>
  </si>
  <si>
    <t>Misc Refund</t>
  </si>
  <si>
    <t>Misc Reimbursement</t>
  </si>
  <si>
    <t>Insurance Refund</t>
  </si>
  <si>
    <t>REAP Grant</t>
  </si>
  <si>
    <t>ED-Health Insurance</t>
  </si>
  <si>
    <t>Blue Cross</t>
  </si>
  <si>
    <t>Tort-Property/Liability Insurance</t>
  </si>
  <si>
    <t>CLIC</t>
  </si>
  <si>
    <t>ED-Special ED Students</t>
  </si>
  <si>
    <t>Crystal Lake Dist 47</t>
  </si>
  <si>
    <t>Marengo Union Dist 165</t>
  </si>
  <si>
    <t>Operations-Electric</t>
  </si>
  <si>
    <t>Transportation-Bus Fuel</t>
  </si>
  <si>
    <t>Petrochoice</t>
  </si>
  <si>
    <t>Nextera Energy</t>
  </si>
  <si>
    <t>Ed Fund - Page 10, Line106 - Other Local Fees</t>
  </si>
  <si>
    <t>Ed Fund - Page 10, Line 107 - Other Local Revenues</t>
  </si>
  <si>
    <t>Trans. Fund - Page 10, Line 107 - Other Local Revenues</t>
  </si>
  <si>
    <t>Tort Fund - Page 10, Line 107 - Other Local Revenues</t>
  </si>
  <si>
    <t>Cheryden Juergensen</t>
  </si>
  <si>
    <t>10-1000-200</t>
  </si>
  <si>
    <t>80-2300-300</t>
  </si>
  <si>
    <t>20-2540-400</t>
  </si>
  <si>
    <t>40-2550-400</t>
  </si>
  <si>
    <t xml:space="preserve">Ed Fund - Page 5, Line 12 - Other Current Assets </t>
  </si>
  <si>
    <t>Overpayment of Benefits</t>
  </si>
  <si>
    <t>10-4220-600</t>
  </si>
  <si>
    <t>RILEY CCSD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</si>
</sst>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0_);\(#,##0\);&quot;– &quot;"/>
    <numFmt numFmtId="182" formatCode="#,##0_);\(#,##0\);&quot;–             &quot;"/>
    <numFmt numFmtId="183" formatCode="#,##0_);\(#,##0\);&quot;–  &quot;"/>
    <numFmt numFmtId="184" formatCode="#,##0_);\(#,##0\);&quot;–   &quot;"/>
    <numFmt numFmtId="185" formatCode="#,##0_);\(#,##0\);&quot;–    &quot;"/>
    <numFmt numFmtId="186" formatCode="#,##0_);\(#,##0\);&quot;–      &quot;"/>
    <numFmt numFmtId="187" formatCode="#,##0_);\(#,##0\);&quot;–       &quot;"/>
    <numFmt numFmtId="188" formatCode="#,##0_);\(#,##0\);&quot;–         &quot;"/>
    <numFmt numFmtId="189" formatCode="#,##0_);\(#,##0\);&quot;–          &quot;"/>
    <numFmt numFmtId="190" formatCode="#,##0_);\(#,##0\);&quot;–           &quot;"/>
    <numFmt numFmtId="191" formatCode="#,##0\ ;\(#,##0\);\-\ \ \ \ \ "/>
    <numFmt numFmtId="192" formatCode="#,##0.00_);\(#,##0.00\);&quot;–       &quot;"/>
    <numFmt numFmtId="193" formatCode="#,###,_);\(#,###,\);&quot;–   &quot;"/>
    <numFmt numFmtId="194" formatCode="#,##0_);\(#,##0\);&quot;—      &quot;"/>
    <numFmt numFmtId="195" formatCode="#,###,_);\(#,###,\);&quot;–  &quot;\ \ \ \ \ "/>
  </numFmts>
  <fonts count="18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color theme="1"/>
      <name val="Arial"/>
      <family val="2"/>
    </font>
    <font>
      <sz val="12"/>
      <name val="Arial"/>
      <family val="2"/>
    </font>
    <font>
      <b/>
      <sz val="12"/>
      <name val="Arial"/>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60"/>
      <name val="Calibri"/>
      <family val="2"/>
    </font>
    <font>
      <sz val="11"/>
      <color indexed="62"/>
      <name val="Calibri"/>
      <family val="2"/>
    </font>
    <font>
      <b/>
      <sz val="11"/>
      <color indexed="63"/>
      <name val="Calibri"/>
      <family val="2"/>
    </font>
    <font>
      <b/>
      <sz val="11"/>
      <color indexed="9"/>
      <name val="Calibri"/>
      <family val="2"/>
    </font>
    <font>
      <sz val="11"/>
      <color indexed="10"/>
      <name val="Calibri"/>
      <family val="2"/>
    </font>
    <font>
      <b/>
      <sz val="11"/>
      <color indexed="8"/>
      <name val="Calibri"/>
      <family val="2"/>
    </font>
    <font>
      <sz val="11"/>
      <color indexed="9"/>
      <name val="Calibri"/>
      <family val="2"/>
    </font>
    <font>
      <u/>
      <sz val="7.5"/>
      <color indexed="12"/>
      <name val="Arial"/>
      <family val="2"/>
    </font>
    <font>
      <sz val="11"/>
      <color indexed="16"/>
      <name val="Calibri"/>
      <family val="2"/>
    </font>
    <font>
      <b/>
      <sz val="11"/>
      <color indexed="53"/>
      <name val="Calibri"/>
      <family val="2"/>
    </font>
    <font>
      <sz val="11"/>
      <color indexed="53"/>
      <name val="Calibri"/>
      <family val="2"/>
    </font>
    <font>
      <sz val="10"/>
      <color indexed="8"/>
      <name val="Arial"/>
      <family val="2"/>
    </font>
    <font>
      <sz val="12"/>
      <name val="Times"/>
    </font>
    <font>
      <sz val="11"/>
      <name val="Times New Roman"/>
      <family val="1"/>
    </font>
    <font>
      <b/>
      <sz val="11"/>
      <name val="Times New Roman"/>
      <family val="1"/>
    </font>
    <font>
      <sz val="18"/>
      <name val="Arial"/>
      <family val="2"/>
    </font>
    <font>
      <i/>
      <sz val="12"/>
      <name val="Arial"/>
      <family val="2"/>
    </font>
    <font>
      <sz val="12"/>
      <name val="Times New Roman"/>
      <family val="1"/>
    </font>
    <font>
      <sz val="18"/>
      <name val="Times New Roman"/>
      <family val="1"/>
    </font>
    <font>
      <sz val="8"/>
      <name val="Times New Roman"/>
      <family val="1"/>
    </font>
    <font>
      <i/>
      <sz val="12"/>
      <name val="Times New Roman"/>
      <family val="1"/>
    </font>
    <font>
      <b/>
      <sz val="18"/>
      <name val="Arial"/>
      <family val="2"/>
    </font>
    <font>
      <u/>
      <sz val="11"/>
      <name val="Times New Roman"/>
      <family val="1"/>
    </font>
    <font>
      <b/>
      <sz val="10"/>
      <color indexed="8"/>
      <name val="Times New Roman"/>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sz val="10"/>
      <name val="Arial"/>
      <family val="2"/>
    </font>
    <font>
      <u/>
      <sz val="8"/>
      <color indexed="12"/>
      <name val="Arial"/>
      <family val="2"/>
    </font>
  </fonts>
  <fills count="6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42"/>
        <bgColor indexed="42"/>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double">
        <color indexed="64"/>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double">
        <color indexed="64"/>
      </top>
      <bottom/>
      <diagonal/>
    </border>
    <border>
      <left/>
      <right/>
      <top style="thin">
        <color indexed="54"/>
      </top>
      <bottom style="double">
        <color indexed="5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3481">
    <xf numFmtId="0" fontId="0" fillId="0" borderId="0"/>
    <xf numFmtId="43" fontId="15" fillId="0" borderId="0" applyFont="0" applyFill="0" applyBorder="0" applyAlignment="0" applyProtection="0"/>
    <xf numFmtId="0" fontId="38" fillId="0" borderId="0" applyNumberFormat="0" applyFill="0" applyBorder="0" applyAlignment="0" applyProtection="0">
      <alignment vertical="top"/>
      <protection locked="0"/>
    </xf>
    <xf numFmtId="0" fontId="15" fillId="0" borderId="0"/>
    <xf numFmtId="0" fontId="5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0" fillId="0" borderId="0"/>
    <xf numFmtId="0" fontId="14" fillId="0" borderId="0"/>
    <xf numFmtId="0" fontId="57" fillId="0" borderId="0" applyNumberFormat="0" applyFill="0" applyBorder="0" applyAlignment="0" applyProtection="0"/>
    <xf numFmtId="0" fontId="13" fillId="0" borderId="0"/>
    <xf numFmtId="0" fontId="12"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5" fillId="0" borderId="0" applyAlignment="0"/>
    <xf numFmtId="181" fontId="164" fillId="0" borderId="0" applyFont="0" applyFill="0" applyBorder="0" applyAlignment="0" applyProtection="0"/>
    <xf numFmtId="182" fontId="164" fillId="0" borderId="0" applyFont="0" applyFill="0" applyBorder="0" applyAlignment="0" applyProtection="0"/>
    <xf numFmtId="43" fontId="15" fillId="0" borderId="0" applyAlignment="0"/>
    <xf numFmtId="0" fontId="7" fillId="0" borderId="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183" fontId="164" fillId="0" borderId="0" applyFont="0" applyFill="0" applyBorder="0" applyAlignment="0" applyProtection="0"/>
    <xf numFmtId="184" fontId="164" fillId="0" borderId="0" applyFont="0" applyFill="0" applyBorder="0" applyAlignment="0" applyProtection="0"/>
    <xf numFmtId="43" fontId="15" fillId="0" borderId="0" applyAlignment="0"/>
    <xf numFmtId="185" fontId="164" fillId="0" borderId="0" applyFont="0" applyFill="0" applyBorder="0" applyAlignment="0" applyProtection="0">
      <alignment horizontal="right"/>
    </xf>
    <xf numFmtId="186" fontId="164" fillId="0" borderId="0" applyFont="0" applyFill="0" applyBorder="0" applyAlignment="0" applyProtection="0"/>
    <xf numFmtId="187" fontId="164" fillId="0" borderId="0" applyFont="0" applyFill="0" applyBorder="0" applyAlignment="0" applyProtection="0">
      <alignment horizontal="right"/>
    </xf>
    <xf numFmtId="188" fontId="164" fillId="0" borderId="0" applyFont="0" applyFill="0" applyBorder="0" applyAlignment="0" applyProtection="0">
      <alignment horizontal="right"/>
    </xf>
    <xf numFmtId="189" fontId="164" fillId="0" borderId="0" applyFont="0" applyFill="0" applyBorder="0" applyAlignment="0" applyProtection="0">
      <alignment horizontal="right"/>
    </xf>
    <xf numFmtId="190" fontId="164" fillId="0" borderId="0" applyFont="0" applyFill="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58" fillId="28"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46" fillId="30" borderId="0" applyNumberFormat="0" applyBorder="0" applyAlignment="0" applyProtection="0"/>
    <xf numFmtId="0" fontId="146" fillId="31" borderId="0" applyNumberFormat="0" applyBorder="0" applyAlignment="0" applyProtection="0"/>
    <xf numFmtId="0" fontId="158" fillId="32" borderId="0" applyNumberFormat="0" applyBorder="0" applyAlignment="0" applyProtection="0"/>
    <xf numFmtId="0" fontId="158" fillId="33" borderId="0" applyNumberFormat="0" applyBorder="0" applyAlignment="0" applyProtection="0"/>
    <xf numFmtId="0" fontId="158" fillId="33" borderId="0" applyNumberFormat="0" applyBorder="0" applyAlignment="0" applyProtection="0"/>
    <xf numFmtId="0" fontId="158" fillId="33" borderId="0" applyNumberFormat="0" applyBorder="0" applyAlignment="0" applyProtection="0"/>
    <xf numFmtId="0" fontId="158" fillId="33" borderId="0" applyNumberFormat="0" applyBorder="0" applyAlignment="0" applyProtection="0"/>
    <xf numFmtId="0" fontId="158" fillId="33" borderId="0" applyNumberFormat="0" applyBorder="0" applyAlignment="0" applyProtection="0"/>
    <xf numFmtId="0" fontId="158" fillId="33" borderId="0" applyNumberFormat="0" applyBorder="0" applyAlignment="0" applyProtection="0"/>
    <xf numFmtId="0" fontId="146" fillId="30" borderId="0" applyNumberFormat="0" applyBorder="0" applyAlignment="0" applyProtection="0"/>
    <xf numFmtId="0" fontId="146" fillId="34" borderId="0" applyNumberFormat="0" applyBorder="0" applyAlignment="0" applyProtection="0"/>
    <xf numFmtId="0" fontId="158" fillId="31" borderId="0" applyNumberFormat="0" applyBorder="0" applyAlignment="0" applyProtection="0"/>
    <xf numFmtId="0" fontId="158" fillId="32" borderId="0" applyNumberFormat="0" applyBorder="0" applyAlignment="0" applyProtection="0"/>
    <xf numFmtId="0" fontId="158" fillId="32" borderId="0" applyNumberFormat="0" applyBorder="0" applyAlignment="0" applyProtection="0"/>
    <xf numFmtId="0" fontId="158" fillId="32" borderId="0" applyNumberFormat="0" applyBorder="0" applyAlignment="0" applyProtection="0"/>
    <xf numFmtId="0" fontId="158" fillId="32" borderId="0" applyNumberFormat="0" applyBorder="0" applyAlignment="0" applyProtection="0"/>
    <xf numFmtId="0" fontId="158" fillId="32" borderId="0" applyNumberFormat="0" applyBorder="0" applyAlignment="0" applyProtection="0"/>
    <xf numFmtId="0" fontId="158" fillId="32" borderId="0" applyNumberFormat="0" applyBorder="0" applyAlignment="0" applyProtection="0"/>
    <xf numFmtId="0" fontId="146" fillId="27" borderId="0" applyNumberFormat="0" applyBorder="0" applyAlignment="0" applyProtection="0"/>
    <xf numFmtId="0" fontId="146" fillId="31" borderId="0" applyNumberFormat="0" applyBorder="0" applyAlignment="0" applyProtection="0"/>
    <xf numFmtId="0" fontId="158" fillId="31"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58" fillId="29" borderId="0" applyNumberFormat="0" applyBorder="0" applyAlignment="0" applyProtection="0"/>
    <xf numFmtId="0" fontId="146" fillId="35" borderId="0" applyNumberFormat="0" applyBorder="0" applyAlignment="0" applyProtection="0"/>
    <xf numFmtId="0" fontId="146" fillId="27" borderId="0" applyNumberFormat="0" applyBorder="0" applyAlignment="0" applyProtection="0"/>
    <xf numFmtId="0" fontId="158" fillId="28" borderId="0" applyNumberFormat="0" applyBorder="0" applyAlignment="0" applyProtection="0"/>
    <xf numFmtId="0" fontId="158" fillId="36" borderId="0" applyNumberFormat="0" applyBorder="0" applyAlignment="0" applyProtection="0"/>
    <xf numFmtId="0" fontId="158" fillId="36" borderId="0" applyNumberFormat="0" applyBorder="0" applyAlignment="0" applyProtection="0"/>
    <xf numFmtId="0" fontId="158" fillId="36" borderId="0" applyNumberFormat="0" applyBorder="0" applyAlignment="0" applyProtection="0"/>
    <xf numFmtId="0" fontId="158" fillId="36" borderId="0" applyNumberFormat="0" applyBorder="0" applyAlignment="0" applyProtection="0"/>
    <xf numFmtId="0" fontId="158" fillId="36" borderId="0" applyNumberFormat="0" applyBorder="0" applyAlignment="0" applyProtection="0"/>
    <xf numFmtId="0" fontId="158" fillId="36" borderId="0" applyNumberFormat="0" applyBorder="0" applyAlignment="0" applyProtection="0"/>
    <xf numFmtId="0" fontId="146" fillId="30" borderId="0" applyNumberFormat="0" applyBorder="0" applyAlignment="0" applyProtection="0"/>
    <xf numFmtId="0" fontId="146" fillId="37" borderId="0" applyNumberFormat="0" applyBorder="0" applyAlignment="0" applyProtection="0"/>
    <xf numFmtId="0" fontId="158" fillId="37" borderId="0" applyNumberFormat="0" applyBorder="0" applyAlignment="0" applyProtection="0"/>
    <xf numFmtId="0" fontId="158" fillId="38" borderId="0" applyNumberFormat="0" applyBorder="0" applyAlignment="0" applyProtection="0"/>
    <xf numFmtId="0" fontId="158" fillId="38" borderId="0" applyNumberFormat="0" applyBorder="0" applyAlignment="0" applyProtection="0"/>
    <xf numFmtId="0" fontId="158" fillId="38" borderId="0" applyNumberFormat="0" applyBorder="0" applyAlignment="0" applyProtection="0"/>
    <xf numFmtId="0" fontId="158" fillId="38" borderId="0" applyNumberFormat="0" applyBorder="0" applyAlignment="0" applyProtection="0"/>
    <xf numFmtId="0" fontId="158" fillId="38" borderId="0" applyNumberFormat="0" applyBorder="0" applyAlignment="0" applyProtection="0"/>
    <xf numFmtId="0" fontId="158" fillId="38" borderId="0" applyNumberFormat="0" applyBorder="0" applyAlignment="0" applyProtection="0"/>
    <xf numFmtId="0" fontId="160" fillId="39" borderId="0" applyNumberFormat="0" applyBorder="0" applyAlignment="0" applyProtection="0"/>
    <xf numFmtId="0" fontId="160" fillId="39" borderId="0" applyNumberFormat="0" applyBorder="0" applyAlignment="0" applyProtection="0"/>
    <xf numFmtId="0" fontId="160" fillId="39" borderId="0" applyNumberFormat="0" applyBorder="0" applyAlignment="0" applyProtection="0"/>
    <xf numFmtId="0" fontId="160" fillId="39" borderId="0" applyNumberFormat="0" applyBorder="0" applyAlignment="0" applyProtection="0"/>
    <xf numFmtId="0" fontId="160" fillId="39" borderId="0" applyNumberFormat="0" applyBorder="0" applyAlignment="0" applyProtection="0"/>
    <xf numFmtId="0" fontId="160" fillId="39" borderId="0" applyNumberFormat="0" applyBorder="0" applyAlignment="0" applyProtection="0"/>
    <xf numFmtId="0" fontId="164" fillId="0" borderId="165" applyNumberFormat="0" applyFill="0" applyAlignment="0" applyProtection="0"/>
    <xf numFmtId="191" fontId="165" fillId="0" borderId="165" applyNumberFormat="0" applyFill="0" applyAlignment="0" applyProtection="0">
      <alignment horizontal="center"/>
    </xf>
    <xf numFmtId="191" fontId="165" fillId="0" borderId="78" applyFill="0" applyAlignment="0" applyProtection="0">
      <alignment horizontal="center"/>
    </xf>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55" fillId="32" borderId="166" applyNumberFormat="0" applyAlignment="0" applyProtection="0"/>
    <xf numFmtId="0" fontId="155" fillId="32" borderId="166" applyNumberFormat="0" applyAlignment="0" applyProtection="0"/>
    <xf numFmtId="0" fontId="155" fillId="32" borderId="166" applyNumberFormat="0" applyAlignment="0" applyProtection="0"/>
    <xf numFmtId="0" fontId="155" fillId="32" borderId="166" applyNumberFormat="0" applyAlignment="0" applyProtection="0"/>
    <xf numFmtId="0" fontId="155" fillId="32" borderId="166" applyNumberFormat="0" applyAlignment="0" applyProtection="0"/>
    <xf numFmtId="0" fontId="155" fillId="32" borderId="166" applyNumberFormat="0" applyAlignment="0" applyProtection="0"/>
    <xf numFmtId="0" fontId="166" fillId="0" borderId="0" applyProtection="0"/>
    <xf numFmtId="191" fontId="165" fillId="0" borderId="0" applyFill="0" applyBorder="0" applyProtection="0">
      <alignment horizontal="center"/>
    </xf>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6" fillId="0" borderId="0" applyFont="0" applyFill="0" applyBorder="0" applyAlignment="0" applyProtection="0"/>
    <xf numFmtId="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5" fontId="15" fillId="0" borderId="0" applyFont="0" applyFill="0" applyBorder="0" applyAlignment="0" applyProtection="0"/>
    <xf numFmtId="0" fontId="144" fillId="0" borderId="0" applyProtection="0"/>
    <xf numFmtId="192" fontId="164" fillId="0" borderId="0" applyFont="0" applyFill="0" applyBorder="0" applyAlignment="0" applyProtection="0"/>
    <xf numFmtId="191" fontId="165" fillId="0" borderId="167" applyNumberFormat="0" applyFill="0" applyAlignment="0" applyProtection="0"/>
    <xf numFmtId="0" fontId="164" fillId="0" borderId="167" applyNumberFormat="0" applyFill="0" applyAlignment="0" applyProtection="0"/>
    <xf numFmtId="0" fontId="157" fillId="41" borderId="0" applyNumberFormat="0" applyBorder="0" applyAlignment="0" applyProtection="0"/>
    <xf numFmtId="0" fontId="157" fillId="42" borderId="0" applyNumberFormat="0" applyBorder="0" applyAlignment="0" applyProtection="0"/>
    <xf numFmtId="0" fontId="157" fillId="43" borderId="0" applyNumberFormat="0" applyBorder="0" applyAlignment="0" applyProtection="0"/>
    <xf numFmtId="0" fontId="167" fillId="0" borderId="0" applyProtection="0"/>
    <xf numFmtId="0" fontId="16" fillId="0" borderId="0" applyProtection="0"/>
    <xf numFmtId="0" fontId="168" fillId="0" borderId="0" applyProtection="0"/>
    <xf numFmtId="0" fontId="169" fillId="0" borderId="0" applyProtection="0"/>
    <xf numFmtId="0" fontId="170" fillId="0" borderId="0" applyProtection="0"/>
    <xf numFmtId="0" fontId="171" fillId="0" borderId="0" applyProtection="0"/>
    <xf numFmtId="0" fontId="172" fillId="0" borderId="0" applyProtection="0"/>
    <xf numFmtId="2" fontId="144" fillId="0" borderId="0" applyProtection="0"/>
    <xf numFmtId="0" fontId="151" fillId="34" borderId="0" applyNumberFormat="0" applyBorder="0" applyAlignment="0" applyProtection="0"/>
    <xf numFmtId="0" fontId="151" fillId="34" borderId="0" applyNumberFormat="0" applyBorder="0" applyAlignment="0" applyProtection="0"/>
    <xf numFmtId="0" fontId="151" fillId="34" borderId="0" applyNumberFormat="0" applyBorder="0" applyAlignment="0" applyProtection="0"/>
    <xf numFmtId="0" fontId="151" fillId="34" borderId="0" applyNumberFormat="0" applyBorder="0" applyAlignment="0" applyProtection="0"/>
    <xf numFmtId="0" fontId="151" fillId="34" borderId="0" applyNumberFormat="0" applyBorder="0" applyAlignment="0" applyProtection="0"/>
    <xf numFmtId="0" fontId="151" fillId="34" borderId="0" applyNumberFormat="0" applyBorder="0" applyAlignment="0" applyProtection="0"/>
    <xf numFmtId="0" fontId="148" fillId="0" borderId="168" applyNumberFormat="0" applyFill="0" applyAlignment="0" applyProtection="0"/>
    <xf numFmtId="0" fontId="148" fillId="0" borderId="168" applyNumberFormat="0" applyFill="0" applyAlignment="0" applyProtection="0"/>
    <xf numFmtId="0" fontId="148" fillId="0" borderId="168" applyNumberFormat="0" applyFill="0" applyAlignment="0" applyProtection="0"/>
    <xf numFmtId="0" fontId="148" fillId="0" borderId="168" applyNumberFormat="0" applyFill="0" applyAlignment="0" applyProtection="0"/>
    <xf numFmtId="0" fontId="148" fillId="0" borderId="168" applyNumberFormat="0" applyFill="0" applyAlignment="0" applyProtection="0"/>
    <xf numFmtId="0" fontId="148" fillId="0" borderId="168" applyNumberFormat="0" applyFill="0" applyAlignment="0" applyProtection="0"/>
    <xf numFmtId="0" fontId="149" fillId="0" borderId="169" applyNumberFormat="0" applyFill="0" applyAlignment="0" applyProtection="0"/>
    <xf numFmtId="0" fontId="149" fillId="0" borderId="169" applyNumberFormat="0" applyFill="0" applyAlignment="0" applyProtection="0"/>
    <xf numFmtId="0" fontId="149" fillId="0" borderId="169" applyNumberFormat="0" applyFill="0" applyAlignment="0" applyProtection="0"/>
    <xf numFmtId="0" fontId="149" fillId="0" borderId="169" applyNumberFormat="0" applyFill="0" applyAlignment="0" applyProtection="0"/>
    <xf numFmtId="0" fontId="149" fillId="0" borderId="169" applyNumberFormat="0" applyFill="0" applyAlignment="0" applyProtection="0"/>
    <xf numFmtId="0" fontId="149" fillId="0" borderId="169" applyNumberFormat="0" applyFill="0" applyAlignment="0" applyProtection="0"/>
    <xf numFmtId="0" fontId="150" fillId="0" borderId="170" applyNumberFormat="0" applyFill="0" applyAlignment="0" applyProtection="0"/>
    <xf numFmtId="0" fontId="150" fillId="0" borderId="170" applyNumberFormat="0" applyFill="0" applyAlignment="0" applyProtection="0"/>
    <xf numFmtId="0" fontId="150" fillId="0" borderId="170" applyNumberFormat="0" applyFill="0" applyAlignment="0" applyProtection="0"/>
    <xf numFmtId="0" fontId="150" fillId="0" borderId="170" applyNumberFormat="0" applyFill="0" applyAlignment="0" applyProtection="0"/>
    <xf numFmtId="0" fontId="150" fillId="0" borderId="170" applyNumberFormat="0" applyFill="0" applyAlignment="0" applyProtection="0"/>
    <xf numFmtId="0" fontId="150" fillId="0" borderId="170" applyNumberFormat="0" applyFill="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173" fillId="0" borderId="0" applyProtection="0"/>
    <xf numFmtId="0" fontId="145" fillId="0" borderId="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15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93" fontId="164" fillId="0" borderId="0" applyFont="0" applyFill="0" applyBorder="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62" fillId="0" borderId="171" applyNumberFormat="0" applyFill="0" applyAlignment="0" applyProtection="0"/>
    <xf numFmtId="0" fontId="162" fillId="0" borderId="171" applyNumberFormat="0" applyFill="0" applyAlignment="0" applyProtection="0"/>
    <xf numFmtId="0" fontId="162" fillId="0" borderId="171" applyNumberFormat="0" applyFill="0" applyAlignment="0" applyProtection="0"/>
    <xf numFmtId="0" fontId="162" fillId="0" borderId="171" applyNumberFormat="0" applyFill="0" applyAlignment="0" applyProtection="0"/>
    <xf numFmtId="0" fontId="162" fillId="0" borderId="171" applyNumberFormat="0" applyFill="0" applyAlignment="0" applyProtection="0"/>
    <xf numFmtId="0" fontId="162" fillId="0" borderId="171" applyNumberFormat="0" applyFill="0" applyAlignment="0" applyProtection="0"/>
    <xf numFmtId="0" fontId="152" fillId="44" borderId="0" applyNumberFormat="0" applyBorder="0" applyAlignment="0" applyProtection="0"/>
    <xf numFmtId="0" fontId="152" fillId="44" borderId="0" applyNumberFormat="0" applyBorder="0" applyAlignment="0" applyProtection="0"/>
    <xf numFmtId="0" fontId="152" fillId="44" borderId="0" applyNumberFormat="0" applyBorder="0" applyAlignment="0" applyProtection="0"/>
    <xf numFmtId="0" fontId="152" fillId="44" borderId="0" applyNumberFormat="0" applyBorder="0" applyAlignment="0" applyProtection="0"/>
    <xf numFmtId="0" fontId="152" fillId="44" borderId="0" applyNumberFormat="0" applyBorder="0" applyAlignment="0" applyProtection="0"/>
    <xf numFmtId="0" fontId="152" fillId="44" borderId="0" applyNumberFormat="0" applyBorder="0" applyAlignment="0" applyProtection="0"/>
    <xf numFmtId="0" fontId="165" fillId="0" borderId="0" applyNumberFormat="0" applyFill="0" applyAlignment="0" applyProtection="0"/>
    <xf numFmtId="0" fontId="15" fillId="0" borderId="0"/>
    <xf numFmtId="0" fontId="15" fillId="0" borderId="0"/>
    <xf numFmtId="0" fontId="15" fillId="0" borderId="0"/>
    <xf numFmtId="0" fontId="15" fillId="0" borderId="0"/>
    <xf numFmtId="0" fontId="7" fillId="0" borderId="0"/>
    <xf numFmtId="0" fontId="143" fillId="0" borderId="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194" fontId="165" fillId="0" borderId="0" applyFill="0" applyBorder="0" applyProtection="0">
      <alignment horizontal="right"/>
    </xf>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195" fontId="165" fillId="0" borderId="0" applyProtection="0"/>
    <xf numFmtId="0" fontId="147" fillId="0" borderId="0" applyNumberFormat="0" applyFill="0" applyBorder="0" applyAlignment="0" applyProtection="0"/>
    <xf numFmtId="0" fontId="165" fillId="0" borderId="78" applyNumberFormat="0" applyFill="0" applyAlignment="0" applyProtection="0"/>
    <xf numFmtId="8" fontId="174" fillId="0" borderId="0" applyNumberFormat="0" applyFill="0" applyBorder="0" applyAlignment="0" applyProtection="0"/>
    <xf numFmtId="0" fontId="163" fillId="0" borderId="0" applyNumberFormat="0" applyBorder="0" applyAlignment="0"/>
    <xf numFmtId="0" fontId="175" fillId="0" borderId="0" applyNumberFormat="0" applyBorder="0" applyAlignment="0"/>
    <xf numFmtId="0" fontId="164" fillId="0" borderId="173" applyNumberFormat="0" applyFont="0" applyFill="0" applyAlignment="0" applyProtection="0"/>
    <xf numFmtId="0" fontId="164" fillId="0" borderId="174" applyNumberFormat="0" applyFont="0" applyFill="0" applyAlignment="0" applyProtection="0"/>
    <xf numFmtId="0" fontId="164" fillId="0" borderId="141" applyNumberFormat="0" applyFon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43" fontId="15" fillId="0" borderId="0" applyAlignment="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6"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7"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49"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2"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53"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1"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46" fillId="54"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5"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2"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3"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8"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2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2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2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59"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33"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33"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33"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0"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32"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32"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32"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61"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29"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29"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29"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6"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36"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36"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36"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57"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38"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38"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38"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58" fillId="62"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60" fillId="39"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60" fillId="39"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60" fillId="39"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61" fillId="4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61" fillId="4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61" fillId="4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32"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32"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32"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0" fontId="155" fillId="64" borderId="166"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78" fillId="0" borderId="0" applyNumberFormat="0" applyFill="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34"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34"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34"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51" fillId="47" borderId="0" applyNumberFormat="0" applyBorder="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48" fillId="0" borderId="168"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48" fillId="0" borderId="168"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48" fillId="0" borderId="168"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79" fillId="0" borderId="176"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49"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49"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49"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0" fillId="0" borderId="169"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50" fillId="0" borderId="170"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50" fillId="0" borderId="170"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50" fillId="0" borderId="170"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177" applyNumberFormat="0" applyFill="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50"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50"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50"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181"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159"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37"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37"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37"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6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6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6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82" fillId="0" borderId="171" applyNumberFormat="0" applyFill="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44"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44"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44"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2" fillId="65"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7" fillId="0" borderId="0"/>
    <xf numFmtId="0" fontId="143" fillId="0" borderId="0"/>
    <xf numFmtId="0" fontId="15" fillId="0" borderId="0"/>
    <xf numFmtId="0" fontId="15" fillId="0" borderId="0"/>
    <xf numFmtId="0" fontId="15" fillId="0" borderId="0"/>
    <xf numFmtId="0" fontId="15" fillId="0" borderId="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30"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30"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30"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0" fontId="7" fillId="0" borderId="0"/>
    <xf numFmtId="0" fontId="15" fillId="0" borderId="0"/>
    <xf numFmtId="43" fontId="7" fillId="0" borderId="0" applyFont="0" applyFill="0" applyBorder="0" applyAlignment="0" applyProtection="0"/>
    <xf numFmtId="5" fontId="15" fillId="0" borderId="0" applyFont="0" applyFill="0" applyBorder="0" applyAlignment="0" applyProtection="0"/>
    <xf numFmtId="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7" fillId="0" borderId="0"/>
    <xf numFmtId="0" fontId="7" fillId="0" borderId="0"/>
    <xf numFmtId="0" fontId="56" fillId="0" borderId="0"/>
    <xf numFmtId="0" fontId="7" fillId="0" borderId="0"/>
    <xf numFmtId="43" fontId="7" fillId="0" borderId="0" applyFont="0" applyFill="0" applyBorder="0" applyAlignment="0" applyProtection="0"/>
    <xf numFmtId="0" fontId="7" fillId="0" borderId="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61" fillId="4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61" fillId="4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61" fillId="4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37"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37"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37"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30"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30"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30"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64" fillId="0" borderId="141" applyNumberFormat="0" applyFont="0" applyFill="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159" fillId="0" borderId="0" applyNumberFormat="0" applyFill="0" applyBorder="0" applyAlignment="0" applyProtection="0">
      <alignment vertical="top"/>
      <protection locked="0"/>
    </xf>
    <xf numFmtId="0" fontId="7" fillId="0" borderId="0"/>
    <xf numFmtId="0" fontId="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84" fillId="0" borderId="0" applyAlignment="0"/>
    <xf numFmtId="43" fontId="184" fillId="0" borderId="0" applyFont="0" applyFill="0" applyBorder="0" applyAlignment="0" applyProtection="0"/>
    <xf numFmtId="43" fontId="5" fillId="0" borderId="0" applyFont="0" applyFill="0" applyBorder="0" applyAlignment="0" applyProtection="0"/>
    <xf numFmtId="43" fontId="184" fillId="0" borderId="0" applyFont="0" applyFill="0" applyBorder="0" applyAlignment="0" applyProtection="0"/>
    <xf numFmtId="3" fontId="184" fillId="0" borderId="0" applyFont="0" applyFill="0" applyBorder="0" applyAlignment="0" applyProtection="0"/>
    <xf numFmtId="44" fontId="184" fillId="0" borderId="0" applyFont="0" applyFill="0" applyBorder="0" applyAlignment="0" applyProtection="0"/>
    <xf numFmtId="5" fontId="184" fillId="0" borderId="0" applyFont="0" applyFill="0" applyBorder="0" applyAlignment="0" applyProtection="0"/>
    <xf numFmtId="0" fontId="185" fillId="0" borderId="0" applyNumberFormat="0" applyFill="0" applyBorder="0" applyAlignment="0" applyProtection="0">
      <alignment vertical="top"/>
      <protection locked="0"/>
    </xf>
    <xf numFmtId="0" fontId="184" fillId="0" borderId="0"/>
    <xf numFmtId="0" fontId="184" fillId="0" borderId="0"/>
    <xf numFmtId="0" fontId="5" fillId="0" borderId="0"/>
    <xf numFmtId="43" fontId="184" fillId="0" borderId="0" applyAlignment="0"/>
    <xf numFmtId="43" fontId="184" fillId="0" borderId="0" applyAlignment="0"/>
    <xf numFmtId="43" fontId="5" fillId="0" borderId="0" applyFont="0" applyFill="0" applyBorder="0" applyAlignment="0" applyProtection="0"/>
    <xf numFmtId="44" fontId="184" fillId="0" borderId="0" applyFont="0" applyFill="0" applyBorder="0" applyAlignment="0" applyProtection="0"/>
    <xf numFmtId="44" fontId="184" fillId="0" borderId="0" applyFont="0" applyFill="0" applyBorder="0" applyAlignment="0" applyProtection="0"/>
    <xf numFmtId="0" fontId="185" fillId="0" borderId="0" applyNumberFormat="0" applyFill="0" applyBorder="0" applyAlignment="0" applyProtection="0">
      <alignment vertical="top"/>
      <protection locked="0"/>
    </xf>
    <xf numFmtId="0" fontId="185" fillId="0" borderId="0" applyNumberFormat="0" applyFill="0" applyBorder="0" applyAlignment="0" applyProtection="0">
      <alignment vertical="top"/>
      <protection locked="0"/>
    </xf>
    <xf numFmtId="0" fontId="184"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5" fillId="0" borderId="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7" fillId="0" borderId="178" applyNumberFormat="0" applyFill="0" applyAlignment="0" applyProtection="0"/>
    <xf numFmtId="0" fontId="154" fillId="63" borderId="172" applyNumberFormat="0" applyAlignment="0" applyProtection="0"/>
    <xf numFmtId="0" fontId="157" fillId="0" borderId="178" applyNumberFormat="0" applyFill="0" applyAlignment="0" applyProtection="0"/>
    <xf numFmtId="43" fontId="5" fillId="0" borderId="0" applyFont="0" applyFill="0" applyBorder="0" applyAlignment="0" applyProtection="0"/>
    <xf numFmtId="0" fontId="5" fillId="0" borderId="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64" fillId="0" borderId="141" applyNumberFormat="0" applyFon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64" fillId="0" borderId="141" applyNumberFormat="0" applyFon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7" fillId="0" borderId="175" applyNumberFormat="0" applyFill="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30"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30"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30"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 fillId="66" borderId="2" applyNumberFormat="0" applyFon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37"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37"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37"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53" fillId="5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61" fillId="4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61" fillId="4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61" fillId="40"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77" fillId="63" borderId="1"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 fillId="30" borderId="2" applyNumberFormat="0" applyFon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53" fillId="37"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61" fillId="40" borderId="1"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5"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40"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0" fontId="154" fillId="63" borderId="172" applyNumberFormat="0" applyAlignment="0" applyProtection="0"/>
    <xf numFmtId="43" fontId="5" fillId="0" borderId="0" applyFont="0" applyFill="0" applyBorder="0" applyAlignment="0" applyProtection="0"/>
    <xf numFmtId="0" fontId="5" fillId="0" borderId="0"/>
    <xf numFmtId="0" fontId="5" fillId="0" borderId="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154" fillId="40" borderId="172" applyNumberFormat="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157" fillId="0" borderId="175" applyNumberFormat="0" applyFill="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157" fillId="0" borderId="178" applyNumberFormat="0" applyFill="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cellStyleXfs>
  <cellXfs count="2559">
    <xf numFmtId="0" fontId="0" fillId="0" borderId="0" xfId="0"/>
    <xf numFmtId="0" fontId="15" fillId="0" borderId="0" xfId="0" applyFont="1"/>
    <xf numFmtId="0" fontId="20" fillId="0" borderId="0" xfId="0" applyFont="1"/>
    <xf numFmtId="0" fontId="0" fillId="0" borderId="0" xfId="0" applyAlignment="1">
      <alignment horizontal="left" vertical="center"/>
    </xf>
    <xf numFmtId="0" fontId="16" fillId="0" borderId="0" xfId="0" applyFont="1"/>
    <xf numFmtId="0" fontId="0" fillId="0" borderId="0" xfId="0" applyProtection="1"/>
    <xf numFmtId="0" fontId="0" fillId="0" borderId="0" xfId="0" applyBorder="1" applyProtection="1"/>
    <xf numFmtId="0" fontId="20" fillId="0" borderId="0" xfId="0" applyFont="1" applyAlignment="1"/>
    <xf numFmtId="0" fontId="0" fillId="0" borderId="0" xfId="0" applyFill="1"/>
    <xf numFmtId="0" fontId="20" fillId="0" borderId="0" xfId="0" applyFont="1" applyFill="1"/>
    <xf numFmtId="0" fontId="29" fillId="0" borderId="0" xfId="0" applyFont="1" applyProtection="1"/>
    <xf numFmtId="0" fontId="29" fillId="0" borderId="0" xfId="0" applyFont="1" applyProtection="1">
      <protection locked="0"/>
    </xf>
    <xf numFmtId="0" fontId="15" fillId="0" borderId="0" xfId="0" applyFont="1" applyProtection="1"/>
    <xf numFmtId="0" fontId="0" fillId="0" borderId="0" xfId="0" applyFill="1" applyProtection="1"/>
    <xf numFmtId="0" fontId="31" fillId="0" borderId="0" xfId="0" applyFont="1" applyAlignment="1" applyProtection="1">
      <alignment horizontal="right" vertical="top"/>
    </xf>
    <xf numFmtId="164" fontId="20" fillId="0" borderId="0" xfId="0" applyNumberFormat="1" applyFont="1" applyAlignment="1" applyProtection="1">
      <alignment horizontal="left" wrapText="1"/>
    </xf>
    <xf numFmtId="0" fontId="20" fillId="0" borderId="0" xfId="0" applyFont="1" applyAlignment="1">
      <alignment horizontal="left" wrapText="1"/>
    </xf>
    <xf numFmtId="49" fontId="33" fillId="0" borderId="0" xfId="0" applyNumberFormat="1" applyFont="1" applyAlignment="1">
      <alignment horizontal="right" vertical="top" indent="1"/>
    </xf>
    <xf numFmtId="49" fontId="33" fillId="0" borderId="0" xfId="0" applyNumberFormat="1" applyFont="1" applyAlignment="1">
      <alignment horizontal="right" vertical="top"/>
    </xf>
    <xf numFmtId="0" fontId="0" fillId="0" borderId="0" xfId="0" applyAlignment="1"/>
    <xf numFmtId="0" fontId="20" fillId="0" borderId="0" xfId="0" applyFont="1" applyAlignment="1">
      <alignment horizontal="left"/>
    </xf>
    <xf numFmtId="0" fontId="30" fillId="0" borderId="0" xfId="0" applyFont="1"/>
    <xf numFmtId="49" fontId="35" fillId="0" borderId="0" xfId="0" applyNumberFormat="1" applyFont="1" applyAlignment="1">
      <alignment horizontal="right" vertical="top" indent="1"/>
    </xf>
    <xf numFmtId="0" fontId="31" fillId="0" borderId="0" xfId="0" applyFont="1" applyAlignment="1" applyProtection="1">
      <alignment horizontal="left" vertical="center" wrapText="1"/>
    </xf>
    <xf numFmtId="0" fontId="0" fillId="0" borderId="0" xfId="0" applyAlignment="1">
      <alignment horizontal="left" vertical="center" wrapText="1"/>
    </xf>
    <xf numFmtId="49" fontId="33" fillId="0" borderId="0" xfId="0" applyNumberFormat="1" applyFont="1" applyAlignment="1">
      <alignment horizontal="right" vertical="center"/>
    </xf>
    <xf numFmtId="0" fontId="19" fillId="0" borderId="0" xfId="12" applyFont="1" applyBorder="1" applyAlignment="1" applyProtection="1">
      <alignment vertical="center"/>
    </xf>
    <xf numFmtId="0" fontId="21" fillId="0" borderId="0" xfId="12" applyNumberFormat="1" applyFont="1" applyBorder="1" applyAlignment="1" applyProtection="1">
      <alignment horizontal="left" vertical="center"/>
    </xf>
    <xf numFmtId="0" fontId="21" fillId="0" borderId="0" xfId="12" applyNumberFormat="1" applyFont="1" applyBorder="1" applyAlignment="1" applyProtection="1">
      <alignment vertical="center"/>
    </xf>
    <xf numFmtId="0" fontId="16" fillId="0" borderId="0" xfId="12" applyNumberFormat="1" applyFont="1" applyBorder="1" applyAlignment="1" applyProtection="1">
      <alignment vertical="center"/>
    </xf>
    <xf numFmtId="0" fontId="19" fillId="0" borderId="0" xfId="12" applyNumberFormat="1" applyFont="1" applyBorder="1" applyAlignment="1" applyProtection="1">
      <alignment vertical="center"/>
    </xf>
    <xf numFmtId="0" fontId="19" fillId="0" borderId="0" xfId="12" applyNumberFormat="1" applyFont="1" applyBorder="1" applyAlignment="1" applyProtection="1">
      <alignment horizontal="left" vertical="center"/>
    </xf>
    <xf numFmtId="0" fontId="16" fillId="0" borderId="0" xfId="12" applyNumberFormat="1" applyFont="1" applyBorder="1" applyAlignment="1" applyProtection="1">
      <alignment horizontal="left" vertical="center"/>
    </xf>
    <xf numFmtId="0" fontId="19" fillId="0" borderId="0" xfId="0" applyNumberFormat="1" applyFont="1" applyBorder="1" applyAlignment="1" applyProtection="1">
      <alignment vertical="center"/>
    </xf>
    <xf numFmtId="0" fontId="19" fillId="0" borderId="0" xfId="12" applyNumberFormat="1" applyFont="1" applyBorder="1" applyAlignment="1" applyProtection="1">
      <alignment horizontal="centerContinuous" vertical="center"/>
    </xf>
    <xf numFmtId="0" fontId="29" fillId="0" borderId="0" xfId="0" applyFont="1" applyFill="1" applyProtection="1"/>
    <xf numFmtId="0" fontId="19" fillId="0" borderId="0" xfId="12" applyFont="1" applyBorder="1" applyAlignment="1" applyProtection="1">
      <alignment horizontal="left" vertical="center"/>
    </xf>
    <xf numFmtId="0" fontId="37" fillId="0" borderId="0" xfId="12" applyFont="1" applyBorder="1" applyAlignment="1" applyProtection="1">
      <alignment vertical="center"/>
    </xf>
    <xf numFmtId="0" fontId="18" fillId="0" borderId="0" xfId="12" applyFont="1" applyBorder="1" applyAlignment="1" applyProtection="1">
      <alignment horizontal="center" vertical="center"/>
    </xf>
    <xf numFmtId="0" fontId="18" fillId="0" borderId="0" xfId="12" applyFont="1" applyBorder="1" applyAlignment="1" applyProtection="1">
      <alignment horizontal="left" vertical="center"/>
    </xf>
    <xf numFmtId="0" fontId="21" fillId="0" borderId="0" xfId="12" applyNumberFormat="1" applyFont="1" applyBorder="1" applyAlignment="1" applyProtection="1">
      <alignment horizontal="center" vertical="center"/>
    </xf>
    <xf numFmtId="0" fontId="16" fillId="0" borderId="0" xfId="12" applyFont="1" applyBorder="1" applyAlignment="1" applyProtection="1">
      <alignment vertical="center"/>
    </xf>
    <xf numFmtId="0" fontId="17" fillId="0" borderId="0" xfId="12" applyFont="1" applyBorder="1" applyAlignment="1" applyProtection="1">
      <alignment horizontal="left" vertical="center"/>
    </xf>
    <xf numFmtId="0" fontId="19" fillId="0" borderId="0" xfId="12" quotePrefix="1" applyNumberFormat="1" applyFont="1" applyBorder="1" applyAlignment="1" applyProtection="1">
      <alignment horizontal="left" vertical="center"/>
    </xf>
    <xf numFmtId="0" fontId="16" fillId="0" borderId="12" xfId="12" applyFont="1" applyBorder="1" applyAlignment="1" applyProtection="1">
      <alignment vertical="center"/>
    </xf>
    <xf numFmtId="0" fontId="19" fillId="0" borderId="16" xfId="12" applyFont="1" applyBorder="1" applyAlignment="1" applyProtection="1">
      <alignment vertical="center"/>
    </xf>
    <xf numFmtId="0" fontId="19" fillId="0" borderId="10" xfId="12" applyFont="1" applyBorder="1" applyAlignment="1" applyProtection="1">
      <alignment vertical="center"/>
    </xf>
    <xf numFmtId="0" fontId="16" fillId="0" borderId="17" xfId="12" applyFont="1" applyBorder="1" applyAlignment="1" applyProtection="1">
      <alignment vertical="center"/>
    </xf>
    <xf numFmtId="0" fontId="19" fillId="0" borderId="18" xfId="12" applyFont="1" applyBorder="1" applyAlignment="1" applyProtection="1">
      <alignment vertical="center"/>
    </xf>
    <xf numFmtId="0" fontId="21" fillId="0" borderId="0" xfId="0" applyNumberFormat="1" applyFont="1" applyFill="1" applyBorder="1" applyAlignment="1" applyProtection="1">
      <alignment vertical="center"/>
    </xf>
    <xf numFmtId="0" fontId="16" fillId="0" borderId="16" xfId="12" applyNumberFormat="1" applyFont="1" applyBorder="1" applyAlignment="1" applyProtection="1">
      <alignment vertical="center"/>
    </xf>
    <xf numFmtId="0" fontId="19" fillId="0" borderId="16" xfId="12" applyNumberFormat="1" applyFont="1" applyBorder="1" applyAlignment="1" applyProtection="1">
      <alignment vertical="center"/>
    </xf>
    <xf numFmtId="0" fontId="19" fillId="0" borderId="20" xfId="12" applyNumberFormat="1" applyFont="1" applyBorder="1" applyAlignment="1" applyProtection="1">
      <alignment vertical="center"/>
    </xf>
    <xf numFmtId="0" fontId="19" fillId="0" borderId="10" xfId="12" applyNumberFormat="1" applyFont="1" applyBorder="1" applyAlignment="1" applyProtection="1">
      <alignment horizontal="left" vertical="center"/>
    </xf>
    <xf numFmtId="0" fontId="19" fillId="0" borderId="17" xfId="12" applyNumberFormat="1" applyFont="1" applyBorder="1" applyAlignment="1" applyProtection="1">
      <alignment vertical="center"/>
    </xf>
    <xf numFmtId="0" fontId="19" fillId="0" borderId="18" xfId="12" applyNumberFormat="1" applyFont="1" applyBorder="1" applyAlignment="1" applyProtection="1">
      <alignment vertical="center"/>
    </xf>
    <xf numFmtId="0" fontId="16" fillId="0" borderId="10" xfId="12" applyNumberFormat="1" applyFont="1" applyBorder="1" applyAlignment="1" applyProtection="1">
      <alignment horizontal="left" vertical="center"/>
    </xf>
    <xf numFmtId="0" fontId="19" fillId="0" borderId="10" xfId="12" applyNumberFormat="1" applyFont="1" applyBorder="1" applyAlignment="1" applyProtection="1">
      <alignment vertical="center"/>
    </xf>
    <xf numFmtId="0" fontId="19" fillId="0" borderId="16" xfId="12" applyNumberFormat="1" applyFont="1" applyFill="1" applyBorder="1" applyAlignment="1" applyProtection="1">
      <alignment vertical="center"/>
    </xf>
    <xf numFmtId="0" fontId="21" fillId="0" borderId="16" xfId="0" applyNumberFormat="1" applyFont="1" applyFill="1" applyBorder="1" applyAlignment="1" applyProtection="1">
      <alignment vertical="center"/>
    </xf>
    <xf numFmtId="0" fontId="21" fillId="0" borderId="10" xfId="0" applyNumberFormat="1" applyFont="1" applyFill="1" applyBorder="1" applyAlignment="1" applyProtection="1">
      <alignment vertical="center"/>
    </xf>
    <xf numFmtId="0" fontId="21" fillId="0" borderId="18" xfId="0" applyNumberFormat="1" applyFont="1" applyFill="1" applyBorder="1" applyAlignment="1" applyProtection="1">
      <alignment vertical="center"/>
    </xf>
    <xf numFmtId="0" fontId="16" fillId="0" borderId="10" xfId="12" applyNumberFormat="1" applyFont="1" applyFill="1" applyBorder="1" applyAlignment="1" applyProtection="1">
      <alignment vertical="center"/>
    </xf>
    <xf numFmtId="0" fontId="16" fillId="0" borderId="12" xfId="12" quotePrefix="1" applyNumberFormat="1" applyFont="1" applyBorder="1" applyAlignment="1" applyProtection="1">
      <alignment horizontal="left" vertical="center"/>
    </xf>
    <xf numFmtId="0" fontId="19" fillId="0" borderId="17" xfId="12" applyNumberFormat="1" applyFont="1" applyBorder="1" applyAlignment="1" applyProtection="1">
      <alignment horizontal="right" vertical="center"/>
    </xf>
    <xf numFmtId="0" fontId="16" fillId="0" borderId="0" xfId="0" applyFont="1" applyAlignment="1">
      <alignment horizontal="left" vertical="center"/>
    </xf>
    <xf numFmtId="0" fontId="16" fillId="0" borderId="0" xfId="0" applyFont="1" applyAlignment="1"/>
    <xf numFmtId="0" fontId="0" fillId="0" borderId="16" xfId="0" applyNumberFormat="1" applyBorder="1" applyAlignment="1">
      <alignment horizontal="left" vertical="center"/>
    </xf>
    <xf numFmtId="0" fontId="19" fillId="0" borderId="12" xfId="12" applyFont="1" applyBorder="1" applyAlignment="1" applyProtection="1">
      <alignment vertical="center"/>
    </xf>
    <xf numFmtId="0" fontId="16" fillId="0" borderId="16" xfId="0" applyNumberFormat="1" applyFont="1" applyBorder="1" applyAlignment="1">
      <alignment horizontal="left" vertical="center"/>
    </xf>
    <xf numFmtId="0" fontId="16" fillId="0" borderId="18" xfId="12" applyNumberFormat="1" applyFont="1" applyBorder="1" applyAlignment="1" applyProtection="1">
      <alignment vertical="center"/>
    </xf>
    <xf numFmtId="0" fontId="16" fillId="0" borderId="10" xfId="12" applyNumberFormat="1" applyFont="1" applyBorder="1" applyAlignment="1" applyProtection="1">
      <alignment vertical="center"/>
    </xf>
    <xf numFmtId="0" fontId="16" fillId="0" borderId="16" xfId="12" applyNumberFormat="1" applyFont="1" applyBorder="1" applyAlignment="1" applyProtection="1">
      <alignment horizontal="left" vertical="center"/>
    </xf>
    <xf numFmtId="0" fontId="16" fillId="0" borderId="16" xfId="12" applyFont="1" applyBorder="1" applyAlignment="1" applyProtection="1">
      <alignment vertical="center"/>
    </xf>
    <xf numFmtId="0" fontId="19" fillId="0" borderId="0" xfId="12" applyNumberFormat="1" applyFont="1" applyBorder="1" applyAlignment="1" applyProtection="1">
      <alignment horizontal="center" vertical="center"/>
    </xf>
    <xf numFmtId="0" fontId="20" fillId="0" borderId="16" xfId="0" applyNumberFormat="1" applyFont="1" applyBorder="1" applyAlignment="1">
      <alignment horizontal="left" vertical="center"/>
    </xf>
    <xf numFmtId="0" fontId="19" fillId="0" borderId="16" xfId="12" applyNumberFormat="1" applyFont="1" applyBorder="1" applyAlignment="1" applyProtection="1">
      <alignment horizontal="left" vertical="center"/>
    </xf>
    <xf numFmtId="0" fontId="17" fillId="0" borderId="16" xfId="12" applyFont="1" applyBorder="1" applyAlignment="1" applyProtection="1">
      <alignment vertical="center"/>
    </xf>
    <xf numFmtId="0" fontId="17" fillId="0" borderId="16" xfId="12" applyNumberFormat="1" applyFont="1" applyBorder="1" applyAlignment="1" applyProtection="1">
      <alignment horizontal="left" vertical="center"/>
    </xf>
    <xf numFmtId="0" fontId="17" fillId="0" borderId="16" xfId="0" applyNumberFormat="1" applyFont="1" applyBorder="1" applyAlignment="1">
      <alignment horizontal="left" vertical="center"/>
    </xf>
    <xf numFmtId="0" fontId="19" fillId="0" borderId="16" xfId="12" applyFont="1" applyBorder="1" applyAlignment="1" applyProtection="1">
      <alignment horizontal="left" vertical="center"/>
    </xf>
    <xf numFmtId="0" fontId="16" fillId="0" borderId="16" xfId="12" applyFont="1" applyBorder="1" applyAlignment="1" applyProtection="1">
      <alignment horizontal="left" vertical="center"/>
    </xf>
    <xf numFmtId="0" fontId="19" fillId="0" borderId="10" xfId="12" applyFont="1" applyBorder="1" applyAlignment="1" applyProtection="1">
      <alignment horizontal="left" vertical="center"/>
    </xf>
    <xf numFmtId="0" fontId="18" fillId="0" borderId="0" xfId="12" applyNumberFormat="1" applyFont="1" applyBorder="1" applyAlignment="1" applyProtection="1">
      <alignment horizontal="center" vertical="center"/>
    </xf>
    <xf numFmtId="0" fontId="18" fillId="0" borderId="0" xfId="12" applyFont="1" applyBorder="1" applyAlignment="1" applyProtection="1">
      <alignment vertical="center"/>
    </xf>
    <xf numFmtId="0" fontId="16" fillId="0" borderId="12" xfId="12" applyNumberFormat="1" applyFont="1" applyBorder="1" applyAlignment="1" applyProtection="1">
      <alignment horizontal="left" vertical="center"/>
    </xf>
    <xf numFmtId="0" fontId="16" fillId="0" borderId="12" xfId="12" applyNumberFormat="1" applyFont="1" applyFill="1" applyBorder="1" applyAlignment="1" applyProtection="1">
      <alignment vertical="center"/>
    </xf>
    <xf numFmtId="0" fontId="16" fillId="0" borderId="12" xfId="0" applyNumberFormat="1" applyFont="1" applyFill="1" applyBorder="1" applyAlignment="1" applyProtection="1">
      <alignment vertical="center"/>
    </xf>
    <xf numFmtId="0" fontId="16" fillId="0" borderId="17" xfId="0" applyNumberFormat="1" applyFont="1" applyFill="1" applyBorder="1" applyAlignment="1" applyProtection="1">
      <alignment vertical="center"/>
    </xf>
    <xf numFmtId="0" fontId="16" fillId="0" borderId="12" xfId="12" applyNumberFormat="1" applyFont="1" applyBorder="1" applyAlignment="1" applyProtection="1">
      <alignment vertical="center"/>
    </xf>
    <xf numFmtId="0" fontId="16" fillId="0" borderId="17" xfId="12" applyNumberFormat="1" applyFont="1" applyBorder="1" applyAlignment="1" applyProtection="1">
      <alignment horizontal="left" vertical="center"/>
    </xf>
    <xf numFmtId="0" fontId="16" fillId="0" borderId="16" xfId="12" quotePrefix="1" applyNumberFormat="1" applyFont="1" applyBorder="1" applyAlignment="1" applyProtection="1">
      <alignment horizontal="left" vertical="center"/>
    </xf>
    <xf numFmtId="0" fontId="19" fillId="0" borderId="16" xfId="0" applyNumberFormat="1" applyFont="1" applyBorder="1" applyAlignment="1">
      <alignment vertical="center"/>
    </xf>
    <xf numFmtId="0" fontId="16" fillId="0" borderId="0" xfId="12" applyNumberFormat="1" applyFont="1" applyBorder="1" applyAlignment="1" applyProtection="1">
      <alignment horizontal="left" vertical="center" indent="1"/>
    </xf>
    <xf numFmtId="0" fontId="19" fillId="0" borderId="19" xfId="12" applyNumberFormat="1" applyFont="1" applyBorder="1" applyAlignment="1" applyProtection="1">
      <alignment vertical="center"/>
    </xf>
    <xf numFmtId="0" fontId="16" fillId="0" borderId="20" xfId="12" applyNumberFormat="1" applyFont="1" applyBorder="1" applyAlignment="1" applyProtection="1">
      <alignment vertical="top"/>
    </xf>
    <xf numFmtId="0" fontId="16" fillId="0" borderId="20" xfId="12" quotePrefix="1" applyNumberFormat="1" applyFont="1" applyBorder="1" applyAlignment="1" applyProtection="1">
      <alignment horizontal="left" vertical="center"/>
    </xf>
    <xf numFmtId="0" fontId="19" fillId="0" borderId="11" xfId="12" applyNumberFormat="1" applyFont="1" applyBorder="1" applyAlignment="1" applyProtection="1">
      <alignment vertical="center"/>
    </xf>
    <xf numFmtId="0" fontId="41" fillId="0" borderId="18" xfId="0" applyFont="1" applyBorder="1" applyAlignment="1">
      <alignment horizontal="left" vertical="center" indent="1"/>
    </xf>
    <xf numFmtId="0" fontId="26" fillId="0" borderId="0" xfId="12" applyNumberFormat="1" applyFont="1" applyBorder="1" applyAlignment="1" applyProtection="1">
      <alignment horizontal="center" vertical="center"/>
    </xf>
    <xf numFmtId="0" fontId="21" fillId="0" borderId="0" xfId="12" applyNumberFormat="1" applyFont="1" applyBorder="1" applyAlignment="1" applyProtection="1">
      <alignment horizontal="left" vertical="center" indent="2"/>
    </xf>
    <xf numFmtId="0" fontId="26" fillId="0" borderId="2" xfId="12" applyFont="1" applyBorder="1" applyAlignment="1" applyProtection="1">
      <alignment horizontal="center" vertical="center"/>
      <protection locked="0"/>
    </xf>
    <xf numFmtId="0" fontId="26" fillId="0" borderId="2" xfId="12" applyNumberFormat="1" applyFont="1" applyBorder="1" applyAlignment="1" applyProtection="1">
      <alignment horizontal="center" vertical="center"/>
      <protection locked="0"/>
    </xf>
    <xf numFmtId="0" fontId="36" fillId="0" borderId="0" xfId="12" applyFont="1" applyBorder="1" applyAlignment="1" applyProtection="1">
      <alignment horizontal="left" vertical="center"/>
    </xf>
    <xf numFmtId="0" fontId="18" fillId="0" borderId="2" xfId="12" applyFont="1" applyBorder="1" applyAlignment="1" applyProtection="1">
      <alignment horizontal="center" vertical="center"/>
      <protection locked="0"/>
    </xf>
    <xf numFmtId="0" fontId="16" fillId="0" borderId="12" xfId="0" applyNumberFormat="1" applyFont="1" applyBorder="1" applyAlignment="1" applyProtection="1">
      <alignment horizontal="left" vertical="center"/>
    </xf>
    <xf numFmtId="0" fontId="18" fillId="0" borderId="16" xfId="0" applyFont="1" applyBorder="1" applyAlignment="1" applyProtection="1">
      <alignment horizontal="left" vertical="center"/>
    </xf>
    <xf numFmtId="49" fontId="18" fillId="0" borderId="16" xfId="0" applyNumberFormat="1" applyFont="1" applyBorder="1" applyAlignment="1" applyProtection="1">
      <alignment horizontal="left" vertical="center" wrapText="1"/>
    </xf>
    <xf numFmtId="49" fontId="18" fillId="0" borderId="10" xfId="0" applyNumberFormat="1" applyFont="1" applyBorder="1" applyAlignment="1" applyProtection="1">
      <alignment horizontal="left" vertical="center" wrapText="1"/>
    </xf>
    <xf numFmtId="0" fontId="18" fillId="0" borderId="12" xfId="12" applyNumberFormat="1" applyFont="1" applyFill="1" applyBorder="1" applyAlignment="1" applyProtection="1">
      <alignment horizontal="left" vertical="center" indent="1"/>
    </xf>
    <xf numFmtId="0" fontId="18" fillId="0" borderId="16" xfId="0" applyFont="1" applyBorder="1" applyAlignment="1" applyProtection="1">
      <alignment horizontal="left" vertical="center" indent="1"/>
    </xf>
    <xf numFmtId="0" fontId="19" fillId="0" borderId="0" xfId="12" applyFont="1" applyBorder="1" applyAlignment="1" applyProtection="1">
      <alignment horizontal="left" vertical="center" indent="1"/>
    </xf>
    <xf numFmtId="0" fontId="28" fillId="0" borderId="0" xfId="12" applyNumberFormat="1" applyFont="1" applyBorder="1" applyAlignment="1" applyProtection="1">
      <alignment horizontal="left" vertical="center" indent="1"/>
    </xf>
    <xf numFmtId="0" fontId="19" fillId="0" borderId="19" xfId="12" applyFont="1" applyBorder="1" applyAlignment="1" applyProtection="1">
      <alignment vertical="center"/>
    </xf>
    <xf numFmtId="0" fontId="18" fillId="0" borderId="0" xfId="0" applyFont="1" applyBorder="1" applyAlignment="1" applyProtection="1">
      <alignment horizontal="left" vertical="center" indent="1"/>
    </xf>
    <xf numFmtId="0" fontId="19" fillId="0" borderId="0" xfId="12" applyFont="1" applyFill="1" applyBorder="1" applyAlignment="1" applyProtection="1">
      <alignment vertical="center"/>
    </xf>
    <xf numFmtId="0" fontId="19" fillId="0" borderId="17" xfId="12" applyFont="1" applyBorder="1" applyAlignment="1" applyProtection="1">
      <alignment vertical="center"/>
    </xf>
    <xf numFmtId="0" fontId="21" fillId="0" borderId="20" xfId="12" applyNumberFormat="1" applyFont="1" applyBorder="1" applyAlignment="1" applyProtection="1">
      <alignment vertical="center"/>
    </xf>
    <xf numFmtId="0" fontId="16" fillId="0" borderId="0" xfId="12" applyNumberFormat="1" applyFont="1" applyBorder="1" applyAlignment="1" applyProtection="1">
      <alignment horizontal="center" vertical="center"/>
    </xf>
    <xf numFmtId="0" fontId="39" fillId="0" borderId="0" xfId="0" applyFont="1" applyBorder="1" applyAlignment="1" applyProtection="1">
      <alignment horizontal="left" vertical="center" indent="1"/>
    </xf>
    <xf numFmtId="0" fontId="19" fillId="0" borderId="12" xfId="12" applyFont="1" applyFill="1" applyBorder="1" applyAlignment="1" applyProtection="1">
      <alignment vertical="center"/>
    </xf>
    <xf numFmtId="0" fontId="19" fillId="0" borderId="16" xfId="12" applyFont="1" applyFill="1" applyBorder="1" applyAlignment="1" applyProtection="1">
      <alignment vertical="center"/>
    </xf>
    <xf numFmtId="0" fontId="19" fillId="0" borderId="10" xfId="12" applyFont="1" applyFill="1" applyBorder="1" applyAlignment="1" applyProtection="1">
      <alignment vertical="center"/>
    </xf>
    <xf numFmtId="0" fontId="19" fillId="0" borderId="18" xfId="0" applyNumberFormat="1" applyFont="1" applyBorder="1" applyAlignment="1" applyProtection="1">
      <alignment horizontal="left" vertical="center"/>
    </xf>
    <xf numFmtId="0" fontId="0" fillId="0" borderId="0" xfId="0" applyBorder="1" applyAlignment="1">
      <alignment horizontal="left" indent="2"/>
    </xf>
    <xf numFmtId="164" fontId="39" fillId="0" borderId="0" xfId="0" applyNumberFormat="1" applyFont="1" applyBorder="1" applyAlignment="1" applyProtection="1">
      <alignment horizontal="center" vertical="center"/>
    </xf>
    <xf numFmtId="0" fontId="19" fillId="0" borderId="16" xfId="0" applyNumberFormat="1" applyFont="1" applyBorder="1" applyAlignment="1">
      <alignment horizontal="left" vertical="center"/>
    </xf>
    <xf numFmtId="0" fontId="29" fillId="0" borderId="0" xfId="0" applyFont="1" applyFill="1"/>
    <xf numFmtId="168" fontId="20" fillId="0" borderId="0" xfId="0" applyNumberFormat="1" applyFont="1"/>
    <xf numFmtId="0" fontId="29" fillId="0" borderId="0" xfId="0" applyFont="1"/>
    <xf numFmtId="0" fontId="40" fillId="0" borderId="0" xfId="2" applyFont="1" applyBorder="1" applyAlignment="1" applyProtection="1"/>
    <xf numFmtId="0" fontId="24" fillId="0" borderId="0" xfId="0" applyFont="1" applyBorder="1" applyProtection="1"/>
    <xf numFmtId="0" fontId="24" fillId="0" borderId="18" xfId="0" applyFont="1" applyBorder="1" applyProtection="1"/>
    <xf numFmtId="0" fontId="46" fillId="0" borderId="0" xfId="0" applyFont="1" applyBorder="1" applyProtection="1"/>
    <xf numFmtId="0" fontId="0" fillId="0" borderId="19" xfId="0" applyBorder="1" applyProtection="1"/>
    <xf numFmtId="0" fontId="0" fillId="0" borderId="20" xfId="0" applyBorder="1" applyProtection="1"/>
    <xf numFmtId="0" fontId="18" fillId="0" borderId="22" xfId="0" applyFont="1" applyBorder="1" applyAlignment="1" applyProtection="1">
      <alignment horizontal="center"/>
      <protection locked="0"/>
    </xf>
    <xf numFmtId="0" fontId="22" fillId="0" borderId="0" xfId="12" applyFont="1" applyBorder="1" applyAlignment="1" applyProtection="1">
      <alignment horizontal="left" vertical="center" indent="1"/>
    </xf>
    <xf numFmtId="1" fontId="15" fillId="0" borderId="0" xfId="0" applyNumberFormat="1" applyFont="1" applyAlignment="1">
      <alignment horizontal="right"/>
    </xf>
    <xf numFmtId="1" fontId="15" fillId="0" borderId="0" xfId="0" applyNumberFormat="1" applyFont="1" applyFill="1" applyAlignment="1">
      <alignment horizontal="right"/>
    </xf>
    <xf numFmtId="0" fontId="19" fillId="0" borderId="0" xfId="0" applyFont="1" applyBorder="1" applyAlignment="1" applyProtection="1">
      <alignment horizontal="left" vertical="center" indent="1"/>
    </xf>
    <xf numFmtId="0" fontId="15" fillId="0" borderId="0" xfId="0" applyFont="1" applyBorder="1" applyAlignment="1" applyProtection="1">
      <alignment horizontal="left" vertical="center" indent="1"/>
    </xf>
    <xf numFmtId="0" fontId="16" fillId="0" borderId="0" xfId="0" applyFont="1" applyAlignment="1">
      <alignment horizontal="left" wrapText="1"/>
    </xf>
    <xf numFmtId="49" fontId="32" fillId="0" borderId="0" xfId="0" applyNumberFormat="1" applyFont="1" applyAlignment="1">
      <alignment horizontal="center" vertical="top"/>
    </xf>
    <xf numFmtId="49" fontId="32" fillId="0" borderId="0" xfId="0" applyNumberFormat="1" applyFont="1" applyAlignment="1">
      <alignment horizontal="right" vertical="top"/>
    </xf>
    <xf numFmtId="0" fontId="16" fillId="0" borderId="0" xfId="0" applyNumberFormat="1" applyFont="1" applyAlignment="1">
      <alignment horizontal="left" wrapText="1"/>
    </xf>
    <xf numFmtId="49" fontId="32" fillId="0" borderId="0" xfId="0" applyNumberFormat="1" applyFont="1" applyAlignment="1">
      <alignment horizontal="right" vertical="center"/>
    </xf>
    <xf numFmtId="0" fontId="55" fillId="0" borderId="0" xfId="0" applyFont="1" applyAlignment="1">
      <alignment horizontal="left" wrapText="1" indent="4"/>
    </xf>
    <xf numFmtId="0" fontId="25" fillId="0" borderId="2" xfId="12" applyNumberFormat="1" applyFont="1" applyBorder="1" applyAlignment="1" applyProtection="1">
      <alignment horizontal="center" vertical="center"/>
      <protection locked="0"/>
    </xf>
    <xf numFmtId="0" fontId="25" fillId="0" borderId="2" xfId="12" applyFont="1" applyBorder="1" applyAlignment="1" applyProtection="1">
      <alignment horizontal="center" vertical="center"/>
      <protection locked="0"/>
    </xf>
    <xf numFmtId="14" fontId="15" fillId="0" borderId="0" xfId="0" applyNumberFormat="1" applyFont="1" applyAlignment="1">
      <alignment horizontal="right"/>
    </xf>
    <xf numFmtId="0" fontId="39" fillId="0" borderId="17" xfId="12" applyNumberFormat="1" applyFont="1" applyFill="1" applyBorder="1" applyAlignment="1" applyProtection="1">
      <alignment horizontal="left" vertical="center" indent="1"/>
    </xf>
    <xf numFmtId="0" fontId="18" fillId="0" borderId="17" xfId="12" applyNumberFormat="1" applyFont="1" applyFill="1" applyBorder="1" applyAlignment="1" applyProtection="1">
      <alignment horizontal="left" vertical="center" indent="1"/>
    </xf>
    <xf numFmtId="0" fontId="21" fillId="0" borderId="17" xfId="12" applyNumberFormat="1" applyFont="1" applyBorder="1" applyAlignment="1" applyProtection="1">
      <alignment vertical="center"/>
    </xf>
    <xf numFmtId="0" fontId="19" fillId="0" borderId="125" xfId="12" applyNumberFormat="1" applyFont="1" applyBorder="1" applyAlignment="1" applyProtection="1">
      <alignment horizontal="right" vertical="center"/>
    </xf>
    <xf numFmtId="0" fontId="16" fillId="0" borderId="125" xfId="12" applyFont="1" applyBorder="1" applyAlignment="1" applyProtection="1">
      <alignment vertical="center"/>
    </xf>
    <xf numFmtId="0" fontId="19" fillId="0" borderId="128" xfId="12" applyFont="1" applyBorder="1" applyAlignment="1" applyProtection="1">
      <alignment vertical="center"/>
    </xf>
    <xf numFmtId="0" fontId="19" fillId="0" borderId="126" xfId="12" applyFont="1" applyBorder="1" applyAlignment="1" applyProtection="1">
      <alignment vertical="center"/>
    </xf>
    <xf numFmtId="1" fontId="15" fillId="0" borderId="0" xfId="0" applyNumberFormat="1" applyFont="1" applyAlignment="1">
      <alignment horizontal="center" vertical="center"/>
    </xf>
    <xf numFmtId="0" fontId="16" fillId="0" borderId="135" xfId="12" applyFont="1" applyBorder="1" applyAlignment="1" applyProtection="1">
      <alignment vertical="center"/>
    </xf>
    <xf numFmtId="0" fontId="16" fillId="0" borderId="12" xfId="12" applyFont="1" applyBorder="1" applyAlignment="1" applyProtection="1">
      <alignment horizontal="left" vertical="center"/>
    </xf>
    <xf numFmtId="0" fontId="59" fillId="0" borderId="47" xfId="0" applyFont="1" applyFill="1" applyBorder="1" applyAlignment="1">
      <alignment horizontal="left" vertical="center"/>
    </xf>
    <xf numFmtId="0" fontId="60" fillId="0" borderId="0" xfId="0" applyFont="1" applyBorder="1"/>
    <xf numFmtId="0" fontId="60" fillId="0" borderId="47" xfId="0" applyFont="1" applyBorder="1" applyAlignment="1">
      <alignment horizontal="centerContinuous" vertical="center"/>
    </xf>
    <xf numFmtId="0" fontId="60" fillId="0" borderId="25" xfId="0" applyFont="1" applyBorder="1"/>
    <xf numFmtId="0" fontId="59" fillId="0" borderId="25" xfId="0" applyFont="1" applyBorder="1" applyAlignment="1">
      <alignment horizontal="left" vertical="center"/>
    </xf>
    <xf numFmtId="0" fontId="59" fillId="0" borderId="25" xfId="0" applyFont="1" applyBorder="1" applyAlignment="1">
      <alignment horizontal="center" vertical="center" wrapText="1"/>
    </xf>
    <xf numFmtId="0" fontId="60" fillId="0" borderId="0" xfId="0" applyFont="1" applyBorder="1" applyAlignment="1">
      <alignment horizontal="left"/>
    </xf>
    <xf numFmtId="0" fontId="59" fillId="0" borderId="0" xfId="0" applyFont="1" applyBorder="1"/>
    <xf numFmtId="49" fontId="60" fillId="0" borderId="0" xfId="0" applyNumberFormat="1" applyFont="1" applyBorder="1" applyAlignment="1">
      <alignment horizontal="left"/>
    </xf>
    <xf numFmtId="49" fontId="61" fillId="0" borderId="0" xfId="2" applyNumberFormat="1" applyFont="1" applyBorder="1" applyAlignment="1" applyProtection="1">
      <alignment horizontal="center"/>
    </xf>
    <xf numFmtId="49" fontId="60" fillId="0" borderId="0" xfId="0" applyNumberFormat="1" applyFont="1" applyBorder="1" applyAlignment="1">
      <alignment horizontal="center"/>
    </xf>
    <xf numFmtId="0" fontId="60" fillId="0" borderId="0" xfId="0" applyFont="1" applyBorder="1" applyAlignment="1">
      <alignment horizontal="left" indent="1"/>
    </xf>
    <xf numFmtId="0" fontId="59" fillId="0" borderId="0" xfId="0" applyFont="1" applyBorder="1" applyAlignment="1">
      <alignment horizontal="left"/>
    </xf>
    <xf numFmtId="0" fontId="60" fillId="0" borderId="0" xfId="0" applyFont="1" applyBorder="1" applyAlignment="1">
      <alignment horizontal="centerContinuous" vertical="center"/>
    </xf>
    <xf numFmtId="0" fontId="60" fillId="0" borderId="0" xfId="0" applyFont="1" applyBorder="1" applyAlignment="1">
      <alignment vertical="center"/>
    </xf>
    <xf numFmtId="0" fontId="63" fillId="0" borderId="0" xfId="2" applyFont="1" applyBorder="1" applyAlignment="1" applyProtection="1">
      <alignment horizontal="left" indent="2"/>
    </xf>
    <xf numFmtId="0" fontId="64" fillId="0" borderId="0" xfId="0" applyFont="1" applyBorder="1"/>
    <xf numFmtId="0" fontId="67" fillId="0" borderId="0" xfId="0" applyFont="1" applyBorder="1"/>
    <xf numFmtId="164" fontId="69" fillId="0" borderId="0" xfId="0" applyNumberFormat="1" applyFont="1" applyBorder="1" applyAlignment="1" applyProtection="1">
      <alignment vertical="center"/>
    </xf>
    <xf numFmtId="0" fontId="62" fillId="0" borderId="0" xfId="0" applyFont="1" applyBorder="1"/>
    <xf numFmtId="0" fontId="62" fillId="0" borderId="0" xfId="0" applyFont="1" applyBorder="1" applyAlignment="1" applyProtection="1">
      <alignment vertical="center"/>
    </xf>
    <xf numFmtId="0" fontId="60" fillId="0" borderId="0" xfId="0" applyFont="1" applyBorder="1" applyAlignment="1" applyProtection="1">
      <alignment horizontal="left" vertical="top"/>
      <protection locked="0"/>
    </xf>
    <xf numFmtId="0" fontId="60" fillId="0" borderId="0" xfId="0" applyFont="1" applyFill="1" applyBorder="1"/>
    <xf numFmtId="0" fontId="67" fillId="0" borderId="0" xfId="0" applyFont="1" applyBorder="1" applyAlignment="1">
      <alignment vertical="center"/>
    </xf>
    <xf numFmtId="49" fontId="60" fillId="0" borderId="0" xfId="0" applyNumberFormat="1" applyFont="1" applyBorder="1" applyAlignment="1">
      <alignment horizontal="center" vertical="center"/>
    </xf>
    <xf numFmtId="49" fontId="60" fillId="0" borderId="0" xfId="0" applyNumberFormat="1" applyFont="1" applyBorder="1" applyAlignment="1">
      <alignment vertical="center"/>
    </xf>
    <xf numFmtId="49" fontId="72" fillId="0" borderId="0" xfId="0" applyNumberFormat="1" applyFont="1" applyBorder="1" applyAlignment="1">
      <alignment horizontal="left" vertical="center"/>
    </xf>
    <xf numFmtId="49" fontId="60" fillId="0" borderId="0" xfId="0" applyNumberFormat="1" applyFont="1" applyBorder="1" applyAlignment="1">
      <alignment horizontal="left" indent="2"/>
    </xf>
    <xf numFmtId="49" fontId="60" fillId="0" borderId="0" xfId="0" applyNumberFormat="1" applyFont="1" applyBorder="1"/>
    <xf numFmtId="49" fontId="60" fillId="0" borderId="0" xfId="0" applyNumberFormat="1" applyFont="1" applyBorder="1" applyAlignment="1">
      <alignment horizontal="left" indent="1"/>
    </xf>
    <xf numFmtId="49" fontId="63" fillId="0" borderId="0" xfId="2" applyNumberFormat="1" applyFont="1" applyBorder="1" applyAlignment="1" applyProtection="1">
      <alignment horizontal="left" indent="1"/>
    </xf>
    <xf numFmtId="49" fontId="60" fillId="0" borderId="0" xfId="0" applyNumberFormat="1" applyFont="1" applyFill="1" applyBorder="1" applyAlignment="1">
      <alignment horizontal="left" indent="1"/>
    </xf>
    <xf numFmtId="49" fontId="60" fillId="0" borderId="0" xfId="0" applyNumberFormat="1" applyFont="1" applyFill="1" applyBorder="1" applyAlignment="1">
      <alignment horizontal="left" indent="2"/>
    </xf>
    <xf numFmtId="49" fontId="60" fillId="0" borderId="0" xfId="0" applyNumberFormat="1" applyFont="1" applyFill="1" applyBorder="1" applyAlignment="1">
      <alignment horizontal="left" indent="3"/>
    </xf>
    <xf numFmtId="49" fontId="66" fillId="0" borderId="0" xfId="0" applyNumberFormat="1" applyFont="1" applyBorder="1" applyAlignment="1">
      <alignment horizontal="left" indent="2"/>
    </xf>
    <xf numFmtId="49" fontId="68" fillId="0" borderId="0" xfId="0" applyNumberFormat="1" applyFont="1" applyBorder="1" applyAlignment="1">
      <alignment horizontal="left" indent="5"/>
    </xf>
    <xf numFmtId="49" fontId="68" fillId="0" borderId="0" xfId="0" applyNumberFormat="1" applyFont="1" applyBorder="1" applyAlignment="1">
      <alignment horizontal="left" indent="3"/>
    </xf>
    <xf numFmtId="49" fontId="65" fillId="0" borderId="0" xfId="0" applyNumberFormat="1" applyFont="1" applyBorder="1" applyAlignment="1">
      <alignment horizontal="left"/>
    </xf>
    <xf numFmtId="49" fontId="63" fillId="0" borderId="0" xfId="2" applyNumberFormat="1" applyFont="1" applyBorder="1" applyAlignment="1" applyProtection="1">
      <alignment horizontal="left" indent="3"/>
    </xf>
    <xf numFmtId="49" fontId="60" fillId="0" borderId="0" xfId="0" applyNumberFormat="1" applyFont="1" applyFill="1" applyBorder="1"/>
    <xf numFmtId="49" fontId="63" fillId="0" borderId="0" xfId="2" applyNumberFormat="1" applyFont="1" applyBorder="1" applyAlignment="1" applyProtection="1">
      <alignment horizontal="left" indent="2"/>
    </xf>
    <xf numFmtId="0" fontId="62" fillId="0" borderId="0" xfId="0" applyFont="1" applyBorder="1" applyProtection="1"/>
    <xf numFmtId="0" fontId="62" fillId="0" borderId="0" xfId="0" applyFont="1" applyBorder="1" applyAlignment="1" applyProtection="1">
      <alignment horizontal="left"/>
    </xf>
    <xf numFmtId="164" fontId="67" fillId="0" borderId="0" xfId="0" applyNumberFormat="1" applyFont="1" applyBorder="1" applyAlignment="1" applyProtection="1">
      <alignment horizontal="left"/>
    </xf>
    <xf numFmtId="0" fontId="62" fillId="0" borderId="0" xfId="0" applyFont="1" applyBorder="1" applyAlignment="1" applyProtection="1">
      <alignment horizontal="center" vertical="top" textRotation="180"/>
    </xf>
    <xf numFmtId="0" fontId="62" fillId="0" borderId="0" xfId="0" applyFont="1" applyBorder="1" applyAlignment="1" applyProtection="1"/>
    <xf numFmtId="0" fontId="76" fillId="0" borderId="0" xfId="0" applyFont="1" applyBorder="1" applyAlignment="1" applyProtection="1">
      <alignment horizontal="centerContinuous" vertical="center"/>
    </xf>
    <xf numFmtId="164" fontId="69" fillId="0" borderId="0" xfId="0" applyNumberFormat="1" applyFont="1" applyBorder="1" applyAlignment="1" applyProtection="1">
      <alignment horizontal="left" vertical="center"/>
    </xf>
    <xf numFmtId="0" fontId="60" fillId="0" borderId="0" xfId="0" applyFont="1" applyBorder="1" applyAlignment="1" applyProtection="1">
      <alignment horizontal="left" vertical="center"/>
    </xf>
    <xf numFmtId="0" fontId="62" fillId="0" borderId="0" xfId="0" applyFont="1" applyBorder="1" applyAlignment="1"/>
    <xf numFmtId="0" fontId="76" fillId="0" borderId="0" xfId="0" applyFont="1" applyBorder="1" applyAlignment="1" applyProtection="1">
      <alignment horizontal="center" vertical="center"/>
    </xf>
    <xf numFmtId="0" fontId="67" fillId="0" borderId="0" xfId="0" applyFont="1" applyBorder="1" applyAlignment="1">
      <alignment horizontal="left" vertical="top"/>
    </xf>
    <xf numFmtId="164" fontId="67" fillId="0" borderId="0" xfId="0" applyNumberFormat="1" applyFont="1" applyBorder="1" applyAlignment="1">
      <alignment horizontal="left" vertical="top"/>
    </xf>
    <xf numFmtId="0" fontId="71" fillId="0" borderId="0" xfId="0" applyFont="1" applyBorder="1" applyAlignment="1" applyProtection="1">
      <alignment horizontal="left" vertical="center"/>
    </xf>
    <xf numFmtId="0" fontId="77" fillId="0" borderId="0" xfId="0" applyFont="1" applyBorder="1" applyAlignment="1">
      <alignment horizontal="left" vertical="top"/>
    </xf>
    <xf numFmtId="0" fontId="60" fillId="0" borderId="0" xfId="0" applyFont="1" applyBorder="1" applyProtection="1"/>
    <xf numFmtId="0" fontId="60" fillId="0" borderId="0" xfId="0" applyFont="1" applyBorder="1" applyAlignment="1" applyProtection="1">
      <alignment horizontal="left"/>
    </xf>
    <xf numFmtId="0" fontId="67" fillId="0" borderId="0" xfId="0" applyFont="1" applyBorder="1" applyProtection="1"/>
    <xf numFmtId="0" fontId="59" fillId="0" borderId="0" xfId="0" applyFont="1" applyBorder="1" applyAlignment="1" applyProtection="1">
      <alignment horizontal="center" vertical="center"/>
    </xf>
    <xf numFmtId="164" fontId="59" fillId="0" borderId="2" xfId="0" applyNumberFormat="1" applyFont="1" applyBorder="1" applyAlignment="1" applyProtection="1">
      <alignment horizontal="center" vertical="center"/>
      <protection locked="0"/>
    </xf>
    <xf numFmtId="0" fontId="67" fillId="0" borderId="0" xfId="0" applyFont="1" applyBorder="1" applyAlignment="1">
      <alignment horizontal="left" vertical="center"/>
    </xf>
    <xf numFmtId="0" fontId="60" fillId="0" borderId="0" xfId="0" applyFont="1" applyBorder="1" applyAlignment="1" applyProtection="1">
      <alignment vertical="center"/>
    </xf>
    <xf numFmtId="164" fontId="69" fillId="0" borderId="0" xfId="0" applyNumberFormat="1" applyFont="1" applyBorder="1" applyAlignment="1" applyProtection="1">
      <alignment horizontal="right" vertical="center"/>
    </xf>
    <xf numFmtId="164" fontId="67" fillId="0" borderId="0" xfId="0" applyNumberFormat="1" applyFont="1" applyBorder="1" applyAlignment="1" applyProtection="1">
      <alignment vertical="center"/>
    </xf>
    <xf numFmtId="0" fontId="67" fillId="0" borderId="0" xfId="0" applyFont="1" applyBorder="1" applyAlignment="1" applyProtection="1">
      <alignment horizontal="left" vertical="center" indent="1"/>
    </xf>
    <xf numFmtId="0" fontId="59" fillId="0" borderId="2" xfId="0" applyFont="1" applyBorder="1" applyAlignment="1" applyProtection="1">
      <alignment horizontal="center" vertical="center"/>
      <protection locked="0"/>
    </xf>
    <xf numFmtId="164" fontId="69" fillId="0" borderId="0" xfId="0" applyNumberFormat="1" applyFont="1" applyBorder="1" applyAlignment="1" applyProtection="1">
      <alignment horizontal="right" vertical="center" wrapText="1"/>
    </xf>
    <xf numFmtId="164" fontId="67" fillId="0" borderId="0" xfId="0" applyNumberFormat="1" applyFont="1" applyBorder="1" applyAlignment="1">
      <alignment horizontal="left" vertical="center"/>
    </xf>
    <xf numFmtId="0" fontId="59" fillId="0" borderId="0" xfId="0" applyFont="1" applyBorder="1" applyAlignment="1" applyProtection="1">
      <alignment horizontal="left" vertical="center"/>
    </xf>
    <xf numFmtId="164" fontId="78" fillId="0" borderId="0" xfId="0" applyNumberFormat="1" applyFont="1" applyBorder="1" applyAlignment="1" applyProtection="1">
      <alignment horizontal="left" vertical="center" indent="1"/>
    </xf>
    <xf numFmtId="0" fontId="67" fillId="0" borderId="0" xfId="0" applyFont="1" applyAlignment="1">
      <alignment horizontal="left" vertical="center"/>
    </xf>
    <xf numFmtId="0" fontId="67" fillId="0" borderId="0" xfId="0" applyFont="1" applyAlignment="1">
      <alignment horizontal="left" vertical="center" indent="1"/>
    </xf>
    <xf numFmtId="0" fontId="78" fillId="0" borderId="0" xfId="0" applyFont="1" applyAlignment="1">
      <alignment horizontal="left" vertical="center" indent="1"/>
    </xf>
    <xf numFmtId="0" fontId="59" fillId="0" borderId="21" xfId="0" applyFont="1" applyBorder="1" applyAlignment="1" applyProtection="1">
      <alignment horizontal="center" vertical="center"/>
      <protection locked="0"/>
    </xf>
    <xf numFmtId="0" fontId="67" fillId="0" borderId="0" xfId="0" applyFont="1" applyBorder="1" applyAlignment="1">
      <alignment horizontal="left" vertical="center" indent="1"/>
    </xf>
    <xf numFmtId="0" fontId="59" fillId="0" borderId="0" xfId="0" applyFont="1" applyBorder="1" applyAlignment="1" applyProtection="1">
      <alignment horizontal="center" vertical="center"/>
      <protection locked="0"/>
    </xf>
    <xf numFmtId="0" fontId="67" fillId="0" borderId="0" xfId="0" applyFont="1" applyBorder="1" applyAlignment="1" applyProtection="1">
      <alignment vertical="center"/>
    </xf>
    <xf numFmtId="0" fontId="78" fillId="0" borderId="0" xfId="0" applyFont="1" applyAlignment="1">
      <alignment horizontal="left" vertical="center"/>
    </xf>
    <xf numFmtId="0" fontId="67" fillId="0" borderId="0" xfId="0" applyFont="1" applyBorder="1" applyAlignment="1" applyProtection="1">
      <alignment horizontal="left" vertical="top"/>
    </xf>
    <xf numFmtId="0" fontId="67" fillId="0" borderId="0" xfId="0" applyFont="1" applyBorder="1" applyAlignment="1" applyProtection="1">
      <alignment horizontal="left" vertical="top" indent="1"/>
    </xf>
    <xf numFmtId="0" fontId="78" fillId="0" borderId="0" xfId="0" applyFont="1" applyBorder="1" applyAlignment="1" applyProtection="1">
      <alignment horizontal="left" vertical="top" indent="1"/>
    </xf>
    <xf numFmtId="0" fontId="67" fillId="0" borderId="0" xfId="0" applyFont="1" applyAlignment="1">
      <alignment vertical="top"/>
    </xf>
    <xf numFmtId="0" fontId="67" fillId="0" borderId="0" xfId="0" applyFont="1" applyBorder="1" applyAlignment="1" applyProtection="1">
      <alignment vertical="top"/>
    </xf>
    <xf numFmtId="0" fontId="70" fillId="0" borderId="2" xfId="0" applyFont="1" applyBorder="1" applyAlignment="1" applyProtection="1">
      <alignment horizontal="center"/>
      <protection locked="0"/>
    </xf>
    <xf numFmtId="164" fontId="69" fillId="0" borderId="0" xfId="0" applyNumberFormat="1" applyFont="1" applyBorder="1" applyAlignment="1" applyProtection="1">
      <alignment horizontal="right"/>
    </xf>
    <xf numFmtId="0" fontId="62" fillId="0" borderId="21" xfId="0" applyFont="1" applyBorder="1" applyAlignment="1" applyProtection="1">
      <alignment horizontal="left"/>
    </xf>
    <xf numFmtId="0" fontId="67" fillId="0" borderId="0" xfId="0" applyFont="1" applyBorder="1" applyAlignment="1" applyProtection="1">
      <alignment horizontal="left" vertical="center"/>
    </xf>
    <xf numFmtId="0" fontId="62" fillId="0" borderId="0" xfId="0" applyFont="1" applyBorder="1" applyAlignment="1" applyProtection="1">
      <alignment horizontal="left" vertical="center"/>
    </xf>
    <xf numFmtId="14" fontId="60" fillId="0" borderId="0" xfId="0" applyNumberFormat="1" applyFont="1" applyBorder="1" applyAlignment="1" applyProtection="1">
      <alignment horizontal="center" vertical="center"/>
    </xf>
    <xf numFmtId="14" fontId="70" fillId="0" borderId="78" xfId="0" applyNumberFormat="1" applyFont="1" applyBorder="1" applyAlignment="1" applyProtection="1">
      <alignment horizontal="center" vertical="center"/>
      <protection locked="0"/>
    </xf>
    <xf numFmtId="0" fontId="80" fillId="0" borderId="0" xfId="0" applyFont="1" applyAlignment="1">
      <alignment horizontal="left" vertical="center"/>
    </xf>
    <xf numFmtId="0" fontId="62" fillId="0" borderId="0" xfId="0" applyFont="1" applyAlignment="1">
      <alignment horizontal="left" vertical="center"/>
    </xf>
    <xf numFmtId="0" fontId="71" fillId="0" borderId="0" xfId="0" applyFont="1" applyBorder="1" applyAlignment="1" applyProtection="1">
      <alignment horizontal="left" vertical="center" wrapText="1"/>
    </xf>
    <xf numFmtId="0" fontId="59" fillId="0" borderId="0" xfId="0" applyFont="1" applyBorder="1" applyAlignment="1" applyProtection="1">
      <alignment horizontal="center" vertical="center" wrapText="1"/>
    </xf>
    <xf numFmtId="0" fontId="60" fillId="0" borderId="0" xfId="0" applyFont="1" applyBorder="1" applyAlignment="1" applyProtection="1">
      <alignment horizontal="left" vertical="top"/>
    </xf>
    <xf numFmtId="0" fontId="62" fillId="0" borderId="0" xfId="0" applyFont="1" applyBorder="1" applyAlignment="1">
      <alignment horizontal="left" vertical="top"/>
    </xf>
    <xf numFmtId="0" fontId="62" fillId="0" borderId="0" xfId="0" applyFont="1" applyBorder="1" applyAlignment="1">
      <alignment horizontal="center" vertical="top"/>
    </xf>
    <xf numFmtId="0" fontId="67" fillId="0" borderId="0" xfId="0" applyFont="1" applyAlignment="1">
      <alignment horizontal="left"/>
    </xf>
    <xf numFmtId="0" fontId="67" fillId="0" borderId="0" xfId="0" applyFont="1"/>
    <xf numFmtId="0" fontId="62" fillId="0" borderId="0" xfId="0" applyFont="1" applyBorder="1" applyAlignment="1" applyProtection="1">
      <alignment horizontal="right" vertical="center"/>
    </xf>
    <xf numFmtId="14" fontId="62" fillId="0" borderId="100" xfId="0" applyNumberFormat="1" applyFont="1" applyBorder="1" applyAlignment="1" applyProtection="1">
      <alignment vertical="center"/>
      <protection locked="0"/>
    </xf>
    <xf numFmtId="164" fontId="59" fillId="0" borderId="0" xfId="0" applyNumberFormat="1" applyFont="1" applyBorder="1" applyAlignment="1" applyProtection="1">
      <alignment horizontal="center" vertical="center"/>
    </xf>
    <xf numFmtId="0" fontId="81" fillId="9" borderId="101" xfId="0" applyFont="1" applyFill="1" applyBorder="1" applyAlignment="1">
      <alignment horizontal="center" vertical="center"/>
    </xf>
    <xf numFmtId="0" fontId="81" fillId="9" borderId="102" xfId="0" applyFont="1" applyFill="1" applyBorder="1" applyAlignment="1">
      <alignment horizontal="center" vertical="center"/>
    </xf>
    <xf numFmtId="0" fontId="59" fillId="17" borderId="121" xfId="0" applyFont="1" applyFill="1" applyBorder="1" applyAlignment="1" applyProtection="1">
      <alignment horizontal="left" vertical="center"/>
    </xf>
    <xf numFmtId="164" fontId="59" fillId="17" borderId="121" xfId="0" applyNumberFormat="1" applyFont="1" applyFill="1" applyBorder="1" applyAlignment="1" applyProtection="1">
      <alignment horizontal="center" vertical="center"/>
    </xf>
    <xf numFmtId="164" fontId="69" fillId="17" borderId="121" xfId="0" applyNumberFormat="1" applyFont="1" applyFill="1" applyBorder="1" applyAlignment="1" applyProtection="1">
      <alignment vertical="center"/>
    </xf>
    <xf numFmtId="0" fontId="82" fillId="10" borderId="122" xfId="0" applyFont="1" applyFill="1" applyBorder="1" applyAlignment="1">
      <alignment horizontal="left" vertical="center"/>
    </xf>
    <xf numFmtId="38" fontId="54" fillId="10" borderId="103" xfId="0" applyNumberFormat="1" applyFont="1" applyFill="1" applyBorder="1" applyAlignment="1">
      <alignment horizontal="right"/>
    </xf>
    <xf numFmtId="38" fontId="54" fillId="10" borderId="110" xfId="0" applyNumberFormat="1" applyFont="1" applyFill="1" applyBorder="1" applyAlignment="1">
      <alignment horizontal="right"/>
    </xf>
    <xf numFmtId="0" fontId="83" fillId="11" borderId="103" xfId="0" applyFont="1" applyFill="1" applyBorder="1" applyAlignment="1">
      <alignment vertical="center"/>
    </xf>
    <xf numFmtId="164" fontId="59" fillId="13" borderId="117" xfId="0" applyNumberFormat="1" applyFont="1" applyFill="1" applyBorder="1" applyAlignment="1" applyProtection="1">
      <alignment horizontal="center" vertical="center"/>
    </xf>
    <xf numFmtId="164" fontId="69" fillId="13" borderId="110" xfId="0" applyNumberFormat="1" applyFont="1" applyFill="1" applyBorder="1" applyAlignment="1" applyProtection="1">
      <alignment vertical="center"/>
    </xf>
    <xf numFmtId="0" fontId="62" fillId="13" borderId="103" xfId="0" applyFont="1" applyFill="1" applyBorder="1" applyAlignment="1" applyProtection="1">
      <alignment vertical="center"/>
    </xf>
    <xf numFmtId="38" fontId="54" fillId="11" borderId="120" xfId="0" applyNumberFormat="1" applyFont="1" applyFill="1" applyBorder="1" applyAlignment="1" applyProtection="1">
      <alignment horizontal="right"/>
      <protection locked="0"/>
    </xf>
    <xf numFmtId="38" fontId="54" fillId="11" borderId="103" xfId="0" applyNumberFormat="1" applyFont="1" applyFill="1" applyBorder="1" applyAlignment="1" applyProtection="1">
      <alignment horizontal="right"/>
      <protection locked="0"/>
    </xf>
    <xf numFmtId="38" fontId="54" fillId="11" borderId="110" xfId="0" applyNumberFormat="1" applyFont="1" applyFill="1" applyBorder="1" applyAlignment="1" applyProtection="1">
      <alignment horizontal="right"/>
      <protection locked="0"/>
    </xf>
    <xf numFmtId="0" fontId="59" fillId="17" borderId="110" xfId="0" applyFont="1" applyFill="1" applyBorder="1" applyAlignment="1" applyProtection="1">
      <alignment horizontal="center" vertical="center"/>
    </xf>
    <xf numFmtId="164" fontId="59" fillId="17" borderId="110" xfId="0" applyNumberFormat="1" applyFont="1" applyFill="1" applyBorder="1" applyAlignment="1" applyProtection="1">
      <alignment horizontal="center" vertical="center"/>
    </xf>
    <xf numFmtId="164" fontId="69" fillId="17" borderId="110" xfId="0" applyNumberFormat="1" applyFont="1" applyFill="1" applyBorder="1" applyAlignment="1" applyProtection="1">
      <alignment vertical="center"/>
    </xf>
    <xf numFmtId="0" fontId="82" fillId="10" borderId="103" xfId="0" applyFont="1" applyFill="1" applyBorder="1" applyAlignment="1">
      <alignment horizontal="left" vertical="center"/>
    </xf>
    <xf numFmtId="0" fontId="59" fillId="17" borderId="0" xfId="0" applyFont="1" applyFill="1" applyBorder="1" applyAlignment="1" applyProtection="1">
      <alignment horizontal="left" vertical="center"/>
    </xf>
    <xf numFmtId="164" fontId="59" fillId="17" borderId="0" xfId="0" applyNumberFormat="1" applyFont="1" applyFill="1" applyBorder="1" applyAlignment="1" applyProtection="1">
      <alignment horizontal="center" vertical="center"/>
    </xf>
    <xf numFmtId="164" fontId="69" fillId="17" borderId="0" xfId="0" applyNumberFormat="1" applyFont="1" applyFill="1" applyBorder="1" applyAlignment="1" applyProtection="1">
      <alignment vertical="center"/>
    </xf>
    <xf numFmtId="0" fontId="67" fillId="13" borderId="117" xfId="0" applyFont="1" applyFill="1" applyBorder="1" applyAlignment="1" applyProtection="1">
      <alignment horizontal="left" vertical="center"/>
    </xf>
    <xf numFmtId="164" fontId="59" fillId="13" borderId="110" xfId="0" applyNumberFormat="1" applyFont="1" applyFill="1" applyBorder="1" applyAlignment="1" applyProtection="1">
      <alignment horizontal="center" vertical="center"/>
    </xf>
    <xf numFmtId="164" fontId="67" fillId="13" borderId="110" xfId="0" applyNumberFormat="1" applyFont="1" applyFill="1" applyBorder="1" applyAlignment="1" applyProtection="1">
      <alignment vertical="center"/>
    </xf>
    <xf numFmtId="0" fontId="83" fillId="11" borderId="103" xfId="0" applyFont="1" applyFill="1" applyBorder="1" applyAlignment="1">
      <alignment horizontal="left" vertical="center"/>
    </xf>
    <xf numFmtId="0" fontId="59" fillId="13" borderId="118" xfId="0" applyFont="1" applyFill="1" applyBorder="1" applyAlignment="1" applyProtection="1">
      <alignment horizontal="center" vertical="center"/>
    </xf>
    <xf numFmtId="164" fontId="59" fillId="13" borderId="119" xfId="0" applyNumberFormat="1" applyFont="1" applyFill="1" applyBorder="1" applyAlignment="1" applyProtection="1">
      <alignment horizontal="center" vertical="center"/>
    </xf>
    <xf numFmtId="164" fontId="69" fillId="13" borderId="119" xfId="0" applyNumberFormat="1" applyFont="1" applyFill="1" applyBorder="1" applyAlignment="1" applyProtection="1">
      <alignment vertical="center"/>
    </xf>
    <xf numFmtId="38" fontId="54" fillId="11" borderId="110" xfId="0" applyNumberFormat="1" applyFont="1" applyFill="1" applyBorder="1" applyAlignment="1">
      <alignment horizontal="right"/>
    </xf>
    <xf numFmtId="0" fontId="82" fillId="10" borderId="104" xfId="0" applyFont="1" applyFill="1" applyBorder="1" applyAlignment="1">
      <alignment horizontal="left" vertical="center"/>
    </xf>
    <xf numFmtId="38" fontId="54" fillId="10" borderId="104" xfId="0" applyNumberFormat="1" applyFont="1" applyFill="1" applyBorder="1" applyAlignment="1">
      <alignment horizontal="right"/>
    </xf>
    <xf numFmtId="38" fontId="54" fillId="10" borderId="0" xfId="0" applyNumberFormat="1" applyFont="1" applyFill="1" applyBorder="1" applyAlignment="1" applyProtection="1">
      <alignment horizontal="right"/>
      <protection locked="0"/>
    </xf>
    <xf numFmtId="1" fontId="60" fillId="0" borderId="0" xfId="0" applyNumberFormat="1" applyFont="1" applyBorder="1" applyAlignment="1" applyProtection="1">
      <alignment horizontal="center" vertical="center"/>
    </xf>
    <xf numFmtId="0" fontId="62" fillId="0" borderId="0" xfId="0" applyFont="1" applyBorder="1" applyAlignment="1" applyProtection="1">
      <alignment horizontal="center" vertical="center"/>
    </xf>
    <xf numFmtId="164" fontId="60" fillId="0" borderId="0" xfId="0" applyNumberFormat="1" applyFont="1" applyBorder="1" applyAlignment="1" applyProtection="1">
      <alignment horizontal="left" vertical="center" indent="1"/>
    </xf>
    <xf numFmtId="0" fontId="71" fillId="0" borderId="0" xfId="3" applyFont="1" applyBorder="1" applyAlignment="1" applyProtection="1">
      <alignment horizontal="left" vertical="center"/>
    </xf>
    <xf numFmtId="0" fontId="80" fillId="0" borderId="0" xfId="3" applyFont="1" applyAlignment="1">
      <alignment horizontal="left" vertical="center"/>
    </xf>
    <xf numFmtId="0" fontId="69" fillId="0" borderId="0" xfId="3" applyFont="1" applyBorder="1" applyAlignment="1" applyProtection="1">
      <alignment horizontal="left" vertical="center"/>
    </xf>
    <xf numFmtId="0" fontId="62" fillId="0" borderId="0" xfId="3" applyFont="1" applyBorder="1" applyAlignment="1" applyProtection="1">
      <alignment horizontal="right" vertical="center"/>
    </xf>
    <xf numFmtId="1" fontId="60" fillId="0" borderId="0" xfId="3" applyNumberFormat="1" applyFont="1" applyBorder="1" applyAlignment="1" applyProtection="1">
      <alignment horizontal="center" vertical="center"/>
    </xf>
    <xf numFmtId="0" fontId="62" fillId="0" borderId="0" xfId="3" applyFont="1" applyBorder="1" applyAlignment="1" applyProtection="1">
      <alignment vertical="center"/>
    </xf>
    <xf numFmtId="0" fontId="62" fillId="0" borderId="0" xfId="3" applyFont="1" applyBorder="1" applyAlignment="1" applyProtection="1">
      <alignment horizontal="center" vertical="center"/>
    </xf>
    <xf numFmtId="0" fontId="62" fillId="0" borderId="0" xfId="3" applyNumberFormat="1" applyFont="1" applyBorder="1" applyAlignment="1" applyProtection="1">
      <alignment vertical="center"/>
    </xf>
    <xf numFmtId="0" fontId="67" fillId="0" borderId="0" xfId="3" applyFont="1" applyBorder="1" applyAlignment="1">
      <alignment horizontal="left" indent="1"/>
    </xf>
    <xf numFmtId="0" fontId="60" fillId="0" borderId="0" xfId="3" applyFont="1" applyBorder="1"/>
    <xf numFmtId="164" fontId="69" fillId="0" borderId="0" xfId="3" applyNumberFormat="1" applyFont="1" applyBorder="1" applyAlignment="1" applyProtection="1">
      <alignment vertical="center"/>
    </xf>
    <xf numFmtId="0" fontId="62" fillId="0" borderId="0" xfId="3" applyFont="1" applyBorder="1"/>
    <xf numFmtId="0" fontId="60" fillId="0" borderId="0" xfId="3" applyFont="1" applyBorder="1" applyAlignment="1" applyProtection="1">
      <alignment horizontal="left" vertical="top"/>
    </xf>
    <xf numFmtId="0" fontId="67" fillId="0" borderId="0" xfId="3" applyFont="1" applyBorder="1"/>
    <xf numFmtId="0" fontId="59" fillId="0" borderId="0" xfId="3" applyFont="1" applyBorder="1" applyAlignment="1" applyProtection="1">
      <alignment horizontal="center" vertical="center"/>
    </xf>
    <xf numFmtId="164" fontId="69" fillId="0" borderId="0" xfId="3" applyNumberFormat="1" applyFont="1" applyBorder="1" applyAlignment="1" applyProtection="1">
      <alignment horizontal="right" vertical="center"/>
    </xf>
    <xf numFmtId="0" fontId="84" fillId="0" borderId="0" xfId="3" applyFont="1" applyBorder="1"/>
    <xf numFmtId="0" fontId="62" fillId="0" borderId="0" xfId="3" applyFont="1"/>
    <xf numFmtId="0" fontId="62" fillId="0" borderId="0" xfId="3" applyFont="1" applyProtection="1"/>
    <xf numFmtId="0" fontId="78" fillId="0" borderId="0" xfId="3" applyFont="1" applyBorder="1"/>
    <xf numFmtId="0" fontId="78" fillId="0" borderId="0" xfId="3" applyFont="1" applyBorder="1" applyAlignment="1">
      <alignment horizontal="center" vertical="top"/>
    </xf>
    <xf numFmtId="171" fontId="62" fillId="0" borderId="0" xfId="3" applyNumberFormat="1" applyFont="1" applyBorder="1" applyAlignment="1" applyProtection="1">
      <alignment horizontal="center" vertical="center"/>
    </xf>
    <xf numFmtId="0" fontId="78" fillId="0" borderId="0" xfId="3" applyFont="1" applyBorder="1" applyAlignment="1">
      <alignment horizontal="center"/>
    </xf>
    <xf numFmtId="0" fontId="62" fillId="0" borderId="0" xfId="3" applyFont="1" applyBorder="1" applyProtection="1"/>
    <xf numFmtId="0" fontId="62" fillId="0" borderId="0" xfId="3" applyFont="1" applyProtection="1">
      <protection locked="0"/>
    </xf>
    <xf numFmtId="0" fontId="62" fillId="0" borderId="0" xfId="3" applyFont="1" applyBorder="1" applyProtection="1">
      <protection locked="0"/>
    </xf>
    <xf numFmtId="0" fontId="62" fillId="0" borderId="0" xfId="3" applyFont="1" applyBorder="1" applyAlignment="1">
      <alignment horizontal="center" vertical="center"/>
    </xf>
    <xf numFmtId="164" fontId="67" fillId="0" borderId="0" xfId="3" applyNumberFormat="1" applyFont="1" applyBorder="1"/>
    <xf numFmtId="0" fontId="78" fillId="0" borderId="15" xfId="3" applyFont="1" applyBorder="1" applyAlignment="1">
      <alignment horizontal="center"/>
    </xf>
    <xf numFmtId="0" fontId="60" fillId="0" borderId="0" xfId="3" applyFont="1" applyBorder="1" applyProtection="1"/>
    <xf numFmtId="0" fontId="62" fillId="0" borderId="0" xfId="0" applyFont="1"/>
    <xf numFmtId="0" fontId="78" fillId="0" borderId="0" xfId="0" applyFont="1" applyBorder="1"/>
    <xf numFmtId="0" fontId="78" fillId="0" borderId="0" xfId="0" applyFont="1" applyBorder="1" applyAlignment="1">
      <alignment horizontal="left" vertical="top" wrapText="1"/>
    </xf>
    <xf numFmtId="0" fontId="78" fillId="0" borderId="0" xfId="0" applyFont="1" applyBorder="1" applyAlignment="1">
      <alignment horizontal="center"/>
    </xf>
    <xf numFmtId="0" fontId="78" fillId="0" borderId="0" xfId="0" applyFont="1" applyBorder="1" applyAlignment="1" applyProtection="1">
      <alignment horizontal="center" vertical="top"/>
    </xf>
    <xf numFmtId="0" fontId="62" fillId="0" borderId="0" xfId="0" applyFont="1" applyBorder="1" applyAlignment="1">
      <alignment horizontal="center" vertical="center"/>
    </xf>
    <xf numFmtId="164" fontId="67" fillId="0" borderId="0" xfId="0" applyNumberFormat="1" applyFont="1" applyBorder="1"/>
    <xf numFmtId="0" fontId="59" fillId="0" borderId="0" xfId="0" applyFont="1" applyBorder="1" applyAlignment="1" applyProtection="1">
      <alignment horizontal="center"/>
    </xf>
    <xf numFmtId="0" fontId="78" fillId="0" borderId="0" xfId="0" applyFont="1" applyBorder="1" applyAlignment="1">
      <alignment horizontal="center" vertical="top"/>
    </xf>
    <xf numFmtId="171" fontId="62" fillId="0" borderId="0" xfId="0" applyNumberFormat="1" applyFont="1" applyBorder="1" applyAlignment="1" applyProtection="1">
      <alignment horizontal="center" vertical="center"/>
    </xf>
    <xf numFmtId="164" fontId="67" fillId="0" borderId="0" xfId="0" applyNumberFormat="1" applyFont="1" applyBorder="1" applyProtection="1"/>
    <xf numFmtId="0" fontId="85" fillId="0" borderId="0" xfId="0" applyFont="1" applyBorder="1" applyAlignment="1">
      <alignment horizontal="left" vertical="top" wrapText="1"/>
    </xf>
    <xf numFmtId="166" fontId="62" fillId="0" borderId="0" xfId="0" applyNumberFormat="1" applyFont="1" applyBorder="1" applyAlignment="1" applyProtection="1">
      <alignment horizontal="left" vertical="center"/>
    </xf>
    <xf numFmtId="164" fontId="67" fillId="0" borderId="0" xfId="0" applyNumberFormat="1" applyFont="1" applyBorder="1" applyAlignment="1" applyProtection="1">
      <alignment horizontal="left" vertical="center"/>
    </xf>
    <xf numFmtId="0" fontId="62" fillId="0" borderId="0" xfId="0" applyFont="1" applyAlignment="1">
      <alignment vertical="center"/>
    </xf>
    <xf numFmtId="0" fontId="69" fillId="0" borderId="0" xfId="0" applyFont="1" applyBorder="1" applyAlignment="1" applyProtection="1">
      <alignment vertical="center"/>
    </xf>
    <xf numFmtId="0" fontId="60" fillId="0" borderId="0" xfId="3" applyFont="1" applyBorder="1" applyAlignment="1">
      <alignment horizontal="left" indent="1"/>
    </xf>
    <xf numFmtId="0" fontId="65" fillId="0" borderId="0" xfId="0" applyFont="1" applyBorder="1" applyAlignment="1" applyProtection="1">
      <alignment horizontal="center" vertical="center"/>
    </xf>
    <xf numFmtId="0" fontId="60" fillId="0" borderId="0" xfId="0" applyFont="1" applyAlignment="1" applyProtection="1">
      <alignment vertical="center"/>
    </xf>
    <xf numFmtId="0" fontId="87" fillId="0" borderId="0" xfId="0" applyFont="1" applyBorder="1" applyAlignment="1" applyProtection="1">
      <alignment horizontal="left" vertical="center"/>
    </xf>
    <xf numFmtId="0" fontId="59" fillId="0" borderId="0" xfId="0" applyFont="1" applyBorder="1" applyAlignment="1" applyProtection="1">
      <alignment vertical="center"/>
    </xf>
    <xf numFmtId="0" fontId="88" fillId="0" borderId="0" xfId="0" applyFont="1" applyBorder="1" applyAlignment="1" applyProtection="1">
      <alignment vertical="center"/>
    </xf>
    <xf numFmtId="0" fontId="67" fillId="0" borderId="0" xfId="0" applyFont="1" applyBorder="1" applyAlignment="1" applyProtection="1">
      <alignment horizontal="left" vertical="center" indent="3"/>
    </xf>
    <xf numFmtId="38" fontId="62" fillId="0" borderId="2" xfId="0" applyNumberFormat="1" applyFont="1" applyBorder="1" applyAlignment="1" applyProtection="1">
      <alignment vertical="center"/>
      <protection locked="0"/>
    </xf>
    <xf numFmtId="0" fontId="69" fillId="0" borderId="0" xfId="0" applyFont="1" applyBorder="1" applyAlignment="1" applyProtection="1">
      <alignment horizontal="center" vertical="center"/>
    </xf>
    <xf numFmtId="0" fontId="69" fillId="0" borderId="0" xfId="0" applyFont="1" applyBorder="1" applyAlignment="1" applyProtection="1">
      <alignment horizontal="center" vertical="center" wrapText="1"/>
    </xf>
    <xf numFmtId="176" fontId="62" fillId="0" borderId="2" xfId="0" applyNumberFormat="1" applyFont="1" applyBorder="1" applyAlignment="1" applyProtection="1">
      <alignment vertical="center" wrapText="1"/>
      <protection locked="0"/>
    </xf>
    <xf numFmtId="0" fontId="60" fillId="0" borderId="0" xfId="0" applyFont="1" applyBorder="1" applyAlignment="1" applyProtection="1">
      <alignment horizontal="center" vertical="center"/>
    </xf>
    <xf numFmtId="0" fontId="90" fillId="0" borderId="0" xfId="0" applyFont="1" applyBorder="1" applyAlignment="1" applyProtection="1">
      <alignment horizontal="center" vertical="center" wrapText="1"/>
    </xf>
    <xf numFmtId="0" fontId="89" fillId="0" borderId="0" xfId="0" applyNumberFormat="1" applyFont="1" applyBorder="1" applyAlignment="1" applyProtection="1">
      <alignment horizontal="left" vertical="center" wrapText="1"/>
    </xf>
    <xf numFmtId="0" fontId="60" fillId="0" borderId="0" xfId="0" applyFont="1" applyAlignment="1">
      <alignment horizontal="left" vertical="center" wrapText="1"/>
    </xf>
    <xf numFmtId="0" fontId="69" fillId="0" borderId="0" xfId="0" applyFont="1" applyBorder="1" applyAlignment="1" applyProtection="1">
      <alignment horizontal="center"/>
    </xf>
    <xf numFmtId="0" fontId="60" fillId="0" borderId="0" xfId="0" applyFont="1" applyBorder="1" applyAlignment="1" applyProtection="1"/>
    <xf numFmtId="0" fontId="69" fillId="0" borderId="0" xfId="0" applyFont="1" applyBorder="1" applyAlignment="1" applyProtection="1">
      <alignment horizontal="center" wrapText="1"/>
    </xf>
    <xf numFmtId="0" fontId="60" fillId="0" borderId="0" xfId="0" applyFont="1" applyBorder="1" applyAlignment="1" applyProtection="1">
      <alignment horizontal="right" vertical="center"/>
    </xf>
    <xf numFmtId="0" fontId="86" fillId="0" borderId="0" xfId="0" applyFont="1" applyBorder="1" applyAlignment="1" applyProtection="1">
      <alignment vertical="center"/>
    </xf>
    <xf numFmtId="0" fontId="78" fillId="0" borderId="0" xfId="0" applyFont="1" applyBorder="1" applyAlignment="1" applyProtection="1">
      <alignment vertical="center"/>
    </xf>
    <xf numFmtId="38" fontId="59" fillId="0" borderId="2" xfId="0" applyNumberFormat="1" applyFont="1" applyBorder="1" applyAlignment="1" applyProtection="1">
      <alignment horizontal="center" vertical="center"/>
      <protection locked="0"/>
    </xf>
    <xf numFmtId="0" fontId="60" fillId="0" borderId="0" xfId="0" applyFont="1" applyAlignment="1" applyProtection="1">
      <alignment horizontal="right" vertical="center"/>
    </xf>
    <xf numFmtId="0" fontId="67" fillId="0" borderId="17" xfId="0" applyFont="1" applyFill="1" applyBorder="1" applyAlignment="1" applyProtection="1">
      <alignment vertical="center"/>
    </xf>
    <xf numFmtId="38" fontId="62" fillId="0" borderId="2" xfId="0" applyNumberFormat="1" applyFont="1" applyBorder="1" applyAlignment="1" applyProtection="1">
      <alignment horizontal="center" vertical="center"/>
      <protection locked="0"/>
    </xf>
    <xf numFmtId="0" fontId="60" fillId="0" borderId="17" xfId="0" applyFont="1" applyBorder="1" applyAlignment="1" applyProtection="1">
      <alignment horizontal="right" vertical="center"/>
    </xf>
    <xf numFmtId="40" fontId="67" fillId="0" borderId="0" xfId="0" applyNumberFormat="1" applyFont="1" applyBorder="1" applyAlignment="1" applyProtection="1">
      <alignment horizontal="center" vertical="center"/>
    </xf>
    <xf numFmtId="0" fontId="92" fillId="0" borderId="0" xfId="0" applyFont="1" applyBorder="1" applyAlignment="1" applyProtection="1">
      <alignment vertical="center"/>
    </xf>
    <xf numFmtId="0" fontId="60" fillId="0" borderId="20" xfId="0" applyFont="1" applyFill="1" applyBorder="1" applyAlignment="1" applyProtection="1">
      <alignment vertical="center"/>
    </xf>
    <xf numFmtId="0" fontId="67" fillId="0" borderId="0" xfId="0" applyFont="1" applyBorder="1" applyAlignment="1" applyProtection="1">
      <alignment horizontal="right" vertical="center"/>
    </xf>
    <xf numFmtId="0" fontId="67" fillId="0" borderId="2" xfId="0" applyFont="1" applyBorder="1" applyAlignment="1" applyProtection="1">
      <alignment vertical="center"/>
    </xf>
    <xf numFmtId="38" fontId="62" fillId="6" borderId="2" xfId="0" applyNumberFormat="1" applyFont="1" applyFill="1" applyBorder="1" applyAlignment="1" applyProtection="1">
      <alignment vertical="center"/>
    </xf>
    <xf numFmtId="0" fontId="60" fillId="3" borderId="2" xfId="0" applyFont="1" applyFill="1" applyBorder="1" applyAlignment="1" applyProtection="1">
      <alignment vertical="center"/>
    </xf>
    <xf numFmtId="0" fontId="70" fillId="0" borderId="2" xfId="0" applyNumberFormat="1" applyFont="1" applyBorder="1" applyAlignment="1" applyProtection="1">
      <alignment horizontal="center" vertical="center"/>
      <protection locked="0"/>
    </xf>
    <xf numFmtId="38" fontId="62" fillId="0" borderId="0" xfId="0" applyNumberFormat="1" applyFont="1" applyBorder="1" applyAlignment="1" applyProtection="1">
      <alignment horizontal="center" vertical="center"/>
    </xf>
    <xf numFmtId="0" fontId="62" fillId="0" borderId="0" xfId="0" applyFont="1" applyBorder="1" applyAlignment="1" applyProtection="1">
      <alignment horizontal="left" vertical="top"/>
    </xf>
    <xf numFmtId="0" fontId="86" fillId="0" borderId="0" xfId="0" applyFont="1" applyBorder="1" applyAlignment="1" applyProtection="1">
      <alignment horizontal="left"/>
    </xf>
    <xf numFmtId="0" fontId="86" fillId="0" borderId="0" xfId="0" applyFont="1" applyBorder="1" applyAlignment="1" applyProtection="1"/>
    <xf numFmtId="0" fontId="93" fillId="0" borderId="0" xfId="0" applyFont="1" applyBorder="1" applyAlignment="1" applyProtection="1">
      <alignment horizontal="right" vertical="center"/>
    </xf>
    <xf numFmtId="0" fontId="62" fillId="0" borderId="0" xfId="0" applyFont="1" applyProtection="1"/>
    <xf numFmtId="0" fontId="60" fillId="0" borderId="0" xfId="0" applyFont="1" applyProtection="1"/>
    <xf numFmtId="0" fontId="94" fillId="0" borderId="0" xfId="2" applyFont="1" applyAlignment="1" applyProtection="1">
      <alignment horizontal="centerContinuous" vertical="center"/>
    </xf>
    <xf numFmtId="0" fontId="62" fillId="0" borderId="0" xfId="0" applyFont="1" applyAlignment="1">
      <alignment horizontal="centerContinuous" vertical="center"/>
    </xf>
    <xf numFmtId="0" fontId="60" fillId="0" borderId="0" xfId="0" applyFont="1" applyAlignment="1" applyProtection="1">
      <alignment horizontal="centerContinuous" vertical="center"/>
    </xf>
    <xf numFmtId="0" fontId="70" fillId="0" borderId="0" xfId="0" applyFont="1"/>
    <xf numFmtId="0" fontId="60" fillId="0" borderId="0" xfId="0" applyNumberFormat="1" applyFont="1" applyAlignment="1">
      <alignment horizontal="left"/>
    </xf>
    <xf numFmtId="0" fontId="62" fillId="0" borderId="0" xfId="0" applyFont="1" applyAlignment="1">
      <alignment horizontal="left"/>
    </xf>
    <xf numFmtId="174" fontId="60" fillId="0" borderId="0" xfId="0" applyNumberFormat="1" applyFont="1" applyAlignment="1">
      <alignment horizontal="left"/>
    </xf>
    <xf numFmtId="174" fontId="62" fillId="0" borderId="0" xfId="0" applyNumberFormat="1" applyFont="1" applyAlignment="1">
      <alignment horizontal="left"/>
    </xf>
    <xf numFmtId="0" fontId="60" fillId="0" borderId="0" xfId="0" applyNumberFormat="1" applyFont="1" applyBorder="1" applyAlignment="1" applyProtection="1">
      <alignment horizontal="left"/>
    </xf>
    <xf numFmtId="0" fontId="60" fillId="0" borderId="0" xfId="0" applyFont="1" applyBorder="1" applyAlignment="1" applyProtection="1">
      <alignment horizontal="right"/>
    </xf>
    <xf numFmtId="49" fontId="60" fillId="0" borderId="0" xfId="0" applyNumberFormat="1" applyFont="1" applyBorder="1" applyAlignment="1" applyProtection="1">
      <alignment horizontal="left" vertical="center"/>
    </xf>
    <xf numFmtId="49" fontId="59" fillId="0" borderId="0" xfId="0" applyNumberFormat="1" applyFont="1" applyBorder="1" applyAlignment="1" applyProtection="1">
      <alignment horizontal="left" vertical="center"/>
    </xf>
    <xf numFmtId="0" fontId="59" fillId="0" borderId="0" xfId="0" applyFont="1" applyBorder="1" applyProtection="1"/>
    <xf numFmtId="0" fontId="59" fillId="0" borderId="0" xfId="0" applyFont="1" applyBorder="1" applyAlignment="1" applyProtection="1">
      <alignment horizontal="right"/>
    </xf>
    <xf numFmtId="0" fontId="62" fillId="0" borderId="0" xfId="5" applyNumberFormat="1" applyFont="1" applyBorder="1" applyAlignment="1" applyProtection="1">
      <alignment horizontal="right"/>
    </xf>
    <xf numFmtId="49" fontId="67" fillId="0" borderId="0" xfId="0" applyNumberFormat="1" applyFont="1" applyBorder="1" applyAlignment="1" applyProtection="1">
      <alignment horizontal="left" vertical="center"/>
    </xf>
    <xf numFmtId="0" fontId="67" fillId="0" borderId="0" xfId="0" applyFont="1" applyFill="1" applyBorder="1" applyProtection="1"/>
    <xf numFmtId="40" fontId="67" fillId="0" borderId="0" xfId="0" applyNumberFormat="1" applyFont="1" applyBorder="1" applyAlignment="1" applyProtection="1">
      <alignment horizontal="right"/>
    </xf>
    <xf numFmtId="37" fontId="67" fillId="0" borderId="0" xfId="0" applyNumberFormat="1" applyFont="1" applyBorder="1" applyProtection="1"/>
    <xf numFmtId="175" fontId="67" fillId="0" borderId="0" xfId="0" applyNumberFormat="1" applyFont="1" applyFill="1" applyBorder="1" applyAlignment="1" applyProtection="1">
      <alignment horizontal="right"/>
    </xf>
    <xf numFmtId="173" fontId="67" fillId="0" borderId="0" xfId="0" applyNumberFormat="1" applyFont="1" applyBorder="1" applyProtection="1"/>
    <xf numFmtId="0" fontId="67" fillId="0" borderId="0" xfId="5" applyNumberFormat="1" applyFont="1" applyBorder="1" applyAlignment="1" applyProtection="1">
      <alignment horizontal="right"/>
    </xf>
    <xf numFmtId="0" fontId="67" fillId="0" borderId="0" xfId="0" applyFont="1" applyProtection="1"/>
    <xf numFmtId="0" fontId="67" fillId="0" borderId="0" xfId="0" applyFont="1" applyBorder="1" applyAlignment="1" applyProtection="1">
      <alignment vertical="center" wrapText="1"/>
    </xf>
    <xf numFmtId="0" fontId="67" fillId="0" borderId="0" xfId="0" applyFont="1" applyBorder="1" applyAlignment="1" applyProtection="1">
      <alignment horizontal="right"/>
    </xf>
    <xf numFmtId="2" fontId="67" fillId="0" borderId="0" xfId="0" applyNumberFormat="1" applyFont="1" applyBorder="1" applyAlignment="1" applyProtection="1">
      <alignment horizontal="right"/>
    </xf>
    <xf numFmtId="0" fontId="95" fillId="0" borderId="0" xfId="0" applyFont="1" applyAlignment="1" applyProtection="1">
      <alignment horizontal="left"/>
    </xf>
    <xf numFmtId="0" fontId="67" fillId="0" borderId="0" xfId="0" applyFont="1" applyAlignment="1">
      <alignment wrapText="1"/>
    </xf>
    <xf numFmtId="0" fontId="60" fillId="0" borderId="0" xfId="0" applyFont="1" applyFill="1" applyBorder="1" applyProtection="1"/>
    <xf numFmtId="0" fontId="60" fillId="0" borderId="0" xfId="0" applyFont="1" applyBorder="1" applyAlignment="1" applyProtection="1">
      <alignment horizontal="center"/>
    </xf>
    <xf numFmtId="175" fontId="67" fillId="0" borderId="0" xfId="0" quotePrefix="1" applyNumberFormat="1" applyFont="1" applyBorder="1" applyAlignment="1" applyProtection="1">
      <alignment horizontal="right"/>
    </xf>
    <xf numFmtId="0" fontId="69" fillId="0" borderId="0" xfId="0" applyFont="1" applyProtection="1"/>
    <xf numFmtId="0" fontId="67" fillId="0" borderId="0" xfId="5" quotePrefix="1" applyNumberFormat="1" applyFont="1" applyBorder="1" applyAlignment="1" applyProtection="1">
      <alignment horizontal="right"/>
    </xf>
    <xf numFmtId="0" fontId="67" fillId="0" borderId="0" xfId="0" applyFont="1" applyBorder="1" applyAlignment="1" applyProtection="1">
      <alignment vertical="top" wrapText="1"/>
    </xf>
    <xf numFmtId="37" fontId="67" fillId="0" borderId="0" xfId="0" applyNumberFormat="1" applyFont="1" applyBorder="1" applyAlignment="1" applyProtection="1">
      <alignment horizontal="right"/>
    </xf>
    <xf numFmtId="175" fontId="67" fillId="8" borderId="0" xfId="0" quotePrefix="1" applyNumberFormat="1" applyFont="1" applyFill="1" applyBorder="1" applyAlignment="1" applyProtection="1">
      <alignment horizontal="right"/>
    </xf>
    <xf numFmtId="38" fontId="67" fillId="0" borderId="0" xfId="0" applyNumberFormat="1" applyFont="1" applyBorder="1" applyProtection="1"/>
    <xf numFmtId="40" fontId="67" fillId="0" borderId="0" xfId="0" applyNumberFormat="1" applyFont="1" applyFill="1" applyBorder="1" applyAlignment="1" applyProtection="1">
      <alignment horizontal="right"/>
    </xf>
    <xf numFmtId="1" fontId="67" fillId="0" borderId="0" xfId="0" applyNumberFormat="1" applyFont="1" applyBorder="1" applyProtection="1"/>
    <xf numFmtId="39" fontId="67" fillId="0" borderId="0" xfId="0" applyNumberFormat="1" applyFont="1" applyBorder="1" applyProtection="1"/>
    <xf numFmtId="1" fontId="62" fillId="0" borderId="0" xfId="5" applyNumberFormat="1" applyFont="1" applyBorder="1" applyAlignment="1" applyProtection="1">
      <alignment horizontal="right"/>
    </xf>
    <xf numFmtId="40" fontId="67" fillId="0" borderId="0" xfId="0" applyNumberFormat="1" applyFont="1" applyBorder="1" applyAlignment="1" applyProtection="1">
      <alignment horizontal="right" vertical="center"/>
    </xf>
    <xf numFmtId="3" fontId="67" fillId="0" borderId="0" xfId="0" applyNumberFormat="1" applyFont="1" applyBorder="1" applyAlignment="1" applyProtection="1">
      <alignment horizontal="right" vertical="center"/>
    </xf>
    <xf numFmtId="173" fontId="67" fillId="0" borderId="0" xfId="0" applyNumberFormat="1" applyFont="1" applyBorder="1" applyAlignment="1" applyProtection="1">
      <alignment horizontal="right"/>
    </xf>
    <xf numFmtId="2" fontId="67" fillId="0" borderId="0" xfId="0" applyNumberFormat="1" applyFont="1" applyBorder="1" applyAlignment="1" applyProtection="1">
      <alignment horizontal="right" vertical="center"/>
    </xf>
    <xf numFmtId="40" fontId="67" fillId="0" borderId="0" xfId="0" applyNumberFormat="1" applyFont="1" applyFill="1" applyBorder="1" applyAlignment="1" applyProtection="1">
      <alignment horizontal="right" vertical="center"/>
    </xf>
    <xf numFmtId="49" fontId="67" fillId="0" borderId="0" xfId="0" applyNumberFormat="1" applyFont="1" applyBorder="1" applyProtection="1"/>
    <xf numFmtId="0" fontId="67" fillId="0" borderId="0" xfId="0" applyFont="1" applyBorder="1" applyAlignment="1" applyProtection="1">
      <alignment horizontal="center"/>
    </xf>
    <xf numFmtId="172" fontId="67" fillId="0" borderId="0" xfId="0" applyNumberFormat="1" applyFont="1" applyBorder="1" applyAlignment="1" applyProtection="1">
      <alignment horizontal="right"/>
    </xf>
    <xf numFmtId="0" fontId="69" fillId="0" borderId="0" xfId="0" applyFont="1" applyFill="1" applyBorder="1" applyAlignment="1" applyProtection="1">
      <alignment horizontal="center"/>
    </xf>
    <xf numFmtId="0" fontId="60" fillId="0" borderId="0" xfId="0" applyFont="1" applyFill="1" applyBorder="1" applyAlignment="1" applyProtection="1">
      <alignment horizontal="right"/>
    </xf>
    <xf numFmtId="0" fontId="59" fillId="0" borderId="0" xfId="0" applyFont="1" applyFill="1" applyBorder="1" applyAlignment="1" applyProtection="1">
      <alignment horizontal="left"/>
    </xf>
    <xf numFmtId="0" fontId="70" fillId="0" borderId="0" xfId="0" applyFont="1" applyFill="1" applyBorder="1" applyAlignment="1" applyProtection="1">
      <alignment horizontal="right"/>
    </xf>
    <xf numFmtId="2" fontId="70" fillId="0" borderId="0" xfId="0" applyNumberFormat="1" applyFont="1" applyFill="1" applyBorder="1" applyAlignment="1" applyProtection="1">
      <alignment horizontal="right"/>
    </xf>
    <xf numFmtId="0" fontId="93" fillId="0" borderId="0" xfId="0" applyFont="1" applyProtection="1"/>
    <xf numFmtId="0" fontId="60" fillId="0" borderId="0" xfId="0" applyFont="1" applyFill="1" applyBorder="1" applyAlignment="1" applyProtection="1">
      <alignment horizontal="center"/>
    </xf>
    <xf numFmtId="0" fontId="71" fillId="0" borderId="0" xfId="5" applyNumberFormat="1" applyFont="1" applyFill="1" applyBorder="1" applyAlignment="1" applyProtection="1">
      <alignment horizontal="right"/>
    </xf>
    <xf numFmtId="49" fontId="93" fillId="0" borderId="0" xfId="0" applyNumberFormat="1" applyFont="1" applyAlignment="1" applyProtection="1">
      <alignment horizontal="right" vertical="top"/>
    </xf>
    <xf numFmtId="0" fontId="67" fillId="0" borderId="0" xfId="0" applyFont="1" applyBorder="1" applyAlignment="1" applyProtection="1">
      <alignment horizontal="left"/>
    </xf>
    <xf numFmtId="49" fontId="60" fillId="0" borderId="0" xfId="0" applyNumberFormat="1" applyFont="1" applyBorder="1" applyAlignment="1" applyProtection="1">
      <alignment horizontal="left" vertical="top"/>
    </xf>
    <xf numFmtId="0" fontId="67" fillId="0" borderId="0" xfId="0" applyFont="1" applyAlignment="1" applyProtection="1">
      <alignment horizontal="left"/>
    </xf>
    <xf numFmtId="49" fontId="60" fillId="0" borderId="0" xfId="0" applyNumberFormat="1" applyFont="1" applyAlignment="1" applyProtection="1">
      <alignment horizontal="left" vertical="center"/>
    </xf>
    <xf numFmtId="49" fontId="60" fillId="0" borderId="0" xfId="0" applyNumberFormat="1" applyFont="1" applyAlignment="1" applyProtection="1">
      <alignment horizontal="left" vertical="top"/>
    </xf>
    <xf numFmtId="0" fontId="60" fillId="0" borderId="0" xfId="0" applyFont="1" applyAlignment="1" applyProtection="1">
      <alignment horizontal="right"/>
    </xf>
    <xf numFmtId="0" fontId="67" fillId="0" borderId="0" xfId="0" applyFont="1" applyAlignment="1" applyProtection="1">
      <alignment horizontal="right"/>
    </xf>
    <xf numFmtId="49" fontId="91" fillId="0" borderId="0" xfId="0" applyNumberFormat="1" applyFont="1" applyAlignment="1" applyProtection="1">
      <alignment horizontal="right" vertical="top"/>
    </xf>
    <xf numFmtId="0" fontId="67" fillId="0" borderId="3" xfId="0" applyFont="1" applyBorder="1" applyAlignment="1" applyProtection="1">
      <alignment horizontal="center" vertical="center"/>
    </xf>
    <xf numFmtId="49" fontId="59" fillId="0" borderId="3" xfId="0" applyNumberFormat="1" applyFont="1" applyBorder="1" applyAlignment="1" applyProtection="1">
      <alignment horizontal="center" vertical="center"/>
    </xf>
    <xf numFmtId="49" fontId="62" fillId="0" borderId="3" xfId="0" applyNumberFormat="1" applyFont="1" applyBorder="1" applyAlignment="1" applyProtection="1">
      <alignment horizontal="center" vertical="center"/>
    </xf>
    <xf numFmtId="49" fontId="70" fillId="0" borderId="12" xfId="0" applyNumberFormat="1" applyFont="1" applyBorder="1" applyAlignment="1" applyProtection="1">
      <alignment horizontal="centerContinuous" vertical="center"/>
    </xf>
    <xf numFmtId="49" fontId="62" fillId="0" borderId="10" xfId="0" applyNumberFormat="1" applyFont="1" applyBorder="1" applyAlignment="1" applyProtection="1">
      <alignment horizontal="centerContinuous" vertical="center"/>
    </xf>
    <xf numFmtId="0" fontId="62" fillId="0" borderId="0" xfId="0" applyFont="1" applyAlignment="1" applyProtection="1">
      <alignment vertical="center"/>
    </xf>
    <xf numFmtId="1" fontId="69" fillId="0" borderId="4" xfId="0" applyNumberFormat="1" applyFont="1" applyBorder="1" applyAlignment="1" applyProtection="1">
      <alignment horizontal="center" vertical="center" wrapText="1"/>
    </xf>
    <xf numFmtId="3" fontId="69" fillId="0" borderId="4" xfId="0" applyNumberFormat="1" applyFont="1" applyBorder="1" applyAlignment="1" applyProtection="1">
      <alignment horizontal="center" vertical="center" wrapText="1"/>
    </xf>
    <xf numFmtId="0" fontId="69" fillId="0" borderId="4" xfId="0" applyFont="1" applyBorder="1" applyAlignment="1" applyProtection="1">
      <alignment horizontal="center" vertical="center" wrapText="1"/>
    </xf>
    <xf numFmtId="43" fontId="69" fillId="0" borderId="2" xfId="1" applyFont="1" applyBorder="1" applyAlignment="1" applyProtection="1">
      <alignment horizontal="center" vertical="center" wrapText="1"/>
    </xf>
    <xf numFmtId="0" fontId="69" fillId="0" borderId="2" xfId="0" applyFont="1" applyBorder="1" applyAlignment="1" applyProtection="1">
      <alignment horizontal="center" vertical="center" wrapText="1"/>
    </xf>
    <xf numFmtId="0" fontId="67" fillId="0" borderId="21" xfId="0" applyFont="1" applyBorder="1" applyAlignment="1" applyProtection="1">
      <alignment horizontal="left" vertical="center" indent="1"/>
    </xf>
    <xf numFmtId="0" fontId="67" fillId="0" borderId="14" xfId="0" applyFont="1" applyBorder="1" applyAlignment="1" applyProtection="1">
      <alignment horizontal="center" vertical="center"/>
    </xf>
    <xf numFmtId="38" fontId="60" fillId="0" borderId="2"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3" borderId="26" xfId="0" applyNumberFormat="1" applyFont="1" applyFill="1" applyBorder="1" applyAlignment="1" applyProtection="1">
      <alignment horizontal="right"/>
    </xf>
    <xf numFmtId="38" fontId="60" fillId="3" borderId="18" xfId="0" applyNumberFormat="1" applyFont="1" applyFill="1" applyBorder="1" applyAlignment="1" applyProtection="1">
      <alignment horizontal="right"/>
    </xf>
    <xf numFmtId="0" fontId="67" fillId="0" borderId="2" xfId="0" applyFont="1" applyBorder="1" applyAlignment="1" applyProtection="1">
      <alignment horizontal="center" vertical="center"/>
    </xf>
    <xf numFmtId="38" fontId="60" fillId="0" borderId="0" xfId="0" applyNumberFormat="1" applyFont="1" applyBorder="1" applyAlignment="1" applyProtection="1">
      <alignment horizontal="right"/>
      <protection locked="0"/>
    </xf>
    <xf numFmtId="0" fontId="67" fillId="0" borderId="14" xfId="0" applyFont="1" applyBorder="1" applyAlignment="1" applyProtection="1">
      <alignment horizontal="left" vertical="center" indent="1"/>
    </xf>
    <xf numFmtId="38" fontId="60" fillId="6" borderId="3" xfId="0" applyNumberFormat="1" applyFont="1" applyFill="1" applyBorder="1" applyAlignment="1" applyProtection="1">
      <alignment horizontal="right"/>
    </xf>
    <xf numFmtId="38" fontId="60" fillId="6" borderId="26" xfId="0" applyNumberFormat="1" applyFont="1" applyFill="1" applyBorder="1" applyAlignment="1" applyProtection="1">
      <alignment horizontal="right"/>
    </xf>
    <xf numFmtId="38" fontId="60" fillId="0" borderId="4" xfId="0" applyNumberFormat="1" applyFont="1" applyFill="1" applyBorder="1" applyAlignment="1" applyProtection="1">
      <alignment horizontal="right"/>
      <protection locked="0"/>
    </xf>
    <xf numFmtId="38" fontId="60" fillId="0" borderId="26" xfId="0" applyNumberFormat="1" applyFont="1" applyFill="1" applyBorder="1" applyAlignment="1" applyProtection="1">
      <alignment horizontal="right"/>
      <protection locked="0"/>
    </xf>
    <xf numFmtId="38" fontId="60" fillId="6" borderId="4" xfId="0" applyNumberFormat="1" applyFont="1" applyFill="1" applyBorder="1" applyAlignment="1" applyProtection="1">
      <alignment horizontal="right"/>
    </xf>
    <xf numFmtId="38" fontId="60" fillId="0" borderId="4" xfId="0" applyNumberFormat="1" applyFont="1" applyBorder="1" applyAlignment="1" applyProtection="1">
      <alignment horizontal="right"/>
      <protection locked="0"/>
    </xf>
    <xf numFmtId="164" fontId="67" fillId="0" borderId="2" xfId="0" applyNumberFormat="1" applyFont="1" applyFill="1" applyBorder="1" applyAlignment="1" applyProtection="1">
      <alignment horizontal="left" vertical="center"/>
    </xf>
    <xf numFmtId="0" fontId="67" fillId="0" borderId="2" xfId="0" applyFont="1" applyFill="1" applyBorder="1" applyAlignment="1" applyProtection="1">
      <alignment horizontal="center" vertical="center"/>
    </xf>
    <xf numFmtId="38" fontId="60" fillId="6" borderId="18" xfId="0" applyNumberFormat="1" applyFont="1" applyFill="1" applyBorder="1" applyAlignment="1" applyProtection="1">
      <alignment horizontal="right"/>
    </xf>
    <xf numFmtId="0" fontId="62" fillId="0" borderId="0" xfId="0" applyFont="1" applyFill="1" applyAlignment="1" applyProtection="1">
      <alignment vertical="center"/>
    </xf>
    <xf numFmtId="38" fontId="60" fillId="6" borderId="0" xfId="0" applyNumberFormat="1" applyFont="1" applyFill="1" applyBorder="1" applyAlignment="1" applyProtection="1">
      <alignment horizontal="right"/>
    </xf>
    <xf numFmtId="38" fontId="60" fillId="0" borderId="2" xfId="0" applyNumberFormat="1" applyFont="1" applyFill="1" applyBorder="1" applyAlignment="1" applyProtection="1">
      <alignment horizontal="right"/>
    </xf>
    <xf numFmtId="0" fontId="67" fillId="0" borderId="11" xfId="0" applyFont="1" applyBorder="1" applyAlignment="1" applyProtection="1">
      <alignment horizontal="left" vertical="center" indent="1"/>
    </xf>
    <xf numFmtId="0" fontId="67" fillId="0" borderId="4" xfId="0" applyFont="1" applyBorder="1" applyAlignment="1" applyProtection="1">
      <alignment horizontal="center" vertical="center"/>
    </xf>
    <xf numFmtId="0" fontId="67" fillId="0" borderId="20" xfId="0" applyFont="1" applyBorder="1" applyAlignment="1" applyProtection="1">
      <alignment horizontal="left" vertical="center" indent="1"/>
    </xf>
    <xf numFmtId="0" fontId="67" fillId="0" borderId="14" xfId="0" applyFont="1" applyBorder="1" applyAlignment="1" applyProtection="1">
      <alignment horizontal="left" vertical="center" wrapText="1" indent="1"/>
    </xf>
    <xf numFmtId="38" fontId="60" fillId="0" borderId="4" xfId="0" applyNumberFormat="1" applyFont="1" applyBorder="1" applyAlignment="1" applyProtection="1">
      <alignment horizontal="right"/>
    </xf>
    <xf numFmtId="0" fontId="67" fillId="0" borderId="2" xfId="0" applyFont="1" applyFill="1" applyBorder="1" applyAlignment="1" applyProtection="1">
      <alignment horizontal="left" vertical="center" indent="1"/>
    </xf>
    <xf numFmtId="38" fontId="62" fillId="6" borderId="26" xfId="0" applyNumberFormat="1" applyFont="1" applyFill="1" applyBorder="1" applyAlignment="1">
      <alignment horizontal="right"/>
    </xf>
    <xf numFmtId="0" fontId="67" fillId="0" borderId="16" xfId="0" applyFont="1" applyFill="1" applyBorder="1" applyAlignment="1" applyProtection="1">
      <alignment horizontal="left" vertical="center" indent="1"/>
    </xf>
    <xf numFmtId="0" fontId="67" fillId="0" borderId="10" xfId="0" applyFont="1" applyFill="1" applyBorder="1" applyAlignment="1" applyProtection="1">
      <alignment horizontal="center" vertical="center"/>
    </xf>
    <xf numFmtId="38" fontId="60" fillId="6" borderId="3" xfId="0" applyNumberFormat="1" applyFont="1" applyFill="1" applyBorder="1" applyAlignment="1">
      <alignment horizontal="right"/>
    </xf>
    <xf numFmtId="0" fontId="67" fillId="0" borderId="0" xfId="0" applyFont="1" applyAlignment="1" applyProtection="1">
      <alignment vertical="center"/>
    </xf>
    <xf numFmtId="0" fontId="67" fillId="0" borderId="0" xfId="0" applyFont="1" applyAlignment="1" applyProtection="1">
      <alignment horizontal="center" vertical="center"/>
    </xf>
    <xf numFmtId="38" fontId="62" fillId="0" borderId="0" xfId="0" applyNumberFormat="1" applyFont="1" applyAlignment="1" applyProtection="1">
      <alignment vertical="center"/>
    </xf>
    <xf numFmtId="49" fontId="69" fillId="0" borderId="3" xfId="0" applyNumberFormat="1" applyFont="1" applyBorder="1" applyAlignment="1" applyProtection="1">
      <alignment horizontal="center" vertical="center"/>
    </xf>
    <xf numFmtId="0" fontId="62" fillId="0" borderId="0" xfId="0" applyFont="1" applyAlignment="1" applyProtection="1">
      <alignment horizontal="center" vertical="center"/>
    </xf>
    <xf numFmtId="0" fontId="60" fillId="0" borderId="0" xfId="0" applyFont="1" applyFill="1" applyAlignment="1" applyProtection="1">
      <alignment horizontal="center" vertical="center"/>
    </xf>
    <xf numFmtId="0" fontId="62" fillId="0" borderId="0" xfId="0" applyFont="1" applyFill="1" applyAlignment="1" applyProtection="1">
      <alignment horizontal="center" vertical="center"/>
    </xf>
    <xf numFmtId="38" fontId="60" fillId="3" borderId="21" xfId="0" applyNumberFormat="1" applyFont="1" applyFill="1" applyBorder="1" applyAlignment="1" applyProtection="1">
      <alignment horizontal="right"/>
    </xf>
    <xf numFmtId="38" fontId="60" fillId="3" borderId="0" xfId="0" applyNumberFormat="1" applyFont="1" applyFill="1" applyBorder="1" applyAlignment="1" applyProtection="1">
      <alignment horizontal="right"/>
    </xf>
    <xf numFmtId="38" fontId="60" fillId="3" borderId="3" xfId="0" applyNumberFormat="1" applyFont="1" applyFill="1" applyBorder="1" applyAlignment="1" applyProtection="1">
      <alignment horizontal="right"/>
    </xf>
    <xf numFmtId="38" fontId="60" fillId="3" borderId="13" xfId="0" applyNumberFormat="1" applyFont="1" applyFill="1" applyBorder="1" applyAlignment="1" applyProtection="1">
      <alignment horizontal="right"/>
    </xf>
    <xf numFmtId="38" fontId="60" fillId="3" borderId="2" xfId="0" applyNumberFormat="1" applyFont="1" applyFill="1" applyBorder="1" applyAlignment="1" applyProtection="1">
      <alignment horizontal="right"/>
    </xf>
    <xf numFmtId="3" fontId="62" fillId="0" borderId="0" xfId="0" applyNumberFormat="1" applyFont="1" applyAlignment="1" applyProtection="1">
      <alignment vertical="center"/>
    </xf>
    <xf numFmtId="0" fontId="78" fillId="0" borderId="20" xfId="0" applyFont="1" applyBorder="1" applyAlignment="1" applyProtection="1">
      <alignment horizontal="left" indent="2"/>
    </xf>
    <xf numFmtId="0" fontId="67" fillId="0" borderId="11" xfId="0" applyFont="1" applyBorder="1" applyAlignment="1" applyProtection="1">
      <alignment horizontal="center" vertical="center"/>
    </xf>
    <xf numFmtId="38" fontId="60" fillId="0" borderId="19" xfId="0" applyNumberFormat="1" applyFont="1" applyBorder="1" applyAlignment="1" applyProtection="1">
      <alignment horizontal="right"/>
      <protection locked="0"/>
    </xf>
    <xf numFmtId="38" fontId="60" fillId="0" borderId="11" xfId="0" applyNumberFormat="1" applyFont="1" applyBorder="1" applyAlignment="1" applyProtection="1">
      <alignment horizontal="right"/>
      <protection locked="0"/>
    </xf>
    <xf numFmtId="0" fontId="59" fillId="0" borderId="0" xfId="0" applyFont="1" applyAlignment="1" applyProtection="1">
      <alignment vertical="center"/>
    </xf>
    <xf numFmtId="0" fontId="70" fillId="0" borderId="0" xfId="0" applyFont="1" applyAlignment="1" applyProtection="1">
      <alignment vertical="center"/>
    </xf>
    <xf numFmtId="38" fontId="60" fillId="3" borderId="11" xfId="0" applyNumberFormat="1" applyFont="1" applyFill="1" applyBorder="1" applyAlignment="1" applyProtection="1">
      <alignment horizontal="right"/>
    </xf>
    <xf numFmtId="38" fontId="60" fillId="3" borderId="4" xfId="0" applyNumberFormat="1" applyFont="1" applyFill="1" applyBorder="1" applyAlignment="1" applyProtection="1">
      <alignment horizontal="right"/>
    </xf>
    <xf numFmtId="38" fontId="60" fillId="3" borderId="19" xfId="0" applyNumberFormat="1" applyFont="1" applyFill="1" applyBorder="1" applyAlignment="1" applyProtection="1">
      <alignment horizontal="right"/>
    </xf>
    <xf numFmtId="38" fontId="60" fillId="3" borderId="14" xfId="0" applyNumberFormat="1" applyFont="1" applyFill="1" applyBorder="1" applyAlignment="1" applyProtection="1">
      <alignment horizontal="right"/>
    </xf>
    <xf numFmtId="0" fontId="60" fillId="0" borderId="0" xfId="0" applyFont="1" applyFill="1" applyAlignment="1" applyProtection="1">
      <alignment vertical="center"/>
    </xf>
    <xf numFmtId="0" fontId="67" fillId="0" borderId="4" xfId="0" applyFont="1" applyFill="1" applyBorder="1" applyAlignment="1" applyProtection="1">
      <alignment horizontal="center" vertical="center"/>
    </xf>
    <xf numFmtId="38" fontId="60" fillId="6" borderId="2" xfId="0" applyNumberFormat="1" applyFont="1" applyFill="1" applyBorder="1" applyAlignment="1" applyProtection="1">
      <alignment horizontal="right"/>
    </xf>
    <xf numFmtId="0" fontId="67" fillId="0" borderId="2" xfId="0" applyFont="1" applyFill="1" applyBorder="1" applyAlignment="1" applyProtection="1">
      <alignment horizontal="center" vertical="top"/>
    </xf>
    <xf numFmtId="38" fontId="60" fillId="6" borderId="28" xfId="0" applyNumberFormat="1" applyFont="1" applyFill="1" applyBorder="1" applyAlignment="1" applyProtection="1">
      <alignment horizontal="right"/>
    </xf>
    <xf numFmtId="0" fontId="60" fillId="0" borderId="0" xfId="0" applyFont="1" applyFill="1" applyBorder="1" applyAlignment="1" applyProtection="1">
      <alignment vertical="center"/>
    </xf>
    <xf numFmtId="38" fontId="60" fillId="0" borderId="33" xfId="0" applyNumberFormat="1" applyFont="1" applyFill="1" applyBorder="1" applyAlignment="1" applyProtection="1">
      <alignment horizontal="right"/>
      <protection locked="0"/>
    </xf>
    <xf numFmtId="38" fontId="60" fillId="0" borderId="0" xfId="0" applyNumberFormat="1" applyFont="1" applyAlignment="1" applyProtection="1"/>
    <xf numFmtId="0" fontId="67" fillId="0" borderId="11" xfId="0" applyFont="1" applyFill="1" applyBorder="1" applyAlignment="1" applyProtection="1">
      <alignment horizontal="center" vertical="center"/>
    </xf>
    <xf numFmtId="0" fontId="67" fillId="0" borderId="49" xfId="0" applyFont="1" applyBorder="1" applyAlignment="1" applyProtection="1">
      <alignment horizontal="left" vertical="center" indent="4"/>
    </xf>
    <xf numFmtId="0" fontId="67" fillId="0" borderId="31" xfId="0" applyFont="1" applyBorder="1" applyAlignment="1" applyProtection="1">
      <alignment horizontal="center" vertical="center"/>
    </xf>
    <xf numFmtId="40" fontId="60" fillId="7" borderId="33" xfId="0" applyNumberFormat="1" applyFont="1" applyFill="1" applyBorder="1" applyAlignment="1" applyProtection="1">
      <alignment horizontal="right" vertical="center"/>
    </xf>
    <xf numFmtId="0" fontId="67" fillId="0" borderId="13" xfId="0" applyFont="1" applyBorder="1" applyAlignment="1" applyProtection="1">
      <alignment horizontal="left" vertical="center" indent="4"/>
    </xf>
    <xf numFmtId="9" fontId="60" fillId="7" borderId="33" xfId="0" applyNumberFormat="1" applyFont="1" applyFill="1" applyBorder="1" applyAlignment="1" applyProtection="1">
      <alignment horizontal="right" vertical="center"/>
    </xf>
    <xf numFmtId="1" fontId="59" fillId="0" borderId="4" xfId="0" applyNumberFormat="1" applyFont="1" applyBorder="1" applyAlignment="1" applyProtection="1">
      <alignment horizontal="center" vertical="center" wrapText="1"/>
    </xf>
    <xf numFmtId="3" fontId="59" fillId="0" borderId="4" xfId="0" applyNumberFormat="1" applyFont="1" applyBorder="1" applyAlignment="1" applyProtection="1">
      <alignment horizontal="center" vertical="center" wrapText="1"/>
    </xf>
    <xf numFmtId="3" fontId="60" fillId="3" borderId="4" xfId="0" applyNumberFormat="1" applyFont="1" applyFill="1" applyBorder="1" applyAlignment="1" applyProtection="1">
      <alignment horizontal="center"/>
    </xf>
    <xf numFmtId="3" fontId="62" fillId="3" borderId="11" xfId="0" applyNumberFormat="1" applyFont="1" applyFill="1" applyBorder="1" applyAlignment="1" applyProtection="1">
      <alignment horizontal="center"/>
    </xf>
    <xf numFmtId="38" fontId="62" fillId="3" borderId="4" xfId="0" applyNumberFormat="1" applyFont="1" applyFill="1" applyBorder="1" applyAlignment="1" applyProtection="1">
      <alignment horizontal="center"/>
    </xf>
    <xf numFmtId="3" fontId="62" fillId="3" borderId="4" xfId="0" applyNumberFormat="1" applyFont="1" applyFill="1" applyBorder="1" applyAlignment="1" applyProtection="1">
      <alignment horizontal="center"/>
    </xf>
    <xf numFmtId="0" fontId="67" fillId="0" borderId="14" xfId="0" applyFont="1" applyBorder="1" applyAlignment="1" applyProtection="1">
      <alignment horizontal="center"/>
    </xf>
    <xf numFmtId="0" fontId="67" fillId="0" borderId="2" xfId="0" applyFont="1" applyBorder="1" applyAlignment="1" applyProtection="1">
      <alignment horizontal="center"/>
    </xf>
    <xf numFmtId="0" fontId="67" fillId="0" borderId="2" xfId="0" applyFont="1" applyBorder="1" applyAlignment="1" applyProtection="1">
      <alignment horizontal="center" vertical="center" wrapText="1"/>
    </xf>
    <xf numFmtId="38" fontId="62" fillId="0" borderId="0" xfId="0" applyNumberFormat="1" applyFont="1" applyProtection="1"/>
    <xf numFmtId="38" fontId="60" fillId="3" borderId="17" xfId="0" applyNumberFormat="1" applyFont="1" applyFill="1" applyBorder="1" applyAlignment="1" applyProtection="1">
      <alignment horizontal="right"/>
    </xf>
    <xf numFmtId="37" fontId="60" fillId="3" borderId="17" xfId="0" applyNumberFormat="1" applyFont="1" applyFill="1" applyBorder="1" applyAlignment="1" applyProtection="1">
      <alignment horizontal="right"/>
    </xf>
    <xf numFmtId="37" fontId="60" fillId="3" borderId="26" xfId="0" applyNumberFormat="1" applyFont="1" applyFill="1" applyBorder="1" applyAlignment="1" applyProtection="1">
      <alignment horizontal="right"/>
    </xf>
    <xf numFmtId="0" fontId="67" fillId="0" borderId="26" xfId="0" applyFont="1" applyFill="1" applyBorder="1" applyAlignment="1" applyProtection="1">
      <alignment horizontal="center" vertical="center"/>
    </xf>
    <xf numFmtId="0" fontId="67" fillId="0" borderId="2" xfId="0" applyFont="1" applyBorder="1" applyAlignment="1" applyProtection="1">
      <alignment horizontal="center" vertical="top"/>
    </xf>
    <xf numFmtId="0" fontId="67" fillId="0" borderId="26" xfId="0" applyFont="1" applyFill="1" applyBorder="1" applyAlignment="1" applyProtection="1">
      <alignment horizontal="center" vertical="top"/>
    </xf>
    <xf numFmtId="0" fontId="67" fillId="0" borderId="18" xfId="0" applyFont="1" applyFill="1" applyBorder="1" applyAlignment="1" applyProtection="1">
      <alignment horizontal="center" vertical="center"/>
    </xf>
    <xf numFmtId="38" fontId="60" fillId="0" borderId="19" xfId="0" applyNumberFormat="1" applyFont="1" applyFill="1" applyBorder="1" applyAlignment="1" applyProtection="1">
      <alignment horizontal="right"/>
      <protection locked="0"/>
    </xf>
    <xf numFmtId="38" fontId="60" fillId="3" borderId="0" xfId="0" applyNumberFormat="1" applyFont="1" applyFill="1" applyAlignment="1" applyProtection="1">
      <alignment horizontal="right"/>
    </xf>
    <xf numFmtId="1" fontId="67" fillId="0" borderId="2" xfId="0" applyNumberFormat="1" applyFont="1" applyBorder="1" applyAlignment="1" applyProtection="1">
      <alignment horizontal="center" vertical="center"/>
    </xf>
    <xf numFmtId="0" fontId="67" fillId="0" borderId="21" xfId="0" applyFont="1" applyBorder="1" applyAlignment="1" applyProtection="1">
      <alignment horizontal="left" vertical="top" wrapText="1" indent="1"/>
    </xf>
    <xf numFmtId="1" fontId="67" fillId="0" borderId="2" xfId="0" applyNumberFormat="1" applyFont="1" applyBorder="1" applyAlignment="1" applyProtection="1">
      <alignment horizontal="center" vertical="top"/>
    </xf>
    <xf numFmtId="38" fontId="60" fillId="3" borderId="38" xfId="0" applyNumberFormat="1" applyFont="1" applyFill="1" applyBorder="1" applyAlignment="1" applyProtection="1">
      <alignment horizontal="right"/>
    </xf>
    <xf numFmtId="38" fontId="60" fillId="3" borderId="28" xfId="0" applyNumberFormat="1" applyFont="1" applyFill="1" applyBorder="1" applyAlignment="1" applyProtection="1">
      <alignment horizontal="right"/>
    </xf>
    <xf numFmtId="1" fontId="67" fillId="0" borderId="4" xfId="0" applyNumberFormat="1" applyFont="1" applyBorder="1" applyAlignment="1" applyProtection="1">
      <alignment horizontal="center" vertical="center"/>
    </xf>
    <xf numFmtId="1" fontId="67" fillId="0" borderId="127" xfId="0" applyNumberFormat="1" applyFont="1" applyBorder="1" applyAlignment="1" applyProtection="1">
      <alignment horizontal="center" vertical="center"/>
    </xf>
    <xf numFmtId="38" fontId="60" fillId="3" borderId="127" xfId="0" applyNumberFormat="1" applyFont="1" applyFill="1" applyBorder="1" applyAlignment="1" applyProtection="1">
      <alignment horizontal="right"/>
    </xf>
    <xf numFmtId="38" fontId="60" fillId="3" borderId="29" xfId="0" applyNumberFormat="1" applyFont="1" applyFill="1" applyBorder="1" applyAlignment="1" applyProtection="1">
      <alignment horizontal="right"/>
    </xf>
    <xf numFmtId="1" fontId="67" fillId="0" borderId="32" xfId="0" applyNumberFormat="1" applyFont="1" applyBorder="1" applyAlignment="1" applyProtection="1">
      <alignment horizontal="center" vertical="center"/>
    </xf>
    <xf numFmtId="1" fontId="67" fillId="0" borderId="33" xfId="0" applyNumberFormat="1" applyFont="1" applyBorder="1" applyAlignment="1" applyProtection="1">
      <alignment horizontal="center" vertical="center"/>
    </xf>
    <xf numFmtId="38" fontId="60" fillId="0" borderId="33" xfId="0" applyNumberFormat="1" applyFont="1" applyBorder="1" applyAlignment="1" applyProtection="1">
      <alignment horizontal="right"/>
      <protection locked="0"/>
    </xf>
    <xf numFmtId="38" fontId="60" fillId="0" borderId="27" xfId="0" applyNumberFormat="1" applyFont="1" applyFill="1" applyBorder="1" applyAlignment="1" applyProtection="1">
      <alignment horizontal="right" vertical="center"/>
      <protection locked="0"/>
    </xf>
    <xf numFmtId="0" fontId="67" fillId="0" borderId="2" xfId="0" applyFont="1" applyBorder="1" applyAlignment="1" applyProtection="1">
      <alignment horizontal="center" vertical="top" wrapText="1"/>
    </xf>
    <xf numFmtId="38" fontId="60" fillId="3" borderId="39" xfId="0" applyNumberFormat="1" applyFont="1" applyFill="1" applyBorder="1" applyAlignment="1" applyProtection="1">
      <alignment horizontal="right"/>
    </xf>
    <xf numFmtId="38" fontId="60" fillId="0" borderId="2" xfId="0" applyNumberFormat="1" applyFont="1" applyFill="1" applyBorder="1" applyAlignment="1" applyProtection="1">
      <alignment horizontal="right" vertical="center"/>
      <protection locked="0"/>
    </xf>
    <xf numFmtId="38" fontId="60" fillId="6" borderId="2" xfId="0" applyNumberFormat="1" applyFont="1" applyFill="1" applyBorder="1" applyAlignment="1" applyProtection="1">
      <alignment horizontal="right" vertical="center"/>
    </xf>
    <xf numFmtId="0" fontId="67" fillId="0" borderId="26" xfId="0" applyFont="1" applyBorder="1" applyAlignment="1" applyProtection="1">
      <alignment horizontal="center" vertical="center"/>
    </xf>
    <xf numFmtId="0" fontId="67" fillId="0" borderId="130" xfId="0" applyFont="1" applyFill="1" applyBorder="1" applyAlignment="1" applyProtection="1">
      <alignment horizontal="center" vertical="center"/>
    </xf>
    <xf numFmtId="0" fontId="67" fillId="0" borderId="100" xfId="0" applyFont="1" applyFill="1" applyBorder="1" applyAlignment="1" applyProtection="1">
      <alignment horizontal="center" vertical="center"/>
    </xf>
    <xf numFmtId="0" fontId="62" fillId="0" borderId="0" xfId="0" applyFont="1" applyAlignment="1" applyProtection="1"/>
    <xf numFmtId="0" fontId="67" fillId="0" borderId="0" xfId="0" applyFont="1" applyAlignment="1" applyProtection="1">
      <alignment horizontal="left" vertical="center" wrapText="1"/>
    </xf>
    <xf numFmtId="0" fontId="67" fillId="0" borderId="0" xfId="0" applyFont="1" applyAlignment="1" applyProtection="1">
      <alignment horizontal="center" vertical="center" wrapText="1"/>
    </xf>
    <xf numFmtId="0" fontId="62" fillId="0" borderId="0" xfId="0" applyFont="1" applyAlignment="1" applyProtection="1">
      <alignment wrapText="1"/>
    </xf>
    <xf numFmtId="0" fontId="62" fillId="0" borderId="0" xfId="0" applyFont="1" applyAlignment="1"/>
    <xf numFmtId="38" fontId="60" fillId="3" borderId="31" xfId="0" applyNumberFormat="1" applyFont="1" applyFill="1" applyBorder="1" applyAlignment="1" applyProtection="1">
      <alignment horizontal="right" vertical="center"/>
    </xf>
    <xf numFmtId="38" fontId="60" fillId="3" borderId="28" xfId="0" applyNumberFormat="1" applyFont="1" applyFill="1" applyBorder="1" applyAlignment="1" applyProtection="1">
      <alignment horizontal="right" vertical="center"/>
    </xf>
    <xf numFmtId="38" fontId="60" fillId="3" borderId="0" xfId="0" applyNumberFormat="1" applyFont="1" applyFill="1" applyAlignment="1" applyProtection="1">
      <alignment horizontal="right" vertical="center"/>
    </xf>
    <xf numFmtId="38" fontId="60" fillId="3" borderId="26" xfId="0" applyNumberFormat="1" applyFont="1" applyFill="1" applyBorder="1" applyAlignment="1" applyProtection="1">
      <alignment horizontal="right" vertical="center"/>
    </xf>
    <xf numFmtId="49" fontId="67" fillId="0" borderId="3" xfId="0" applyNumberFormat="1" applyFont="1" applyBorder="1" applyAlignment="1">
      <alignment horizontal="center" vertical="center"/>
    </xf>
    <xf numFmtId="49" fontId="59" fillId="0" borderId="3" xfId="0" applyNumberFormat="1" applyFont="1" applyBorder="1" applyAlignment="1">
      <alignment horizontal="center" vertical="center"/>
    </xf>
    <xf numFmtId="49" fontId="60" fillId="0" borderId="3" xfId="0" applyNumberFormat="1" applyFont="1" applyBorder="1" applyAlignment="1">
      <alignment horizontal="center" vertical="center"/>
    </xf>
    <xf numFmtId="49" fontId="69" fillId="0" borderId="26" xfId="0" applyNumberFormat="1" applyFont="1" applyBorder="1" applyAlignment="1">
      <alignment horizontal="center" vertical="center" wrapText="1"/>
    </xf>
    <xf numFmtId="3" fontId="59" fillId="0" borderId="26" xfId="0" applyNumberFormat="1" applyFont="1" applyBorder="1" applyAlignment="1">
      <alignment horizontal="center" vertical="center"/>
    </xf>
    <xf numFmtId="3" fontId="59" fillId="0" borderId="26" xfId="0" applyNumberFormat="1" applyFont="1" applyBorder="1" applyAlignment="1">
      <alignment horizontal="center" vertical="center" wrapText="1"/>
    </xf>
    <xf numFmtId="0" fontId="62" fillId="0" borderId="0" xfId="0" applyFont="1" applyAlignment="1">
      <alignment horizontal="center" vertical="top" wrapText="1"/>
    </xf>
    <xf numFmtId="0" fontId="62" fillId="0" borderId="0" xfId="0" applyFont="1" applyBorder="1" applyAlignment="1">
      <alignment vertical="center"/>
    </xf>
    <xf numFmtId="3" fontId="60" fillId="3" borderId="127" xfId="0" applyNumberFormat="1" applyFont="1" applyFill="1" applyBorder="1" applyAlignment="1">
      <alignment horizontal="center"/>
    </xf>
    <xf numFmtId="3" fontId="60" fillId="3" borderId="26" xfId="0" applyNumberFormat="1" applyFont="1" applyFill="1" applyBorder="1" applyAlignment="1">
      <alignment horizontal="center"/>
    </xf>
    <xf numFmtId="3" fontId="60" fillId="3" borderId="127" xfId="0" applyNumberFormat="1" applyFont="1" applyFill="1" applyBorder="1" applyAlignment="1">
      <alignment horizontal="right"/>
    </xf>
    <xf numFmtId="0" fontId="67" fillId="0" borderId="0" xfId="0" applyFont="1" applyBorder="1" applyAlignment="1"/>
    <xf numFmtId="49" fontId="67" fillId="0" borderId="2" xfId="0" applyNumberFormat="1" applyFont="1" applyBorder="1" applyAlignment="1">
      <alignment horizontal="center" vertical="center"/>
    </xf>
    <xf numFmtId="38" fontId="60" fillId="2" borderId="2" xfId="0" applyNumberFormat="1" applyFont="1" applyFill="1" applyBorder="1" applyAlignment="1">
      <alignment horizontal="right"/>
    </xf>
    <xf numFmtId="38" fontId="60" fillId="3" borderId="26" xfId="0" applyNumberFormat="1" applyFont="1" applyFill="1" applyBorder="1" applyAlignment="1">
      <alignment horizontal="right"/>
    </xf>
    <xf numFmtId="49" fontId="69" fillId="2" borderId="27" xfId="0" applyNumberFormat="1" applyFont="1" applyFill="1" applyBorder="1" applyAlignment="1">
      <alignment horizontal="center" vertical="center"/>
    </xf>
    <xf numFmtId="38" fontId="60" fillId="3" borderId="28" xfId="0" applyNumberFormat="1" applyFont="1" applyFill="1" applyBorder="1" applyAlignment="1">
      <alignment horizontal="right"/>
    </xf>
    <xf numFmtId="0" fontId="67" fillId="0" borderId="0" xfId="0" applyFont="1" applyFill="1" applyBorder="1" applyAlignment="1"/>
    <xf numFmtId="0" fontId="67" fillId="0" borderId="0" xfId="0" applyFont="1" applyFill="1"/>
    <xf numFmtId="3" fontId="69" fillId="3" borderId="13" xfId="0" applyNumberFormat="1" applyFont="1" applyFill="1" applyBorder="1" applyAlignment="1">
      <alignment horizontal="left" vertical="center" wrapText="1" indent="1"/>
    </xf>
    <xf numFmtId="49" fontId="69" fillId="3" borderId="14" xfId="0" applyNumberFormat="1" applyFont="1" applyFill="1" applyBorder="1" applyAlignment="1">
      <alignment horizontal="center" vertical="center"/>
    </xf>
    <xf numFmtId="38" fontId="60" fillId="3" borderId="4" xfId="0" applyNumberFormat="1" applyFont="1" applyFill="1" applyBorder="1" applyAlignment="1">
      <alignment horizontal="right"/>
    </xf>
    <xf numFmtId="164" fontId="69" fillId="3" borderId="125" xfId="0" applyNumberFormat="1" applyFont="1" applyFill="1" applyBorder="1" applyAlignment="1">
      <alignment horizontal="left" vertical="center" wrapText="1" indent="1"/>
    </xf>
    <xf numFmtId="49" fontId="69" fillId="3" borderId="31" xfId="0" applyNumberFormat="1" applyFont="1" applyFill="1" applyBorder="1" applyAlignment="1">
      <alignment horizontal="center" vertical="center"/>
    </xf>
    <xf numFmtId="38" fontId="60" fillId="3" borderId="29" xfId="0" applyNumberFormat="1" applyFont="1" applyFill="1" applyBorder="1" applyAlignment="1">
      <alignment horizontal="right"/>
    </xf>
    <xf numFmtId="49" fontId="67" fillId="0" borderId="3" xfId="0" applyNumberFormat="1" applyFont="1" applyBorder="1" applyAlignment="1">
      <alignment horizontal="center" vertical="center" wrapText="1"/>
    </xf>
    <xf numFmtId="49" fontId="67" fillId="0" borderId="2" xfId="0" applyNumberFormat="1" applyFont="1" applyBorder="1" applyAlignment="1">
      <alignment horizontal="center" vertical="top"/>
    </xf>
    <xf numFmtId="38" fontId="60" fillId="3" borderId="31" xfId="0" applyNumberFormat="1" applyFont="1" applyFill="1" applyBorder="1" applyAlignment="1">
      <alignment horizontal="right"/>
    </xf>
    <xf numFmtId="49" fontId="67" fillId="0" borderId="4" xfId="0" applyNumberFormat="1" applyFont="1" applyBorder="1" applyAlignment="1">
      <alignment horizontal="center" vertical="center"/>
    </xf>
    <xf numFmtId="49" fontId="69" fillId="3" borderId="11" xfId="0" applyNumberFormat="1" applyFont="1" applyFill="1" applyBorder="1" applyAlignment="1">
      <alignment horizontal="center" vertical="center"/>
    </xf>
    <xf numFmtId="49" fontId="67" fillId="0" borderId="33" xfId="0" applyNumberFormat="1" applyFont="1" applyFill="1" applyBorder="1" applyAlignment="1">
      <alignment horizontal="center" vertical="center"/>
    </xf>
    <xf numFmtId="0" fontId="67" fillId="0" borderId="0" xfId="0" applyFont="1" applyAlignment="1">
      <alignment vertical="center"/>
    </xf>
    <xf numFmtId="38" fontId="60" fillId="5" borderId="4" xfId="0" applyNumberFormat="1" applyFont="1" applyFill="1" applyBorder="1" applyAlignment="1" applyProtection="1">
      <alignment horizontal="right"/>
      <protection locked="0"/>
    </xf>
    <xf numFmtId="0" fontId="67" fillId="0" borderId="29" xfId="0" applyFont="1" applyFill="1" applyBorder="1" applyAlignment="1">
      <alignment horizontal="center" vertical="center"/>
    </xf>
    <xf numFmtId="38" fontId="60" fillId="6" borderId="28" xfId="0" applyNumberFormat="1" applyFont="1" applyFill="1" applyBorder="1" applyAlignment="1">
      <alignment horizontal="right"/>
    </xf>
    <xf numFmtId="0" fontId="67" fillId="0" borderId="4" xfId="0" applyFont="1" applyFill="1" applyBorder="1" applyAlignment="1">
      <alignment horizontal="center" vertical="center"/>
    </xf>
    <xf numFmtId="38" fontId="60" fillId="6" borderId="26" xfId="0" applyNumberFormat="1" applyFont="1" applyFill="1" applyBorder="1" applyAlignment="1">
      <alignment horizontal="right"/>
    </xf>
    <xf numFmtId="0" fontId="67" fillId="0" borderId="2" xfId="0" applyFont="1" applyFill="1" applyBorder="1" applyAlignment="1">
      <alignment horizontal="center" vertical="center"/>
    </xf>
    <xf numFmtId="0" fontId="67" fillId="0" borderId="127" xfId="0" applyFont="1" applyFill="1" applyBorder="1" applyAlignment="1">
      <alignment horizontal="center" vertical="center"/>
    </xf>
    <xf numFmtId="38" fontId="60" fillId="6" borderId="4" xfId="0" applyNumberFormat="1" applyFont="1" applyFill="1" applyBorder="1" applyAlignment="1">
      <alignment horizontal="right"/>
    </xf>
    <xf numFmtId="49" fontId="67" fillId="0" borderId="4" xfId="0" applyNumberFormat="1" applyFont="1" applyFill="1" applyBorder="1" applyAlignment="1">
      <alignment horizontal="center" vertical="center"/>
    </xf>
    <xf numFmtId="164" fontId="69" fillId="6" borderId="13" xfId="0" applyNumberFormat="1" applyFont="1" applyFill="1" applyBorder="1" applyAlignment="1">
      <alignment horizontal="left" vertical="center" wrapText="1" indent="1"/>
    </xf>
    <xf numFmtId="49" fontId="69" fillId="6" borderId="14" xfId="0" applyNumberFormat="1" applyFont="1" applyFill="1" applyBorder="1" applyAlignment="1">
      <alignment horizontal="center" vertical="center"/>
    </xf>
    <xf numFmtId="0" fontId="67" fillId="0" borderId="0" xfId="0" applyFont="1" applyAlignment="1"/>
    <xf numFmtId="49" fontId="69" fillId="0" borderId="29" xfId="0" applyNumberFormat="1" applyFont="1" applyFill="1" applyBorder="1" applyAlignment="1">
      <alignment horizontal="center" vertical="center"/>
    </xf>
    <xf numFmtId="3" fontId="69" fillId="0" borderId="13" xfId="0" applyNumberFormat="1" applyFont="1" applyBorder="1" applyAlignment="1">
      <alignment horizontal="left" vertical="top" wrapText="1" indent="2"/>
    </xf>
    <xf numFmtId="49" fontId="67" fillId="0" borderId="21" xfId="0" applyNumberFormat="1" applyFont="1" applyFill="1" applyBorder="1" applyAlignment="1">
      <alignment horizontal="left" vertical="top" indent="1"/>
    </xf>
    <xf numFmtId="38" fontId="60" fillId="0" borderId="21" xfId="0" applyNumberFormat="1" applyFont="1" applyFill="1" applyBorder="1" applyAlignment="1">
      <alignment horizontal="right"/>
    </xf>
    <xf numFmtId="0" fontId="60" fillId="0" borderId="0" xfId="0" applyFont="1" applyAlignment="1">
      <alignment vertical="center"/>
    </xf>
    <xf numFmtId="3" fontId="69" fillId="3" borderId="12" xfId="0" applyNumberFormat="1" applyFont="1" applyFill="1" applyBorder="1" applyAlignment="1">
      <alignment horizontal="left" vertical="center" wrapText="1" indent="1"/>
    </xf>
    <xf numFmtId="164" fontId="69" fillId="3" borderId="13" xfId="0" applyNumberFormat="1" applyFont="1" applyFill="1" applyBorder="1" applyAlignment="1">
      <alignment horizontal="left" vertical="center" wrapText="1" indent="1"/>
    </xf>
    <xf numFmtId="38" fontId="60" fillId="3" borderId="2" xfId="0" applyNumberFormat="1" applyFont="1" applyFill="1" applyBorder="1" applyAlignment="1">
      <alignment horizontal="right"/>
    </xf>
    <xf numFmtId="49" fontId="67" fillId="0" borderId="29" xfId="0" applyNumberFormat="1" applyFont="1" applyFill="1" applyBorder="1" applyAlignment="1">
      <alignment horizontal="center" vertical="center"/>
    </xf>
    <xf numFmtId="164" fontId="69" fillId="3" borderId="13" xfId="0" applyNumberFormat="1" applyFont="1" applyFill="1" applyBorder="1" applyAlignment="1" applyProtection="1">
      <alignment horizontal="left" vertical="center" wrapText="1" indent="1"/>
    </xf>
    <xf numFmtId="49" fontId="69" fillId="3" borderId="14" xfId="0" applyNumberFormat="1" applyFont="1" applyFill="1" applyBorder="1" applyAlignment="1" applyProtection="1">
      <alignment horizontal="center" vertical="center"/>
    </xf>
    <xf numFmtId="49" fontId="69" fillId="7" borderId="27" xfId="0" applyNumberFormat="1" applyFont="1" applyFill="1" applyBorder="1" applyAlignment="1">
      <alignment horizontal="center" vertical="center"/>
    </xf>
    <xf numFmtId="3" fontId="69" fillId="6" borderId="17" xfId="0" applyNumberFormat="1" applyFont="1" applyFill="1" applyBorder="1" applyAlignment="1">
      <alignment horizontal="left" vertical="center" wrapText="1" indent="1"/>
    </xf>
    <xf numFmtId="49" fontId="69" fillId="6" borderId="26" xfId="0" applyNumberFormat="1" applyFont="1" applyFill="1" applyBorder="1" applyAlignment="1">
      <alignment horizontal="center" vertical="center"/>
    </xf>
    <xf numFmtId="38" fontId="60" fillId="6" borderId="29" xfId="0" applyNumberFormat="1" applyFont="1" applyFill="1" applyBorder="1" applyAlignment="1">
      <alignment horizontal="right"/>
    </xf>
    <xf numFmtId="3" fontId="69" fillId="0" borderId="13" xfId="0" applyNumberFormat="1" applyFont="1" applyFill="1" applyBorder="1" applyAlignment="1">
      <alignment horizontal="left" vertical="top" wrapText="1" indent="2"/>
    </xf>
    <xf numFmtId="0" fontId="62" fillId="0" borderId="21" xfId="0" applyFont="1" applyFill="1" applyBorder="1" applyAlignment="1">
      <alignment horizontal="left" vertical="top" wrapText="1" indent="2"/>
    </xf>
    <xf numFmtId="0" fontId="62" fillId="0" borderId="0" xfId="0" applyFont="1" applyFill="1" applyBorder="1" applyAlignment="1"/>
    <xf numFmtId="0" fontId="62" fillId="0" borderId="0" xfId="0" applyFont="1" applyFill="1" applyBorder="1"/>
    <xf numFmtId="0" fontId="60" fillId="0" borderId="0" xfId="0" applyFont="1" applyBorder="1" applyAlignment="1"/>
    <xf numFmtId="0" fontId="60" fillId="0" borderId="0" xfId="0" applyFont="1"/>
    <xf numFmtId="3" fontId="69" fillId="3" borderId="125" xfId="0" applyNumberFormat="1" applyFont="1" applyFill="1" applyBorder="1" applyAlignment="1">
      <alignment horizontal="left" vertical="center" wrapText="1" indent="1"/>
    </xf>
    <xf numFmtId="49" fontId="69" fillId="3" borderId="29" xfId="0" applyNumberFormat="1" applyFont="1" applyFill="1" applyBorder="1" applyAlignment="1">
      <alignment horizontal="center" vertical="center"/>
    </xf>
    <xf numFmtId="49" fontId="69" fillId="3" borderId="4" xfId="0" applyNumberFormat="1" applyFont="1" applyFill="1" applyBorder="1" applyAlignment="1">
      <alignment horizontal="center" vertical="top"/>
    </xf>
    <xf numFmtId="49" fontId="69" fillId="3" borderId="2" xfId="0" applyNumberFormat="1" applyFont="1" applyFill="1" applyBorder="1" applyAlignment="1">
      <alignment horizontal="center" vertical="top"/>
    </xf>
    <xf numFmtId="49" fontId="67" fillId="0" borderId="21" xfId="0" applyNumberFormat="1" applyFont="1" applyFill="1" applyBorder="1" applyAlignment="1">
      <alignment horizontal="center" vertical="top"/>
    </xf>
    <xf numFmtId="0" fontId="62" fillId="0" borderId="0" xfId="0" applyFont="1" applyFill="1"/>
    <xf numFmtId="0" fontId="69" fillId="3" borderId="13" xfId="0" applyFont="1" applyFill="1" applyBorder="1" applyAlignment="1">
      <alignment horizontal="left" vertical="center" wrapText="1" indent="1"/>
    </xf>
    <xf numFmtId="49" fontId="69" fillId="3" borderId="126" xfId="0" applyNumberFormat="1" applyFont="1" applyFill="1" applyBorder="1" applyAlignment="1">
      <alignment horizontal="center" vertical="center"/>
    </xf>
    <xf numFmtId="49" fontId="67" fillId="0" borderId="127" xfId="0" applyNumberFormat="1" applyFont="1" applyBorder="1" applyAlignment="1">
      <alignment horizontal="center" vertical="center"/>
    </xf>
    <xf numFmtId="49" fontId="69" fillId="3" borderId="4" xfId="0" applyNumberFormat="1" applyFont="1" applyFill="1" applyBorder="1" applyAlignment="1">
      <alignment horizontal="center" vertical="center"/>
    </xf>
    <xf numFmtId="3" fontId="69" fillId="6" borderId="29" xfId="0" applyNumberFormat="1" applyFont="1" applyFill="1" applyBorder="1" applyAlignment="1">
      <alignment horizontal="left" vertical="center" wrapText="1" indent="1"/>
    </xf>
    <xf numFmtId="49" fontId="69" fillId="6" borderId="29" xfId="0" applyNumberFormat="1" applyFont="1" applyFill="1" applyBorder="1" applyAlignment="1">
      <alignment horizontal="center" vertical="center"/>
    </xf>
    <xf numFmtId="3" fontId="69" fillId="3" borderId="2" xfId="0" applyNumberFormat="1" applyFont="1" applyFill="1" applyBorder="1" applyAlignment="1">
      <alignment horizontal="left" vertical="center" wrapText="1" indent="1"/>
    </xf>
    <xf numFmtId="49" fontId="69" fillId="3" borderId="11" xfId="0" applyNumberFormat="1" applyFont="1" applyFill="1" applyBorder="1" applyAlignment="1">
      <alignment horizontal="center" vertical="center" wrapText="1"/>
    </xf>
    <xf numFmtId="49" fontId="67" fillId="0" borderId="3" xfId="0" applyNumberFormat="1" applyFont="1" applyBorder="1" applyAlignment="1">
      <alignment horizontal="center" vertical="top"/>
    </xf>
    <xf numFmtId="49" fontId="69" fillId="3" borderId="31" xfId="0" applyNumberFormat="1" applyFont="1" applyFill="1" applyBorder="1" applyAlignment="1">
      <alignment horizontal="center" vertical="center" wrapText="1"/>
    </xf>
    <xf numFmtId="49" fontId="67" fillId="0" borderId="2" xfId="0" applyNumberFormat="1" applyFont="1" applyBorder="1" applyAlignment="1">
      <alignment horizontal="center" vertical="center" wrapText="1"/>
    </xf>
    <xf numFmtId="38" fontId="60" fillId="3" borderId="127" xfId="0" applyNumberFormat="1" applyFont="1" applyFill="1" applyBorder="1" applyAlignment="1">
      <alignment horizontal="right"/>
    </xf>
    <xf numFmtId="38" fontId="60" fillId="3" borderId="3" xfId="0" applyNumberFormat="1" applyFont="1" applyFill="1" applyBorder="1" applyAlignment="1">
      <alignment horizontal="right"/>
    </xf>
    <xf numFmtId="164" fontId="69" fillId="3" borderId="17" xfId="0" applyNumberFormat="1" applyFont="1" applyFill="1" applyBorder="1" applyAlignment="1">
      <alignment horizontal="left" vertical="center" wrapText="1" indent="1"/>
    </xf>
    <xf numFmtId="0" fontId="67" fillId="0" borderId="2" xfId="0" applyFont="1" applyBorder="1" applyAlignment="1">
      <alignment horizontal="center" vertical="center"/>
    </xf>
    <xf numFmtId="49" fontId="67" fillId="0" borderId="2" xfId="0" applyNumberFormat="1" applyFont="1" applyFill="1" applyBorder="1" applyAlignment="1">
      <alignment horizontal="center" vertical="center"/>
    </xf>
    <xf numFmtId="3" fontId="69" fillId="0" borderId="125" xfId="0" applyNumberFormat="1" applyFont="1" applyFill="1" applyBorder="1" applyAlignment="1">
      <alignment horizontal="left" vertical="top" wrapText="1" indent="1"/>
    </xf>
    <xf numFmtId="0" fontId="62" fillId="0" borderId="20" xfId="0" applyFont="1" applyFill="1" applyBorder="1" applyAlignment="1">
      <alignment horizontal="left" vertical="top" wrapText="1"/>
    </xf>
    <xf numFmtId="38" fontId="60" fillId="0" borderId="20" xfId="0" applyNumberFormat="1" applyFont="1" applyFill="1" applyBorder="1" applyAlignment="1">
      <alignment horizontal="right"/>
    </xf>
    <xf numFmtId="38" fontId="60" fillId="0" borderId="0" xfId="0" applyNumberFormat="1" applyFont="1" applyFill="1" applyBorder="1" applyAlignment="1">
      <alignment horizontal="right"/>
    </xf>
    <xf numFmtId="0" fontId="69" fillId="6" borderId="12" xfId="0" applyFont="1" applyFill="1" applyBorder="1" applyAlignment="1">
      <alignment horizontal="left" vertical="center" wrapText="1" indent="1"/>
    </xf>
    <xf numFmtId="49" fontId="67" fillId="6" borderId="14" xfId="0" applyNumberFormat="1" applyFont="1" applyFill="1" applyBorder="1" applyAlignment="1">
      <alignment horizontal="center" vertical="center"/>
    </xf>
    <xf numFmtId="49" fontId="67" fillId="0" borderId="14" xfId="0" applyNumberFormat="1" applyFont="1" applyFill="1" applyBorder="1" applyAlignment="1">
      <alignment horizontal="center" vertical="center"/>
    </xf>
    <xf numFmtId="49" fontId="67" fillId="0" borderId="14" xfId="0" applyNumberFormat="1" applyFont="1" applyFill="1" applyBorder="1" applyAlignment="1">
      <alignment horizontal="center" vertical="top"/>
    </xf>
    <xf numFmtId="164" fontId="69" fillId="3" borderId="13" xfId="0" applyNumberFormat="1" applyFont="1" applyFill="1" applyBorder="1" applyAlignment="1">
      <alignment horizontal="left" vertical="top" wrapText="1" indent="1"/>
    </xf>
    <xf numFmtId="49" fontId="69" fillId="3" borderId="14" xfId="0" applyNumberFormat="1" applyFont="1" applyFill="1" applyBorder="1" applyAlignment="1">
      <alignment horizontal="center" vertical="top"/>
    </xf>
    <xf numFmtId="0" fontId="62" fillId="6" borderId="0" xfId="0" applyFont="1" applyFill="1" applyAlignment="1">
      <alignment vertical="center"/>
    </xf>
    <xf numFmtId="49" fontId="69" fillId="6" borderId="2" xfId="7" applyNumberFormat="1" applyFont="1" applyFill="1" applyBorder="1" applyAlignment="1">
      <alignment horizontal="left" vertical="center" wrapText="1" indent="1"/>
    </xf>
    <xf numFmtId="0" fontId="69" fillId="6" borderId="2" xfId="8" applyNumberFormat="1" applyFont="1" applyFill="1" applyBorder="1" applyAlignment="1">
      <alignment horizontal="center" vertical="top"/>
    </xf>
    <xf numFmtId="38" fontId="60" fillId="6" borderId="0" xfId="8" applyNumberFormat="1" applyFont="1" applyFill="1" applyBorder="1" applyAlignment="1" applyProtection="1">
      <alignment horizontal="right"/>
    </xf>
    <xf numFmtId="38" fontId="60" fillId="6" borderId="26" xfId="8" applyNumberFormat="1" applyFont="1" applyFill="1" applyBorder="1" applyAlignment="1" applyProtection="1">
      <alignment horizontal="right"/>
    </xf>
    <xf numFmtId="0" fontId="86" fillId="0" borderId="0" xfId="6" applyFont="1"/>
    <xf numFmtId="0" fontId="67" fillId="0" borderId="17" xfId="0" applyFont="1" applyBorder="1" applyAlignment="1">
      <alignment horizontal="left" vertical="center" wrapText="1"/>
    </xf>
    <xf numFmtId="49" fontId="67" fillId="0" borderId="0" xfId="0" applyNumberFormat="1" applyFont="1" applyAlignment="1">
      <alignment horizontal="center" vertical="center"/>
    </xf>
    <xf numFmtId="0" fontId="62" fillId="0" borderId="0" xfId="0" applyFont="1" applyAlignment="1">
      <alignment horizontal="right" vertical="center"/>
    </xf>
    <xf numFmtId="38" fontId="62" fillId="0" borderId="0" xfId="0" applyNumberFormat="1" applyFont="1" applyAlignment="1">
      <alignment horizontal="right" vertical="center"/>
    </xf>
    <xf numFmtId="38" fontId="62" fillId="0" borderId="0" xfId="0" applyNumberFormat="1" applyFont="1" applyFill="1" applyAlignment="1">
      <alignment horizontal="right" vertical="center"/>
    </xf>
    <xf numFmtId="38" fontId="69" fillId="6" borderId="3" xfId="0" applyNumberFormat="1" applyFont="1" applyFill="1" applyBorder="1" applyAlignment="1">
      <alignment horizontal="center" vertical="center" wrapText="1"/>
    </xf>
    <xf numFmtId="0" fontId="67" fillId="0" borderId="2" xfId="0" applyFont="1" applyBorder="1" applyAlignment="1">
      <alignment horizontal="left" vertical="center" wrapText="1" indent="1"/>
    </xf>
    <xf numFmtId="38" fontId="62" fillId="0" borderId="0" xfId="0" applyNumberFormat="1" applyFont="1"/>
    <xf numFmtId="0" fontId="78" fillId="0" borderId="0" xfId="0" applyFont="1" applyAlignment="1">
      <alignment horizontal="left" indent="2"/>
    </xf>
    <xf numFmtId="0" fontId="78" fillId="0" borderId="0" xfId="0" applyFont="1" applyAlignment="1">
      <alignment horizontal="left"/>
    </xf>
    <xf numFmtId="0" fontId="78" fillId="0" borderId="0" xfId="0" applyFont="1" applyAlignment="1">
      <alignment horizontal="left" vertical="top" indent="2"/>
    </xf>
    <xf numFmtId="0" fontId="78" fillId="0" borderId="0" xfId="0" applyFont="1" applyAlignment="1">
      <alignment horizontal="left" vertical="top"/>
    </xf>
    <xf numFmtId="49" fontId="67" fillId="0" borderId="0" xfId="0" applyNumberFormat="1" applyFont="1" applyFill="1" applyBorder="1" applyAlignment="1" applyProtection="1">
      <alignment horizontal="left" vertical="center"/>
    </xf>
    <xf numFmtId="49" fontId="67" fillId="0" borderId="0" xfId="0" applyNumberFormat="1" applyFont="1" applyAlignment="1" applyProtection="1">
      <alignment horizontal="left" vertical="center"/>
    </xf>
    <xf numFmtId="49" fontId="69" fillId="0" borderId="2" xfId="0" applyNumberFormat="1" applyFont="1" applyFill="1" applyBorder="1" applyAlignment="1" applyProtection="1">
      <alignment horizontal="center" vertical="center" wrapText="1"/>
    </xf>
    <xf numFmtId="49" fontId="67" fillId="0" borderId="13" xfId="0" applyNumberFormat="1" applyFont="1" applyBorder="1" applyAlignment="1" applyProtection="1">
      <alignment horizontal="left" vertical="center" indent="1"/>
    </xf>
    <xf numFmtId="49" fontId="67" fillId="0" borderId="21" xfId="0" applyNumberFormat="1" applyFont="1" applyBorder="1" applyAlignment="1" applyProtection="1">
      <alignment horizontal="left" vertical="center"/>
    </xf>
    <xf numFmtId="38" fontId="60" fillId="0" borderId="2" xfId="0" applyNumberFormat="1" applyFont="1" applyBorder="1" applyAlignment="1" applyProtection="1">
      <alignment horizontal="right" vertical="center"/>
      <protection locked="0"/>
    </xf>
    <xf numFmtId="38" fontId="60" fillId="3" borderId="0" xfId="0" applyNumberFormat="1" applyFont="1" applyFill="1" applyBorder="1" applyAlignment="1" applyProtection="1">
      <alignment horizontal="right" vertical="center"/>
    </xf>
    <xf numFmtId="38" fontId="60" fillId="3" borderId="18" xfId="0" applyNumberFormat="1" applyFont="1" applyFill="1" applyBorder="1" applyAlignment="1" applyProtection="1">
      <alignment horizontal="right" vertical="center"/>
    </xf>
    <xf numFmtId="0" fontId="86" fillId="0" borderId="0" xfId="9" applyFont="1" applyFill="1"/>
    <xf numFmtId="49" fontId="69" fillId="0" borderId="2" xfId="9" applyNumberFormat="1" applyFont="1" applyFill="1" applyBorder="1" applyAlignment="1">
      <alignment horizontal="center" vertical="center" wrapText="1"/>
    </xf>
    <xf numFmtId="0" fontId="62" fillId="0" borderId="0" xfId="9" applyFont="1" applyFill="1"/>
    <xf numFmtId="164" fontId="67" fillId="0" borderId="2" xfId="9" applyNumberFormat="1" applyFont="1" applyFill="1" applyBorder="1" applyAlignment="1" applyProtection="1">
      <alignment horizontal="left" vertical="center"/>
      <protection locked="0"/>
    </xf>
    <xf numFmtId="177" fontId="67" fillId="0" borderId="2" xfId="9" applyNumberFormat="1" applyFont="1" applyFill="1" applyBorder="1" applyAlignment="1" applyProtection="1">
      <alignment horizontal="right"/>
      <protection locked="0"/>
    </xf>
    <xf numFmtId="38" fontId="60" fillId="0" borderId="2" xfId="9" applyNumberFormat="1" applyFont="1" applyFill="1" applyBorder="1" applyAlignment="1" applyProtection="1">
      <alignment horizontal="right"/>
      <protection locked="0"/>
    </xf>
    <xf numFmtId="3" fontId="60" fillId="0" borderId="2" xfId="9" applyNumberFormat="1" applyFont="1" applyFill="1" applyBorder="1" applyAlignment="1" applyProtection="1">
      <alignment horizontal="right" vertical="center"/>
      <protection locked="0"/>
    </xf>
    <xf numFmtId="0" fontId="62" fillId="0" borderId="0" xfId="9" applyFont="1" applyFill="1" applyAlignment="1"/>
    <xf numFmtId="0" fontId="67" fillId="0" borderId="0" xfId="9" applyFont="1" applyFill="1" applyAlignment="1"/>
    <xf numFmtId="38" fontId="60" fillId="0" borderId="2" xfId="9" applyNumberFormat="1" applyFont="1" applyFill="1" applyBorder="1" applyAlignment="1" applyProtection="1">
      <alignment horizontal="right" vertical="center"/>
      <protection locked="0"/>
    </xf>
    <xf numFmtId="0" fontId="86" fillId="0" borderId="0" xfId="9" applyFont="1" applyFill="1" applyAlignment="1">
      <alignment vertical="top"/>
    </xf>
    <xf numFmtId="0" fontId="60" fillId="0" borderId="2" xfId="0" applyFont="1" applyFill="1" applyBorder="1" applyAlignment="1" applyProtection="1">
      <alignment horizontal="right"/>
      <protection locked="0"/>
    </xf>
    <xf numFmtId="0" fontId="60" fillId="0" borderId="2" xfId="9" applyFont="1" applyFill="1" applyBorder="1" applyAlignment="1" applyProtection="1">
      <alignment horizontal="right" vertical="top"/>
      <protection locked="0"/>
    </xf>
    <xf numFmtId="38" fontId="60" fillId="0" borderId="2" xfId="9" applyNumberFormat="1" applyFont="1" applyFill="1" applyBorder="1" applyAlignment="1" applyProtection="1">
      <alignment horizontal="right" vertical="top"/>
      <protection locked="0"/>
    </xf>
    <xf numFmtId="38" fontId="60" fillId="0" borderId="2" xfId="9" quotePrefix="1" applyNumberFormat="1" applyFont="1" applyFill="1" applyBorder="1" applyAlignment="1" applyProtection="1">
      <alignment horizontal="right"/>
      <protection locked="0"/>
    </xf>
    <xf numFmtId="0" fontId="67" fillId="0" borderId="0" xfId="9" applyFont="1" applyFill="1" applyBorder="1" applyAlignment="1"/>
    <xf numFmtId="38" fontId="60" fillId="6" borderId="2" xfId="9" applyNumberFormat="1" applyFont="1" applyFill="1" applyBorder="1" applyAlignment="1" applyProtection="1">
      <alignment horizontal="right"/>
    </xf>
    <xf numFmtId="0" fontId="86" fillId="0" borderId="0" xfId="9" applyFont="1" applyFill="1" applyAlignment="1"/>
    <xf numFmtId="0" fontId="67" fillId="0" borderId="0" xfId="9" applyFont="1" applyFill="1" applyAlignment="1">
      <alignment vertical="top"/>
    </xf>
    <xf numFmtId="0" fontId="67" fillId="0" borderId="0" xfId="9" applyFont="1" applyFill="1" applyAlignment="1">
      <alignment horizontal="left" indent="1"/>
    </xf>
    <xf numFmtId="49" fontId="67" fillId="0" borderId="0" xfId="9" applyNumberFormat="1" applyFont="1" applyFill="1" applyAlignment="1">
      <alignment horizontal="right" vertical="center"/>
    </xf>
    <xf numFmtId="0" fontId="67" fillId="0" borderId="0" xfId="9" applyFont="1" applyFill="1" applyAlignment="1">
      <alignment horizontal="left" vertical="center" indent="1"/>
    </xf>
    <xf numFmtId="0" fontId="67" fillId="0" borderId="0" xfId="9" applyFont="1" applyFill="1" applyAlignment="1">
      <alignment vertical="center"/>
    </xf>
    <xf numFmtId="0" fontId="67" fillId="0" borderId="0" xfId="9" applyFont="1" applyFill="1" applyAlignment="1">
      <alignment horizontal="left" vertical="top" indent="1"/>
    </xf>
    <xf numFmtId="0" fontId="67" fillId="0" borderId="0" xfId="9" applyFont="1" applyFill="1" applyAlignment="1">
      <alignment horizontal="left"/>
    </xf>
    <xf numFmtId="0" fontId="86" fillId="0" borderId="0" xfId="9" applyFont="1" applyFill="1" applyBorder="1" applyAlignment="1">
      <alignment horizontal="left" vertical="center"/>
    </xf>
    <xf numFmtId="0" fontId="67" fillId="0" borderId="0" xfId="9" applyFont="1" applyFill="1" applyBorder="1" applyAlignment="1">
      <alignment horizontal="left"/>
    </xf>
    <xf numFmtId="49" fontId="67" fillId="0" borderId="0" xfId="9" applyNumberFormat="1" applyFont="1" applyFill="1" applyBorder="1" applyAlignment="1">
      <alignment horizontal="right"/>
    </xf>
    <xf numFmtId="0" fontId="62" fillId="0" borderId="15" xfId="9" applyFont="1" applyFill="1" applyBorder="1" applyAlignment="1" applyProtection="1">
      <protection locked="0"/>
    </xf>
    <xf numFmtId="49" fontId="67" fillId="0" borderId="0" xfId="9" applyNumberFormat="1" applyFont="1" applyFill="1" applyAlignment="1">
      <alignment horizontal="left" vertical="center"/>
    </xf>
    <xf numFmtId="49" fontId="78" fillId="0" borderId="0" xfId="9" applyNumberFormat="1" applyFont="1" applyFill="1" applyAlignment="1">
      <alignment horizontal="left" vertical="center"/>
    </xf>
    <xf numFmtId="0" fontId="69" fillId="0" borderId="9" xfId="0" applyFont="1" applyBorder="1" applyAlignment="1" applyProtection="1">
      <alignment horizontal="center" vertical="center" wrapText="1"/>
    </xf>
    <xf numFmtId="0" fontId="69" fillId="0" borderId="22" xfId="0" applyFont="1" applyFill="1" applyBorder="1" applyAlignment="1" applyProtection="1">
      <alignment horizontal="center" vertical="center"/>
    </xf>
    <xf numFmtId="0" fontId="69" fillId="0" borderId="22" xfId="0" applyFont="1" applyFill="1" applyBorder="1" applyAlignment="1" applyProtection="1">
      <alignment horizontal="center" vertical="center" wrapText="1"/>
    </xf>
    <xf numFmtId="0" fontId="62" fillId="0" borderId="7" xfId="0" applyFont="1" applyBorder="1" applyAlignment="1" applyProtection="1">
      <alignment vertical="center"/>
    </xf>
    <xf numFmtId="38" fontId="60" fillId="0" borderId="22" xfId="0" applyNumberFormat="1" applyFont="1" applyBorder="1" applyAlignment="1" applyProtection="1">
      <alignment vertical="center"/>
      <protection locked="0"/>
    </xf>
    <xf numFmtId="38" fontId="60" fillId="0" borderId="22" xfId="0" applyNumberFormat="1" applyFont="1" applyFill="1" applyBorder="1" applyAlignment="1" applyProtection="1">
      <alignment horizontal="right" vertical="center"/>
      <protection locked="0"/>
    </xf>
    <xf numFmtId="0" fontId="62" fillId="6" borderId="7" xfId="0" applyFont="1" applyFill="1" applyBorder="1" applyAlignment="1" applyProtection="1">
      <alignment vertical="center"/>
    </xf>
    <xf numFmtId="38" fontId="60" fillId="6" borderId="45" xfId="0" applyNumberFormat="1" applyFont="1" applyFill="1" applyBorder="1" applyAlignment="1" applyProtection="1">
      <alignment vertical="center"/>
    </xf>
    <xf numFmtId="38" fontId="60" fillId="6" borderId="22" xfId="0" applyNumberFormat="1" applyFont="1" applyFill="1" applyBorder="1" applyAlignment="1" applyProtection="1">
      <alignment vertical="center"/>
    </xf>
    <xf numFmtId="38" fontId="60" fillId="6" borderId="45" xfId="0" applyNumberFormat="1" applyFont="1" applyFill="1" applyBorder="1" applyAlignment="1" applyProtection="1">
      <alignment horizontal="right" vertical="center"/>
    </xf>
    <xf numFmtId="49" fontId="67" fillId="0" borderId="7" xfId="0" applyNumberFormat="1" applyFont="1" applyBorder="1" applyAlignment="1" applyProtection="1">
      <alignment horizontal="center" vertical="center" wrapText="1"/>
    </xf>
    <xf numFmtId="38" fontId="60" fillId="6" borderId="8" xfId="0" applyNumberFormat="1" applyFont="1" applyFill="1" applyBorder="1" applyAlignment="1" applyProtection="1">
      <alignment vertical="center"/>
    </xf>
    <xf numFmtId="38" fontId="60" fillId="0" borderId="22" xfId="0" applyNumberFormat="1" applyFont="1" applyFill="1" applyBorder="1" applyAlignment="1" applyProtection="1">
      <alignment vertical="center"/>
      <protection locked="0"/>
    </xf>
    <xf numFmtId="38" fontId="60" fillId="6" borderId="8" xfId="0" applyNumberFormat="1" applyFont="1" applyFill="1" applyBorder="1" applyAlignment="1" applyProtection="1">
      <alignment horizontal="right" vertical="center"/>
    </xf>
    <xf numFmtId="0" fontId="67" fillId="0" borderId="46" xfId="0" applyFont="1" applyBorder="1" applyAlignment="1" applyProtection="1">
      <alignment horizontal="left" indent="1"/>
    </xf>
    <xf numFmtId="0" fontId="67" fillId="0" borderId="6" xfId="0" applyFont="1" applyBorder="1" applyAlignment="1" applyProtection="1">
      <alignment horizontal="left" indent="1"/>
    </xf>
    <xf numFmtId="0" fontId="62" fillId="0" borderId="7" xfId="0" applyFont="1" applyBorder="1" applyAlignment="1">
      <alignment horizontal="left" indent="1"/>
    </xf>
    <xf numFmtId="49" fontId="67" fillId="0" borderId="7" xfId="0" applyNumberFormat="1" applyFont="1" applyBorder="1" applyAlignment="1" applyProtection="1">
      <alignment horizontal="center" vertical="center"/>
    </xf>
    <xf numFmtId="0" fontId="67" fillId="0" borderId="46" xfId="0" applyFont="1" applyBorder="1" applyAlignment="1" applyProtection="1">
      <alignment horizontal="left" vertical="center" indent="1"/>
    </xf>
    <xf numFmtId="0" fontId="67" fillId="0" borderId="6" xfId="0" applyFont="1" applyBorder="1" applyAlignment="1" applyProtection="1">
      <alignment horizontal="left" vertical="center" wrapText="1" indent="1"/>
    </xf>
    <xf numFmtId="0" fontId="62" fillId="0" borderId="7" xfId="0" applyFont="1" applyBorder="1" applyAlignment="1">
      <alignment horizontal="left" wrapText="1" indent="1"/>
    </xf>
    <xf numFmtId="38" fontId="60" fillId="6" borderId="22" xfId="0" applyNumberFormat="1" applyFont="1" applyFill="1" applyBorder="1" applyAlignment="1" applyProtection="1">
      <alignment horizontal="right" vertical="center"/>
    </xf>
    <xf numFmtId="38" fontId="60" fillId="6" borderId="44" xfId="0" applyNumberFormat="1" applyFont="1" applyFill="1" applyBorder="1" applyAlignment="1" applyProtection="1">
      <alignment vertical="center"/>
    </xf>
    <xf numFmtId="49" fontId="67" fillId="0" borderId="6" xfId="0" applyNumberFormat="1" applyFont="1" applyBorder="1" applyAlignment="1" applyProtection="1">
      <alignment horizontal="center" vertical="center"/>
    </xf>
    <xf numFmtId="38" fontId="60" fillId="0" borderId="7" xfId="0" applyNumberFormat="1" applyFont="1" applyBorder="1" applyAlignment="1" applyProtection="1">
      <alignment vertical="center"/>
      <protection locked="0"/>
    </xf>
    <xf numFmtId="49" fontId="67" fillId="6" borderId="59" xfId="0" applyNumberFormat="1" applyFont="1" applyFill="1" applyBorder="1" applyAlignment="1" applyProtection="1">
      <alignment horizontal="center" vertical="center"/>
    </xf>
    <xf numFmtId="0" fontId="60" fillId="6" borderId="42" xfId="0" applyFont="1" applyFill="1" applyBorder="1" applyAlignment="1" applyProtection="1">
      <alignment horizontal="right" vertical="center"/>
    </xf>
    <xf numFmtId="0" fontId="60" fillId="6" borderId="43" xfId="0" applyFont="1" applyFill="1" applyBorder="1" applyAlignment="1" applyProtection="1">
      <alignment horizontal="right" vertical="center"/>
    </xf>
    <xf numFmtId="0" fontId="60" fillId="6" borderId="40" xfId="0" applyFont="1" applyFill="1" applyBorder="1" applyAlignment="1" applyProtection="1">
      <alignment horizontal="right" vertical="center"/>
    </xf>
    <xf numFmtId="49" fontId="67" fillId="0" borderId="22" xfId="0" applyNumberFormat="1" applyFont="1" applyBorder="1" applyAlignment="1" applyProtection="1">
      <alignment horizontal="center" vertical="center"/>
    </xf>
    <xf numFmtId="49" fontId="67" fillId="3" borderId="22" xfId="0" applyNumberFormat="1" applyFont="1" applyFill="1" applyBorder="1" applyAlignment="1" applyProtection="1">
      <alignment horizontal="center" vertical="center"/>
    </xf>
    <xf numFmtId="38" fontId="60" fillId="3" borderId="45" xfId="0" applyNumberFormat="1" applyFont="1" applyFill="1" applyBorder="1" applyAlignment="1" applyProtection="1">
      <alignment vertical="center"/>
    </xf>
    <xf numFmtId="38" fontId="60" fillId="3" borderId="44" xfId="0" applyNumberFormat="1" applyFont="1" applyFill="1" applyBorder="1" applyAlignment="1" applyProtection="1">
      <alignment vertical="center"/>
    </xf>
    <xf numFmtId="38" fontId="60" fillId="3" borderId="8" xfId="0" applyNumberFormat="1" applyFont="1" applyFill="1" applyBorder="1" applyAlignment="1" applyProtection="1">
      <alignment horizontal="right" vertical="center"/>
    </xf>
    <xf numFmtId="38" fontId="60" fillId="3" borderId="44" xfId="0" applyNumberFormat="1" applyFont="1" applyFill="1" applyBorder="1" applyAlignment="1" applyProtection="1">
      <alignment horizontal="right" vertical="center"/>
    </xf>
    <xf numFmtId="38" fontId="60" fillId="6" borderId="44" xfId="0" applyNumberFormat="1" applyFont="1" applyFill="1" applyBorder="1" applyAlignment="1" applyProtection="1">
      <alignment horizontal="right" vertical="center"/>
    </xf>
    <xf numFmtId="38" fontId="60" fillId="3" borderId="8" xfId="0" applyNumberFormat="1" applyFont="1" applyFill="1" applyBorder="1" applyAlignment="1" applyProtection="1">
      <alignment vertical="center"/>
    </xf>
    <xf numFmtId="38" fontId="60" fillId="0" borderId="8" xfId="0" applyNumberFormat="1" applyFont="1" applyFill="1" applyBorder="1" applyAlignment="1" applyProtection="1">
      <alignment horizontal="right" vertical="center"/>
      <protection locked="0"/>
    </xf>
    <xf numFmtId="0" fontId="69" fillId="0" borderId="46" xfId="0" applyFont="1" applyFill="1" applyBorder="1" applyAlignment="1">
      <alignment horizontal="left" indent="2"/>
    </xf>
    <xf numFmtId="0" fontId="69" fillId="0" borderId="6" xfId="0" applyFont="1" applyFill="1" applyBorder="1" applyAlignment="1" applyProtection="1">
      <alignment horizontal="left" vertical="center"/>
    </xf>
    <xf numFmtId="0" fontId="62" fillId="0" borderId="7" xfId="0" applyFont="1" applyBorder="1" applyAlignment="1" applyProtection="1"/>
    <xf numFmtId="0" fontId="67" fillId="0" borderId="22" xfId="0" applyFont="1" applyFill="1" applyBorder="1" applyAlignment="1">
      <alignment horizontal="center" wrapText="1"/>
    </xf>
    <xf numFmtId="38" fontId="60" fillId="0" borderId="8" xfId="0" applyNumberFormat="1" applyFont="1" applyFill="1" applyBorder="1" applyAlignment="1" applyProtection="1">
      <alignment vertical="center"/>
      <protection locked="0"/>
    </xf>
    <xf numFmtId="0" fontId="60" fillId="0" borderId="50" xfId="0" applyFont="1" applyBorder="1" applyAlignment="1" applyProtection="1">
      <alignment vertical="center"/>
    </xf>
    <xf numFmtId="0" fontId="62" fillId="0" borderId="9" xfId="0" applyFont="1" applyBorder="1" applyProtection="1"/>
    <xf numFmtId="0" fontId="62" fillId="0" borderId="40" xfId="0" applyFont="1" applyBorder="1" applyProtection="1"/>
    <xf numFmtId="0" fontId="70" fillId="0" borderId="0" xfId="0" applyFont="1" applyBorder="1" applyAlignment="1" applyProtection="1">
      <alignment horizontal="center"/>
    </xf>
    <xf numFmtId="0" fontId="70" fillId="0" borderId="22" xfId="0" applyFont="1" applyBorder="1" applyAlignment="1" applyProtection="1">
      <alignment horizontal="center"/>
      <protection locked="0"/>
    </xf>
    <xf numFmtId="0" fontId="67" fillId="0" borderId="0" xfId="0" applyFont="1" applyAlignment="1" applyProtection="1">
      <alignment horizontal="left" vertical="center" indent="1"/>
    </xf>
    <xf numFmtId="0" fontId="67" fillId="0" borderId="5" xfId="0" applyFont="1" applyBorder="1" applyAlignment="1" applyProtection="1">
      <alignment vertical="center"/>
    </xf>
    <xf numFmtId="0" fontId="67" fillId="0" borderId="0" xfId="0" applyFont="1" applyAlignment="1" applyProtection="1">
      <alignment horizontal="left" indent="1"/>
    </xf>
    <xf numFmtId="0" fontId="67" fillId="0" borderId="22" xfId="0" applyFont="1" applyBorder="1" applyAlignment="1" applyProtection="1">
      <alignment horizontal="left" vertical="center"/>
    </xf>
    <xf numFmtId="0" fontId="78" fillId="0" borderId="5" xfId="0" applyFont="1" applyBorder="1" applyAlignment="1" applyProtection="1"/>
    <xf numFmtId="0" fontId="60" fillId="0" borderId="40" xfId="0" applyFont="1" applyBorder="1" applyAlignment="1" applyProtection="1">
      <alignment vertical="center"/>
    </xf>
    <xf numFmtId="0" fontId="78" fillId="0" borderId="5" xfId="0" applyFont="1" applyBorder="1" applyAlignment="1" applyProtection="1">
      <alignment vertical="top"/>
    </xf>
    <xf numFmtId="0" fontId="62" fillId="6" borderId="6" xfId="0" applyFont="1" applyFill="1" applyBorder="1" applyProtection="1"/>
    <xf numFmtId="0" fontId="60" fillId="6" borderId="22" xfId="0" applyFont="1" applyFill="1" applyBorder="1" applyAlignment="1" applyProtection="1">
      <alignment vertical="center"/>
    </xf>
    <xf numFmtId="0" fontId="99" fillId="0" borderId="0" xfId="0" applyFont="1" applyAlignment="1" applyProtection="1">
      <alignment horizontal="left" indent="2"/>
    </xf>
    <xf numFmtId="0" fontId="67" fillId="0" borderId="6" xfId="0" applyFont="1" applyBorder="1" applyAlignment="1" applyProtection="1">
      <alignment vertical="center"/>
    </xf>
    <xf numFmtId="0" fontId="67" fillId="0" borderId="7" xfId="0" applyFont="1" applyBorder="1" applyAlignment="1" applyProtection="1">
      <alignment vertical="center"/>
    </xf>
    <xf numFmtId="0" fontId="67" fillId="0" borderId="6" xfId="0" applyFont="1" applyBorder="1" applyAlignment="1" applyProtection="1">
      <alignment horizontal="left" vertical="center" indent="1"/>
    </xf>
    <xf numFmtId="0" fontId="99" fillId="0" borderId="0" xfId="0" applyFont="1" applyAlignment="1" applyProtection="1">
      <alignment horizontal="left" vertical="top"/>
    </xf>
    <xf numFmtId="0" fontId="67" fillId="0" borderId="0" xfId="0" applyFont="1" applyAlignment="1" applyProtection="1">
      <alignment vertical="top"/>
    </xf>
    <xf numFmtId="0" fontId="62" fillId="0" borderId="0" xfId="0" applyFont="1" applyAlignment="1" applyProtection="1">
      <alignment vertical="top"/>
    </xf>
    <xf numFmtId="0" fontId="62" fillId="0" borderId="0" xfId="0" applyFont="1" applyBorder="1" applyAlignment="1" applyProtection="1">
      <alignment vertical="top"/>
    </xf>
    <xf numFmtId="0" fontId="69" fillId="6" borderId="46" xfId="0" applyFont="1" applyFill="1" applyBorder="1" applyAlignment="1" applyProtection="1">
      <alignment vertical="center"/>
    </xf>
    <xf numFmtId="0" fontId="84" fillId="0" borderId="50" xfId="0" applyFont="1" applyFill="1" applyBorder="1" applyAlignment="1" applyProtection="1">
      <alignment horizontal="left" indent="2"/>
    </xf>
    <xf numFmtId="0" fontId="62" fillId="0" borderId="9" xfId="0" applyFont="1" applyBorder="1" applyAlignment="1">
      <alignment horizontal="left" vertical="center"/>
    </xf>
    <xf numFmtId="0" fontId="62" fillId="0" borderId="9" xfId="0" applyFont="1" applyFill="1" applyBorder="1" applyAlignment="1" applyProtection="1">
      <alignment vertical="center"/>
    </xf>
    <xf numFmtId="0" fontId="59" fillId="0" borderId="9" xfId="0" applyFont="1" applyFill="1" applyBorder="1" applyAlignment="1" applyProtection="1">
      <alignment horizontal="left" vertical="center"/>
    </xf>
    <xf numFmtId="0" fontId="62" fillId="0" borderId="9" xfId="0" applyFont="1" applyFill="1" applyBorder="1" applyAlignment="1">
      <alignment horizontal="left" vertical="center"/>
    </xf>
    <xf numFmtId="0" fontId="69" fillId="0" borderId="50" xfId="0" applyFont="1" applyBorder="1" applyAlignment="1" applyProtection="1">
      <alignment horizontal="center" vertical="center" wrapText="1"/>
    </xf>
    <xf numFmtId="0" fontId="69" fillId="0" borderId="8" xfId="0" applyFont="1" applyBorder="1" applyAlignment="1" applyProtection="1">
      <alignment horizontal="center" vertical="center" wrapText="1"/>
    </xf>
    <xf numFmtId="0" fontId="59" fillId="0" borderId="8" xfId="0" applyFont="1" applyBorder="1" applyAlignment="1" applyProtection="1">
      <alignment horizontal="center" vertical="center" wrapText="1"/>
    </xf>
    <xf numFmtId="0" fontId="62" fillId="0" borderId="0" xfId="0" applyFont="1" applyAlignment="1" applyProtection="1">
      <alignment horizontal="center" vertical="center" wrapText="1"/>
    </xf>
    <xf numFmtId="38" fontId="60" fillId="0" borderId="44" xfId="0" applyNumberFormat="1" applyFont="1" applyFill="1" applyBorder="1" applyAlignment="1" applyProtection="1">
      <alignment horizontal="right" vertical="center"/>
      <protection locked="0"/>
    </xf>
    <xf numFmtId="0" fontId="69" fillId="6" borderId="44" xfId="0" applyFont="1" applyFill="1" applyBorder="1" applyAlignment="1" applyProtection="1">
      <alignment horizontal="center" vertical="center" wrapText="1"/>
    </xf>
    <xf numFmtId="38" fontId="69" fillId="6" borderId="44" xfId="0" quotePrefix="1" applyNumberFormat="1" applyFont="1" applyFill="1" applyBorder="1" applyAlignment="1" applyProtection="1">
      <alignment horizontal="center" vertical="center"/>
    </xf>
    <xf numFmtId="49" fontId="60" fillId="6" borderId="45" xfId="0" applyNumberFormat="1" applyFont="1" applyFill="1" applyBorder="1" applyAlignment="1" applyProtection="1">
      <alignment horizontal="right" vertical="center"/>
    </xf>
    <xf numFmtId="49" fontId="60" fillId="6" borderId="44" xfId="0" applyNumberFormat="1" applyFont="1" applyFill="1" applyBorder="1" applyAlignment="1" applyProtection="1">
      <alignment horizontal="right" vertical="center"/>
    </xf>
    <xf numFmtId="0" fontId="67" fillId="0" borderId="22" xfId="0" applyFont="1" applyBorder="1" applyAlignment="1" applyProtection="1">
      <alignment horizontal="center" vertical="center"/>
    </xf>
    <xf numFmtId="38" fontId="60" fillId="0" borderId="8" xfId="0" applyNumberFormat="1" applyFont="1" applyBorder="1" applyAlignment="1" applyProtection="1">
      <alignment horizontal="right" vertical="center"/>
      <protection locked="0"/>
    </xf>
    <xf numFmtId="49" fontId="60" fillId="3" borderId="8" xfId="0" applyNumberFormat="1" applyFont="1" applyFill="1" applyBorder="1" applyAlignment="1" applyProtection="1">
      <alignment horizontal="right" vertical="center"/>
    </xf>
    <xf numFmtId="38" fontId="69" fillId="6" borderId="44" xfId="0" applyNumberFormat="1" applyFont="1" applyFill="1" applyBorder="1" applyAlignment="1" applyProtection="1">
      <alignment horizontal="center" vertical="center"/>
    </xf>
    <xf numFmtId="38" fontId="60" fillId="0" borderId="22" xfId="0" applyNumberFormat="1" applyFont="1" applyBorder="1" applyAlignment="1" applyProtection="1">
      <alignment horizontal="right" vertical="center"/>
      <protection locked="0"/>
    </xf>
    <xf numFmtId="0" fontId="67" fillId="0" borderId="46" xfId="0" applyFont="1" applyBorder="1" applyAlignment="1" applyProtection="1">
      <alignment horizontal="left" vertical="center" wrapText="1" indent="1"/>
    </xf>
    <xf numFmtId="38" fontId="60" fillId="0" borderId="22" xfId="0" applyNumberFormat="1" applyFont="1" applyBorder="1" applyAlignment="1" applyProtection="1">
      <alignment horizontal="right"/>
      <protection locked="0"/>
    </xf>
    <xf numFmtId="38" fontId="60" fillId="0" borderId="22" xfId="0" applyNumberFormat="1" applyFont="1" applyFill="1" applyBorder="1" applyAlignment="1" applyProtection="1">
      <alignment horizontal="right"/>
      <protection locked="0"/>
    </xf>
    <xf numFmtId="0" fontId="67" fillId="0" borderId="46" xfId="0" applyFont="1" applyBorder="1" applyAlignment="1" applyProtection="1">
      <alignment horizontal="left" vertical="center" wrapText="1" indent="2"/>
    </xf>
    <xf numFmtId="49" fontId="69" fillId="6" borderId="44" xfId="0" applyNumberFormat="1" applyFont="1" applyFill="1" applyBorder="1" applyAlignment="1" applyProtection="1">
      <alignment horizontal="center" vertical="center"/>
    </xf>
    <xf numFmtId="38" fontId="60" fillId="6" borderId="43" xfId="0" applyNumberFormat="1" applyFont="1" applyFill="1" applyBorder="1" applyAlignment="1" applyProtection="1">
      <alignment horizontal="right" vertical="center"/>
    </xf>
    <xf numFmtId="0" fontId="62" fillId="6" borderId="8" xfId="0" applyFont="1" applyFill="1" applyBorder="1" applyAlignment="1" applyProtection="1">
      <alignment vertical="center"/>
    </xf>
    <xf numFmtId="0" fontId="62" fillId="0" borderId="0" xfId="0" applyFont="1" applyAlignment="1" applyProtection="1">
      <alignment horizontal="right" vertical="center" indent="1"/>
    </xf>
    <xf numFmtId="0" fontId="67" fillId="0" borderId="0" xfId="0" applyFont="1" applyAlignment="1" applyProtection="1">
      <alignment horizontal="right" vertical="center" indent="1"/>
    </xf>
    <xf numFmtId="0" fontId="67" fillId="0" borderId="0" xfId="0" applyFont="1" applyBorder="1" applyAlignment="1" applyProtection="1">
      <alignment horizontal="right" vertical="center" indent="1"/>
    </xf>
    <xf numFmtId="0" fontId="67" fillId="0" borderId="56" xfId="10" applyFont="1" applyFill="1" applyBorder="1" applyAlignment="1">
      <alignment vertical="center"/>
    </xf>
    <xf numFmtId="0" fontId="67" fillId="0" borderId="0" xfId="10" applyFont="1" applyAlignment="1">
      <alignment vertical="center"/>
    </xf>
    <xf numFmtId="0" fontId="67" fillId="0" borderId="56" xfId="10" applyFont="1" applyFill="1" applyBorder="1" applyAlignment="1">
      <alignment horizontal="centerContinuous" vertical="center"/>
    </xf>
    <xf numFmtId="0" fontId="101" fillId="0" borderId="0" xfId="10" applyFont="1" applyBorder="1" applyAlignment="1">
      <alignment vertical="top"/>
    </xf>
    <xf numFmtId="0" fontId="67" fillId="0" borderId="0" xfId="10" applyFont="1" applyBorder="1" applyAlignment="1">
      <alignment vertical="center"/>
    </xf>
    <xf numFmtId="0" fontId="67" fillId="0" borderId="0" xfId="10" applyFont="1" applyBorder="1" applyAlignment="1">
      <alignment horizontal="right" vertical="center"/>
    </xf>
    <xf numFmtId="0" fontId="73" fillId="0" borderId="0" xfId="10" applyFont="1" applyFill="1" applyAlignment="1">
      <alignment horizontal="left" vertical="center" indent="1"/>
    </xf>
    <xf numFmtId="0" fontId="73" fillId="0" borderId="0" xfId="10" applyFont="1" applyAlignment="1">
      <alignment horizontal="center" vertical="center"/>
    </xf>
    <xf numFmtId="0" fontId="67" fillId="0" borderId="0" xfId="10" applyFont="1" applyAlignment="1">
      <alignment horizontal="right" vertical="center"/>
    </xf>
    <xf numFmtId="0" fontId="73" fillId="0" borderId="0" xfId="10" applyFont="1" applyAlignment="1">
      <alignment vertical="center"/>
    </xf>
    <xf numFmtId="0" fontId="67" fillId="0" borderId="0" xfId="10" applyFont="1" applyFill="1" applyAlignment="1">
      <alignment vertical="center"/>
    </xf>
    <xf numFmtId="0" fontId="69" fillId="0" borderId="0" xfId="10" applyFont="1" applyFill="1" applyBorder="1" applyAlignment="1">
      <alignment horizontal="left"/>
    </xf>
    <xf numFmtId="0" fontId="67" fillId="0" borderId="0" xfId="10" applyFont="1" applyFill="1" applyBorder="1" applyAlignment="1">
      <alignment vertical="center"/>
    </xf>
    <xf numFmtId="0" fontId="67" fillId="0" borderId="0" xfId="10" applyFont="1" applyFill="1" applyBorder="1" applyAlignment="1">
      <alignment horizontal="right" vertical="center"/>
    </xf>
    <xf numFmtId="0" fontId="67" fillId="0" borderId="0" xfId="10" applyFont="1" applyFill="1" applyAlignment="1">
      <alignment horizontal="left" vertical="center"/>
    </xf>
    <xf numFmtId="49" fontId="67" fillId="0" borderId="0" xfId="10" applyNumberFormat="1" applyFont="1" applyFill="1" applyAlignment="1">
      <alignment horizontal="left" vertical="center"/>
    </xf>
    <xf numFmtId="0" fontId="67" fillId="0" borderId="0" xfId="10" applyFont="1" applyFill="1" applyAlignment="1">
      <alignment horizontal="right" vertical="center"/>
    </xf>
    <xf numFmtId="3" fontId="67" fillId="0" borderId="0" xfId="10" applyNumberFormat="1" applyFont="1" applyFill="1" applyAlignment="1">
      <alignment vertical="center"/>
    </xf>
    <xf numFmtId="3" fontId="67" fillId="0" borderId="0" xfId="10" applyNumberFormat="1" applyFont="1" applyFill="1" applyBorder="1" applyAlignment="1">
      <alignment vertical="center"/>
    </xf>
    <xf numFmtId="0" fontId="69" fillId="0" borderId="0" xfId="10" applyFont="1" applyFill="1" applyBorder="1" applyAlignment="1">
      <alignment horizontal="left" vertical="center"/>
    </xf>
    <xf numFmtId="0" fontId="67" fillId="0" borderId="0" xfId="10" applyFont="1" applyFill="1" applyAlignment="1">
      <alignment horizontal="center" vertical="center"/>
    </xf>
    <xf numFmtId="0" fontId="67" fillId="0" borderId="0" xfId="10" applyFont="1" applyFill="1" applyAlignment="1">
      <alignment vertical="center" wrapText="1"/>
    </xf>
    <xf numFmtId="0" fontId="67" fillId="0" borderId="0" xfId="10" applyFont="1" applyFill="1" applyAlignment="1">
      <alignment horizontal="center" vertical="top"/>
    </xf>
    <xf numFmtId="0" fontId="67" fillId="0" borderId="0" xfId="10" applyFont="1" applyFill="1" applyAlignment="1">
      <alignment vertical="top" wrapText="1"/>
    </xf>
    <xf numFmtId="0" fontId="67" fillId="0" borderId="0" xfId="10" applyFont="1" applyFill="1" applyBorder="1" applyAlignment="1">
      <alignment horizontal="right" vertical="top"/>
    </xf>
    <xf numFmtId="1" fontId="67" fillId="0" borderId="0" xfId="10" applyNumberFormat="1" applyFont="1" applyFill="1" applyAlignment="1">
      <alignment horizontal="center" vertical="center"/>
    </xf>
    <xf numFmtId="1" fontId="67" fillId="0" borderId="0" xfId="10" applyNumberFormat="1" applyFont="1" applyFill="1" applyAlignment="1">
      <alignment horizontal="left" vertical="center"/>
    </xf>
    <xf numFmtId="38" fontId="67" fillId="0" borderId="0" xfId="10" applyNumberFormat="1" applyFont="1" applyFill="1" applyAlignment="1">
      <alignment horizontal="right"/>
    </xf>
    <xf numFmtId="0" fontId="67" fillId="0" borderId="0" xfId="10" quotePrefix="1" applyFont="1" applyFill="1" applyAlignment="1">
      <alignment horizontal="left" vertical="center" wrapText="1"/>
    </xf>
    <xf numFmtId="167" fontId="67" fillId="0" borderId="0" xfId="10" applyNumberFormat="1" applyFont="1" applyFill="1" applyBorder="1" applyAlignment="1" applyProtection="1">
      <alignment horizontal="right" vertical="center"/>
    </xf>
    <xf numFmtId="0" fontId="67" fillId="0" borderId="0" xfId="10" applyFont="1" applyFill="1" applyAlignment="1">
      <alignment horizontal="left" vertical="center" wrapText="1"/>
    </xf>
    <xf numFmtId="49" fontId="67" fillId="0" borderId="0" xfId="10" applyNumberFormat="1" applyFont="1" applyFill="1" applyAlignment="1">
      <alignment horizontal="center" vertical="center"/>
    </xf>
    <xf numFmtId="3" fontId="67" fillId="0" borderId="0" xfId="10" quotePrefix="1" applyNumberFormat="1" applyFont="1" applyFill="1" applyAlignment="1">
      <alignment horizontal="left" vertical="center" wrapText="1"/>
    </xf>
    <xf numFmtId="3" fontId="67" fillId="0" borderId="0" xfId="10" applyNumberFormat="1" applyFont="1" applyFill="1" applyAlignment="1">
      <alignment vertical="center" wrapText="1"/>
    </xf>
    <xf numFmtId="0" fontId="67" fillId="0" borderId="0" xfId="10" applyNumberFormat="1" applyFont="1" applyFill="1" applyAlignment="1">
      <alignment horizontal="center" vertical="center"/>
    </xf>
    <xf numFmtId="3" fontId="67" fillId="0" borderId="0" xfId="10" applyNumberFormat="1" applyFont="1" applyFill="1" applyAlignment="1">
      <alignment horizontal="center" vertical="center" wrapText="1"/>
    </xf>
    <xf numFmtId="3" fontId="67" fillId="0" borderId="0" xfId="10" applyNumberFormat="1" applyFont="1" applyAlignment="1">
      <alignment vertical="center"/>
    </xf>
    <xf numFmtId="3" fontId="67" fillId="0" borderId="0" xfId="10" applyNumberFormat="1" applyFont="1" applyFill="1" applyAlignment="1">
      <alignment horizontal="left" vertical="center" wrapText="1"/>
    </xf>
    <xf numFmtId="0" fontId="67" fillId="0" borderId="0" xfId="10" applyFont="1" applyAlignment="1">
      <alignment horizontal="left" vertical="center"/>
    </xf>
    <xf numFmtId="0" fontId="67" fillId="0" borderId="0" xfId="10" applyFont="1" applyAlignment="1">
      <alignment horizontal="center" vertical="center"/>
    </xf>
    <xf numFmtId="0" fontId="67" fillId="0" borderId="0" xfId="10" applyFont="1" applyFill="1" applyAlignment="1">
      <alignment horizontal="left" vertical="top"/>
    </xf>
    <xf numFmtId="49" fontId="67" fillId="0" borderId="0" xfId="10" applyNumberFormat="1" applyFont="1" applyFill="1" applyAlignment="1">
      <alignment horizontal="center" vertical="top"/>
    </xf>
    <xf numFmtId="3" fontId="67" fillId="0" borderId="0" xfId="10" applyNumberFormat="1" applyFont="1" applyFill="1" applyAlignment="1">
      <alignment horizontal="left" vertical="top" wrapText="1"/>
    </xf>
    <xf numFmtId="40" fontId="67" fillId="0" borderId="9" xfId="10" applyNumberFormat="1" applyFont="1" applyFill="1" applyBorder="1" applyAlignment="1" applyProtection="1">
      <alignment horizontal="right"/>
      <protection locked="0"/>
    </xf>
    <xf numFmtId="0" fontId="67" fillId="0" borderId="0" xfId="10" applyFont="1" applyFill="1" applyBorder="1" applyAlignment="1">
      <alignment horizontal="left" vertical="center"/>
    </xf>
    <xf numFmtId="0" fontId="69" fillId="0" borderId="0" xfId="10" quotePrefix="1" applyFont="1" applyFill="1" applyAlignment="1">
      <alignment horizontal="left" vertical="center"/>
    </xf>
    <xf numFmtId="0" fontId="69" fillId="0" borderId="0" xfId="10" applyFont="1" applyFill="1" applyAlignment="1">
      <alignment horizontal="right" vertical="center"/>
    </xf>
    <xf numFmtId="4" fontId="69" fillId="0" borderId="0" xfId="10" applyNumberFormat="1" applyFont="1" applyFill="1" applyBorder="1" applyAlignment="1" applyProtection="1">
      <alignment vertical="center"/>
    </xf>
    <xf numFmtId="0" fontId="67" fillId="0" borderId="0" xfId="10" applyFont="1" applyFill="1" applyAlignment="1" applyProtection="1">
      <alignment horizontal="left" vertical="center"/>
    </xf>
    <xf numFmtId="0" fontId="69" fillId="0" borderId="0" xfId="11" applyFont="1" applyFill="1" applyBorder="1" applyAlignment="1">
      <alignment vertical="center"/>
    </xf>
    <xf numFmtId="0" fontId="67" fillId="0" borderId="0" xfId="11" applyFont="1" applyFill="1" applyBorder="1" applyAlignment="1">
      <alignment vertical="center"/>
    </xf>
    <xf numFmtId="0" fontId="67" fillId="0" borderId="0" xfId="11" applyFont="1" applyFill="1" applyBorder="1" applyAlignment="1">
      <alignment horizontal="right" vertical="center"/>
    </xf>
    <xf numFmtId="0" fontId="90" fillId="0" borderId="0" xfId="0" quotePrefix="1" applyFont="1" applyFill="1" applyBorder="1" applyAlignment="1">
      <alignment horizontal="left" vertical="center"/>
    </xf>
    <xf numFmtId="0" fontId="67" fillId="0" borderId="0" xfId="11" applyFont="1" applyFill="1" applyAlignment="1">
      <alignment horizontal="left" vertical="center"/>
    </xf>
    <xf numFmtId="49" fontId="67" fillId="0" borderId="0" xfId="11" applyNumberFormat="1" applyFont="1" applyFill="1" applyAlignment="1">
      <alignment horizontal="left" vertical="center"/>
    </xf>
    <xf numFmtId="0" fontId="67" fillId="0" borderId="0" xfId="11" applyFont="1" applyFill="1" applyAlignment="1">
      <alignment horizontal="center" vertical="center"/>
    </xf>
    <xf numFmtId="0" fontId="67" fillId="0" borderId="0" xfId="11" applyFont="1" applyFill="1" applyAlignment="1">
      <alignment vertical="center" wrapText="1"/>
    </xf>
    <xf numFmtId="0" fontId="67" fillId="0" borderId="0" xfId="11" applyFont="1" applyFill="1" applyAlignment="1">
      <alignment vertical="center"/>
    </xf>
    <xf numFmtId="0" fontId="67" fillId="0" borderId="0" xfId="11" applyNumberFormat="1" applyFont="1" applyFill="1" applyAlignment="1">
      <alignment horizontal="center" vertical="center"/>
    </xf>
    <xf numFmtId="3" fontId="67" fillId="0" borderId="0" xfId="11" applyNumberFormat="1" applyFont="1" applyFill="1" applyAlignment="1">
      <alignment vertical="center"/>
    </xf>
    <xf numFmtId="0" fontId="67" fillId="0" borderId="0" xfId="11" applyFont="1" applyFill="1" applyAlignment="1">
      <alignment horizontal="center" vertical="top"/>
    </xf>
    <xf numFmtId="3" fontId="67" fillId="0" borderId="0" xfId="11" applyNumberFormat="1" applyFont="1" applyFill="1" applyBorder="1" applyAlignment="1">
      <alignment vertical="center"/>
    </xf>
    <xf numFmtId="38" fontId="67" fillId="0" borderId="0" xfId="11" applyNumberFormat="1" applyFont="1" applyFill="1" applyAlignment="1">
      <alignment horizontal="left" vertical="center" wrapText="1"/>
    </xf>
    <xf numFmtId="0" fontId="67" fillId="0" borderId="0" xfId="11" applyFont="1" applyFill="1" applyAlignment="1">
      <alignment horizontal="left" vertical="center" wrapText="1"/>
    </xf>
    <xf numFmtId="0" fontId="67" fillId="0" borderId="0" xfId="11" quotePrefix="1" applyFont="1" applyFill="1" applyAlignment="1">
      <alignment horizontal="left" vertical="center" wrapText="1"/>
    </xf>
    <xf numFmtId="1" fontId="67" fillId="0" borderId="0" xfId="11" applyNumberFormat="1" applyFont="1" applyFill="1" applyAlignment="1">
      <alignment horizontal="center" vertical="center"/>
    </xf>
    <xf numFmtId="0" fontId="67" fillId="0" borderId="0" xfId="11" quotePrefix="1" applyFont="1" applyFill="1" applyAlignment="1">
      <alignment horizontal="left" vertical="center"/>
    </xf>
    <xf numFmtId="1" fontId="67" fillId="0" borderId="0" xfId="11" quotePrefix="1" applyNumberFormat="1" applyFont="1" applyFill="1" applyAlignment="1">
      <alignment horizontal="center" vertical="center"/>
    </xf>
    <xf numFmtId="0" fontId="67" fillId="0" borderId="0" xfId="11" applyFont="1" applyFill="1" applyAlignment="1">
      <alignment horizontal="left" vertical="top"/>
    </xf>
    <xf numFmtId="1" fontId="67" fillId="0" borderId="0" xfId="11" applyNumberFormat="1" applyFont="1" applyFill="1" applyAlignment="1">
      <alignment horizontal="center" vertical="top"/>
    </xf>
    <xf numFmtId="0" fontId="67" fillId="0" borderId="0" xfId="11" applyFont="1" applyFill="1" applyAlignment="1">
      <alignment vertical="top" wrapText="1"/>
    </xf>
    <xf numFmtId="0" fontId="67" fillId="0" borderId="0" xfId="11" applyFont="1" applyFill="1" applyBorder="1" applyAlignment="1">
      <alignment horizontal="right" vertical="top"/>
    </xf>
    <xf numFmtId="0" fontId="67" fillId="0" borderId="0" xfId="11" applyFont="1" applyAlignment="1">
      <alignment horizontal="left" vertical="center"/>
    </xf>
    <xf numFmtId="1" fontId="67" fillId="0" borderId="0" xfId="11" applyNumberFormat="1" applyFont="1" applyAlignment="1">
      <alignment horizontal="center" vertical="center"/>
    </xf>
    <xf numFmtId="0" fontId="67" fillId="0" borderId="0" xfId="11" applyFont="1" applyAlignment="1">
      <alignment vertical="center" wrapText="1"/>
    </xf>
    <xf numFmtId="0" fontId="67" fillId="0" borderId="0" xfId="11" applyFont="1" applyAlignment="1">
      <alignment vertical="center"/>
    </xf>
    <xf numFmtId="167" fontId="67" fillId="0" borderId="0" xfId="11" applyNumberFormat="1" applyFont="1" applyFill="1" applyBorder="1" applyAlignment="1" applyProtection="1">
      <alignment horizontal="right" vertical="center"/>
    </xf>
    <xf numFmtId="0" fontId="67" fillId="0" borderId="0" xfId="11" applyFont="1" applyAlignment="1">
      <alignment horizontal="center" vertical="center"/>
    </xf>
    <xf numFmtId="0" fontId="67" fillId="0" borderId="0" xfId="11" applyFont="1" applyAlignment="1">
      <alignment horizontal="left" vertical="center" wrapText="1"/>
    </xf>
    <xf numFmtId="49" fontId="67" fillId="4" borderId="0" xfId="11" applyNumberFormat="1" applyFont="1" applyFill="1" applyBorder="1" applyAlignment="1">
      <alignment horizontal="left" vertical="center"/>
    </xf>
    <xf numFmtId="49" fontId="67" fillId="4" borderId="0" xfId="11" applyNumberFormat="1" applyFont="1" applyFill="1" applyBorder="1" applyAlignment="1">
      <alignment horizontal="center" vertical="center"/>
    </xf>
    <xf numFmtId="0" fontId="67" fillId="4" borderId="0" xfId="11" applyNumberFormat="1" applyFont="1" applyFill="1" applyBorder="1" applyAlignment="1">
      <alignment vertical="center" wrapText="1"/>
    </xf>
    <xf numFmtId="49" fontId="67" fillId="4" borderId="0" xfId="11" applyNumberFormat="1" applyFont="1" applyFill="1" applyBorder="1" applyAlignment="1">
      <alignment horizontal="right" vertical="center"/>
    </xf>
    <xf numFmtId="49" fontId="67" fillId="0" borderId="0" xfId="11" applyNumberFormat="1" applyFont="1" applyFill="1" applyBorder="1" applyAlignment="1">
      <alignment horizontal="left" vertical="center"/>
    </xf>
    <xf numFmtId="49" fontId="67" fillId="0" borderId="0" xfId="11" applyNumberFormat="1" applyFont="1" applyFill="1" applyBorder="1" applyAlignment="1">
      <alignment horizontal="left" vertical="center" wrapText="1"/>
    </xf>
    <xf numFmtId="49" fontId="67" fillId="0" borderId="0" xfId="11" applyNumberFormat="1" applyFont="1" applyFill="1" applyBorder="1" applyAlignment="1">
      <alignment horizontal="center" vertical="center"/>
    </xf>
    <xf numFmtId="0" fontId="67" fillId="0" borderId="0" xfId="11" applyNumberFormat="1" applyFont="1" applyFill="1" applyBorder="1" applyAlignment="1">
      <alignment vertical="center" wrapText="1"/>
    </xf>
    <xf numFmtId="49" fontId="67" fillId="0" borderId="0" xfId="11" applyNumberFormat="1" applyFont="1" applyFill="1" applyBorder="1" applyAlignment="1">
      <alignment horizontal="right" vertical="center"/>
    </xf>
    <xf numFmtId="0" fontId="67" fillId="0" borderId="0" xfId="11" applyFont="1" applyBorder="1" applyAlignment="1">
      <alignment vertical="center"/>
    </xf>
    <xf numFmtId="0" fontId="67" fillId="0" borderId="0" xfId="11" applyFont="1" applyAlignment="1">
      <alignment horizontal="left" vertical="top"/>
    </xf>
    <xf numFmtId="0" fontId="67" fillId="0" borderId="0" xfId="11" applyFont="1" applyAlignment="1">
      <alignment horizontal="center" vertical="top"/>
    </xf>
    <xf numFmtId="0" fontId="67" fillId="0" borderId="0" xfId="11" applyFont="1" applyAlignment="1">
      <alignment horizontal="left" vertical="top" wrapText="1"/>
    </xf>
    <xf numFmtId="0" fontId="67" fillId="0" borderId="0" xfId="11" applyFont="1" applyBorder="1" applyAlignment="1">
      <alignment horizontal="left" vertical="center"/>
    </xf>
    <xf numFmtId="0" fontId="67" fillId="0" borderId="0" xfId="11" quotePrefix="1" applyFont="1" applyAlignment="1">
      <alignment horizontal="left" vertical="top"/>
    </xf>
    <xf numFmtId="0" fontId="67" fillId="0" borderId="0" xfId="11" applyFont="1" applyAlignment="1">
      <alignment horizontal="right" vertical="center"/>
    </xf>
    <xf numFmtId="38" fontId="67" fillId="0" borderId="0" xfId="11" applyNumberFormat="1" applyFont="1" applyFill="1" applyAlignment="1">
      <alignment horizontal="right"/>
    </xf>
    <xf numFmtId="0" fontId="67" fillId="0" borderId="0" xfId="11" applyFont="1" applyAlignment="1" applyProtection="1">
      <alignment vertical="center"/>
    </xf>
    <xf numFmtId="0" fontId="59" fillId="6" borderId="12" xfId="0" applyFont="1" applyFill="1" applyBorder="1" applyAlignment="1">
      <alignment horizontal="left"/>
    </xf>
    <xf numFmtId="0" fontId="59" fillId="6" borderId="16" xfId="0" applyFont="1" applyFill="1" applyBorder="1"/>
    <xf numFmtId="0" fontId="62" fillId="6" borderId="16" xfId="0" applyFont="1" applyFill="1" applyBorder="1"/>
    <xf numFmtId="0" fontId="62" fillId="6" borderId="10" xfId="0" applyFont="1" applyFill="1" applyBorder="1"/>
    <xf numFmtId="0" fontId="59" fillId="6" borderId="0" xfId="0" applyFont="1" applyFill="1" applyBorder="1" applyAlignment="1"/>
    <xf numFmtId="0" fontId="59" fillId="6" borderId="0" xfId="0" applyFont="1" applyFill="1" applyBorder="1"/>
    <xf numFmtId="0" fontId="62" fillId="6" borderId="0" xfId="0" applyFont="1" applyFill="1" applyBorder="1"/>
    <xf numFmtId="0" fontId="62" fillId="6" borderId="18" xfId="0" applyFont="1" applyFill="1" applyBorder="1"/>
    <xf numFmtId="0" fontId="92" fillId="6" borderId="0" xfId="0" applyFont="1" applyFill="1" applyAlignment="1">
      <alignment horizontal="left"/>
    </xf>
    <xf numFmtId="0" fontId="62" fillId="6" borderId="0" xfId="0" applyFont="1" applyFill="1" applyAlignment="1"/>
    <xf numFmtId="0" fontId="62" fillId="6" borderId="0" xfId="0" applyFont="1" applyFill="1" applyBorder="1" applyAlignment="1">
      <alignment vertical="center"/>
    </xf>
    <xf numFmtId="0" fontId="62" fillId="6" borderId="0" xfId="0" applyFont="1" applyFill="1" applyBorder="1" applyAlignment="1">
      <alignment horizontal="left" vertical="center"/>
    </xf>
    <xf numFmtId="0" fontId="62" fillId="6" borderId="18" xfId="0" applyFont="1" applyFill="1" applyBorder="1" applyAlignment="1">
      <alignment horizontal="left" vertical="center"/>
    </xf>
    <xf numFmtId="0" fontId="59" fillId="6" borderId="12" xfId="0" applyFont="1" applyFill="1" applyBorder="1" applyAlignment="1" applyProtection="1">
      <alignment vertical="center"/>
    </xf>
    <xf numFmtId="0" fontId="69" fillId="6" borderId="16" xfId="0" applyFont="1" applyFill="1" applyBorder="1" applyAlignment="1" applyProtection="1">
      <alignment vertical="center"/>
    </xf>
    <xf numFmtId="0" fontId="62" fillId="6" borderId="16" xfId="0" applyFont="1" applyFill="1" applyBorder="1" applyAlignment="1" applyProtection="1">
      <alignment vertical="center"/>
    </xf>
    <xf numFmtId="0" fontId="62" fillId="0" borderId="17" xfId="0" applyFont="1" applyFill="1" applyBorder="1" applyAlignment="1" applyProtection="1">
      <alignment vertical="center"/>
    </xf>
    <xf numFmtId="0" fontId="62" fillId="0" borderId="18" xfId="0" applyFont="1" applyFill="1" applyBorder="1" applyAlignment="1" applyProtection="1">
      <alignment vertical="center"/>
    </xf>
    <xf numFmtId="0" fontId="67" fillId="0" borderId="13" xfId="0" applyFont="1" applyBorder="1" applyAlignment="1" applyProtection="1">
      <alignment horizontal="left" vertical="center" indent="1"/>
    </xf>
    <xf numFmtId="0" fontId="62" fillId="0" borderId="21" xfId="0" applyFont="1" applyBorder="1" applyAlignment="1" applyProtection="1">
      <alignment vertical="center"/>
    </xf>
    <xf numFmtId="0" fontId="67" fillId="0" borderId="14" xfId="0" applyFont="1" applyBorder="1" applyAlignment="1" applyProtection="1">
      <alignment horizontal="right" vertical="center"/>
    </xf>
    <xf numFmtId="38" fontId="60" fillId="0" borderId="13" xfId="0" applyNumberFormat="1" applyFont="1" applyBorder="1" applyAlignment="1" applyProtection="1">
      <alignment vertical="center"/>
      <protection locked="0"/>
    </xf>
    <xf numFmtId="0" fontId="67" fillId="0" borderId="17" xfId="0" applyFont="1" applyFill="1" applyBorder="1" applyAlignment="1" applyProtection="1">
      <alignment horizontal="center" vertical="center"/>
    </xf>
    <xf numFmtId="38" fontId="60" fillId="0" borderId="18" xfId="0" applyNumberFormat="1" applyFont="1" applyFill="1" applyBorder="1" applyAlignment="1" applyProtection="1">
      <alignment vertical="center"/>
    </xf>
    <xf numFmtId="0" fontId="78" fillId="0" borderId="21" xfId="0" applyFont="1" applyBorder="1" applyAlignment="1" applyProtection="1">
      <alignment vertical="center"/>
    </xf>
    <xf numFmtId="38" fontId="60" fillId="19" borderId="13" xfId="0" applyNumberFormat="1" applyFont="1" applyFill="1" applyBorder="1" applyAlignment="1" applyProtection="1">
      <protection locked="0"/>
    </xf>
    <xf numFmtId="38" fontId="60" fillId="0" borderId="18" xfId="0" applyNumberFormat="1" applyFont="1" applyFill="1" applyBorder="1" applyAlignment="1" applyProtection="1"/>
    <xf numFmtId="0" fontId="67" fillId="0" borderId="19" xfId="0" applyFont="1" applyFill="1" applyBorder="1" applyAlignment="1" applyProtection="1">
      <alignment horizontal="center" vertical="center"/>
    </xf>
    <xf numFmtId="38" fontId="60" fillId="0" borderId="11" xfId="0" applyNumberFormat="1" applyFont="1" applyFill="1" applyBorder="1" applyAlignment="1" applyProtection="1">
      <alignment vertical="center"/>
    </xf>
    <xf numFmtId="0" fontId="62" fillId="6" borderId="10" xfId="0" applyFont="1" applyFill="1" applyBorder="1" applyAlignment="1" applyProtection="1">
      <alignment vertical="center"/>
    </xf>
    <xf numFmtId="0" fontId="59" fillId="6" borderId="19" xfId="0" applyFont="1" applyFill="1" applyBorder="1" applyAlignment="1">
      <alignment vertical="center"/>
    </xf>
    <xf numFmtId="0" fontId="70" fillId="6" borderId="20" xfId="0" applyFont="1" applyFill="1" applyBorder="1" applyAlignment="1">
      <alignment horizontal="left" vertical="center" indent="1"/>
    </xf>
    <xf numFmtId="0" fontId="62" fillId="6" borderId="20" xfId="0" applyFont="1" applyFill="1" applyBorder="1" applyAlignment="1">
      <alignment horizontal="left" vertical="center"/>
    </xf>
    <xf numFmtId="0" fontId="62" fillId="0" borderId="17" xfId="0" applyFont="1" applyBorder="1"/>
    <xf numFmtId="0" fontId="60" fillId="0" borderId="0" xfId="0" applyNumberFormat="1" applyFont="1" applyFill="1" applyBorder="1" applyAlignment="1">
      <alignment horizontal="left" vertical="center"/>
    </xf>
    <xf numFmtId="0" fontId="60" fillId="0" borderId="17" xfId="0" applyFont="1" applyBorder="1"/>
    <xf numFmtId="0" fontId="67" fillId="0" borderId="17" xfId="0" applyFont="1" applyBorder="1"/>
    <xf numFmtId="0" fontId="69" fillId="0" borderId="0" xfId="0" applyFont="1" applyBorder="1" applyAlignment="1">
      <alignment horizontal="center"/>
    </xf>
    <xf numFmtId="0" fontId="69" fillId="0" borderId="13" xfId="0" applyFont="1" applyBorder="1" applyAlignment="1">
      <alignment horizontal="left"/>
    </xf>
    <xf numFmtId="0" fontId="69" fillId="0" borderId="14" xfId="0" applyFont="1" applyBorder="1" applyAlignment="1">
      <alignment horizontal="left" indent="1"/>
    </xf>
    <xf numFmtId="49" fontId="67" fillId="0" borderId="2" xfId="0" applyNumberFormat="1" applyFont="1" applyBorder="1" applyAlignment="1">
      <alignment horizontal="center"/>
    </xf>
    <xf numFmtId="0" fontId="67" fillId="0" borderId="2" xfId="0" applyFont="1" applyBorder="1" applyAlignment="1">
      <alignment horizontal="center"/>
    </xf>
    <xf numFmtId="0" fontId="67" fillId="0" borderId="13" xfId="0" applyFont="1" applyBorder="1" applyAlignment="1">
      <alignment horizontal="left" indent="1"/>
    </xf>
    <xf numFmtId="0" fontId="67" fillId="0" borderId="14" xfId="0" applyFont="1" applyBorder="1" applyAlignment="1">
      <alignment horizontal="left" indent="2"/>
    </xf>
    <xf numFmtId="0" fontId="69" fillId="0" borderId="14" xfId="0" applyFont="1" applyBorder="1" applyAlignment="1">
      <alignment horizontal="left" indent="2"/>
    </xf>
    <xf numFmtId="0" fontId="67" fillId="0" borderId="14" xfId="0" applyFont="1" applyBorder="1" applyAlignment="1">
      <alignment horizontal="left" indent="4"/>
    </xf>
    <xf numFmtId="0" fontId="69" fillId="7" borderId="13" xfId="0" applyFont="1" applyFill="1" applyBorder="1" applyAlignment="1">
      <alignment horizontal="left" indent="2"/>
    </xf>
    <xf numFmtId="0" fontId="69" fillId="7" borderId="14" xfId="0" applyFont="1" applyFill="1" applyBorder="1" applyAlignment="1">
      <alignment horizontal="left" indent="2"/>
    </xf>
    <xf numFmtId="0" fontId="67" fillId="7" borderId="2" xfId="0" applyFont="1" applyFill="1" applyBorder="1"/>
    <xf numFmtId="0" fontId="60" fillId="0" borderId="18" xfId="0" applyFont="1" applyBorder="1"/>
    <xf numFmtId="0" fontId="69" fillId="0" borderId="20" xfId="0" applyFont="1" applyBorder="1" applyAlignment="1">
      <alignment horizontal="centerContinuous"/>
    </xf>
    <xf numFmtId="0" fontId="60" fillId="0" borderId="11" xfId="0" applyFont="1" applyBorder="1" applyAlignment="1">
      <alignment horizontal="centerContinuous"/>
    </xf>
    <xf numFmtId="0" fontId="62" fillId="0" borderId="19" xfId="0" applyFont="1" applyBorder="1"/>
    <xf numFmtId="0" fontId="62" fillId="0" borderId="20" xfId="0" applyFont="1" applyBorder="1"/>
    <xf numFmtId="0" fontId="60" fillId="0" borderId="19" xfId="0" applyFont="1" applyBorder="1"/>
    <xf numFmtId="0" fontId="60" fillId="0" borderId="11" xfId="0" applyFont="1" applyBorder="1"/>
    <xf numFmtId="0" fontId="67" fillId="0" borderId="0" xfId="3" applyNumberFormat="1" applyFont="1" applyBorder="1" applyAlignment="1">
      <alignment vertical="center"/>
    </xf>
    <xf numFmtId="0" fontId="62" fillId="0" borderId="0" xfId="3" applyNumberFormat="1" applyFont="1" applyBorder="1" applyAlignment="1">
      <alignment vertical="center"/>
    </xf>
    <xf numFmtId="0" fontId="62" fillId="0" borderId="0" xfId="3" applyNumberFormat="1" applyFont="1" applyAlignment="1">
      <alignment vertical="center"/>
    </xf>
    <xf numFmtId="0" fontId="67" fillId="0" borderId="0" xfId="3" applyNumberFormat="1" applyFont="1" applyAlignment="1">
      <alignment vertical="center"/>
    </xf>
    <xf numFmtId="0" fontId="69" fillId="0" borderId="0" xfId="3" applyNumberFormat="1" applyFont="1" applyAlignment="1">
      <alignment horizontal="center" vertical="center"/>
    </xf>
    <xf numFmtId="0" fontId="69" fillId="0" borderId="0" xfId="3" applyNumberFormat="1" applyFont="1" applyBorder="1" applyAlignment="1">
      <alignment horizontal="left" vertical="center"/>
    </xf>
    <xf numFmtId="0" fontId="67" fillId="0" borderId="0" xfId="3" applyNumberFormat="1" applyFont="1" applyAlignment="1">
      <alignment horizontal="center" vertical="center"/>
    </xf>
    <xf numFmtId="0" fontId="67" fillId="0" borderId="17" xfId="3" applyNumberFormat="1" applyFont="1" applyBorder="1" applyAlignment="1">
      <alignment horizontal="center" vertical="center"/>
    </xf>
    <xf numFmtId="0" fontId="67" fillId="0" borderId="0" xfId="3" applyNumberFormat="1" applyFont="1" applyBorder="1" applyAlignment="1">
      <alignment horizontal="right" vertical="center" indent="1"/>
    </xf>
    <xf numFmtId="0" fontId="62" fillId="0" borderId="17" xfId="3" applyNumberFormat="1" applyFont="1" applyBorder="1" applyAlignment="1">
      <alignment vertical="center"/>
    </xf>
    <xf numFmtId="0" fontId="62" fillId="0" borderId="19" xfId="3" applyNumberFormat="1" applyFont="1" applyBorder="1" applyAlignment="1">
      <alignment vertical="center"/>
    </xf>
    <xf numFmtId="0" fontId="62" fillId="0" borderId="20" xfId="3" applyNumberFormat="1" applyFont="1" applyBorder="1" applyAlignment="1">
      <alignment vertical="center"/>
    </xf>
    <xf numFmtId="0" fontId="62" fillId="0" borderId="12" xfId="3" applyNumberFormat="1" applyFont="1" applyBorder="1" applyAlignment="1">
      <alignment vertical="center"/>
    </xf>
    <xf numFmtId="0" fontId="62" fillId="0" borderId="16" xfId="3" applyNumberFormat="1" applyFont="1" applyBorder="1" applyAlignment="1">
      <alignment vertical="center"/>
    </xf>
    <xf numFmtId="0" fontId="62" fillId="0" borderId="3" xfId="3" applyNumberFormat="1" applyFont="1" applyBorder="1" applyAlignment="1">
      <alignment vertical="center"/>
    </xf>
    <xf numFmtId="0" fontId="62" fillId="0" borderId="16" xfId="3" applyNumberFormat="1" applyFont="1" applyFill="1" applyBorder="1" applyAlignment="1">
      <alignment horizontal="centerContinuous" vertical="center"/>
    </xf>
    <xf numFmtId="0" fontId="62" fillId="0" borderId="10" xfId="3" applyNumberFormat="1" applyFont="1" applyFill="1" applyBorder="1" applyAlignment="1">
      <alignment horizontal="centerContinuous" vertical="center"/>
    </xf>
    <xf numFmtId="0" fontId="60" fillId="0" borderId="17" xfId="3" applyNumberFormat="1" applyFont="1" applyFill="1" applyBorder="1" applyAlignment="1">
      <alignment vertical="center"/>
    </xf>
    <xf numFmtId="0" fontId="60" fillId="0" borderId="0" xfId="3" applyNumberFormat="1" applyFont="1" applyFill="1" applyBorder="1" applyAlignment="1">
      <alignment vertical="center"/>
    </xf>
    <xf numFmtId="0" fontId="60" fillId="0" borderId="0" xfId="3" applyNumberFormat="1" applyFont="1" applyFill="1" applyBorder="1" applyAlignment="1">
      <alignment horizontal="center" vertical="center"/>
    </xf>
    <xf numFmtId="0" fontId="60" fillId="0" borderId="26" xfId="3" applyNumberFormat="1" applyFont="1" applyFill="1" applyBorder="1" applyAlignment="1">
      <alignment vertical="center"/>
    </xf>
    <xf numFmtId="0" fontId="69" fillId="0" borderId="10" xfId="3" applyNumberFormat="1" applyFont="1" applyBorder="1" applyAlignment="1">
      <alignment horizontal="center" vertical="center"/>
    </xf>
    <xf numFmtId="0" fontId="69" fillId="0" borderId="3" xfId="3" applyNumberFormat="1" applyFont="1" applyBorder="1" applyAlignment="1">
      <alignment horizontal="center" vertical="center"/>
    </xf>
    <xf numFmtId="0" fontId="67" fillId="0" borderId="3" xfId="3" applyNumberFormat="1" applyFont="1" applyBorder="1" applyAlignment="1">
      <alignment horizontal="center" vertical="center"/>
    </xf>
    <xf numFmtId="0" fontId="60" fillId="0" borderId="0" xfId="3" applyNumberFormat="1" applyFont="1" applyAlignment="1">
      <alignment vertical="center"/>
    </xf>
    <xf numFmtId="0" fontId="69" fillId="0" borderId="4" xfId="3" applyNumberFormat="1" applyFont="1" applyBorder="1" applyAlignment="1">
      <alignment horizontal="center" vertical="center" wrapText="1"/>
    </xf>
    <xf numFmtId="0" fontId="69" fillId="0" borderId="4" xfId="3" applyNumberFormat="1" applyFont="1" applyBorder="1" applyAlignment="1">
      <alignment horizontal="center" vertical="center"/>
    </xf>
    <xf numFmtId="164" fontId="69" fillId="0" borderId="13" xfId="3" applyNumberFormat="1" applyFont="1" applyBorder="1" applyAlignment="1">
      <alignment horizontal="right" vertical="center"/>
    </xf>
    <xf numFmtId="0" fontId="67" fillId="0" borderId="21" xfId="3" applyNumberFormat="1" applyFont="1" applyBorder="1" applyAlignment="1">
      <alignment horizontal="left" vertical="center"/>
    </xf>
    <xf numFmtId="0" fontId="62" fillId="0" borderId="14" xfId="3" applyNumberFormat="1" applyFont="1" applyBorder="1" applyAlignment="1">
      <alignment horizontal="left" vertical="center"/>
    </xf>
    <xf numFmtId="0" fontId="67" fillId="0" borderId="2" xfId="3" applyNumberFormat="1" applyFont="1" applyBorder="1" applyAlignment="1">
      <alignment horizontal="left" vertical="center" indent="1"/>
    </xf>
    <xf numFmtId="0" fontId="60" fillId="15" borderId="2" xfId="3" applyNumberFormat="1" applyFont="1" applyFill="1" applyBorder="1" applyAlignment="1">
      <alignment vertical="center"/>
    </xf>
    <xf numFmtId="38" fontId="60" fillId="0" borderId="2" xfId="3" applyNumberFormat="1" applyFont="1" applyBorder="1" applyAlignment="1" applyProtection="1">
      <alignment vertical="center"/>
      <protection locked="0"/>
    </xf>
    <xf numFmtId="0" fontId="67" fillId="0" borderId="2" xfId="3" applyNumberFormat="1" applyFont="1" applyBorder="1" applyAlignment="1">
      <alignment horizontal="left" vertical="top" indent="1"/>
    </xf>
    <xf numFmtId="164" fontId="69" fillId="0" borderId="13" xfId="3" applyNumberFormat="1" applyFont="1" applyBorder="1" applyAlignment="1">
      <alignment vertical="top"/>
    </xf>
    <xf numFmtId="38" fontId="60" fillId="0" borderId="2" xfId="3" applyNumberFormat="1" applyFont="1" applyFill="1" applyBorder="1" applyAlignment="1" applyProtection="1">
      <alignment vertical="center"/>
      <protection locked="0"/>
    </xf>
    <xf numFmtId="0" fontId="69" fillId="0" borderId="21" xfId="3" applyNumberFormat="1" applyFont="1" applyBorder="1" applyAlignment="1">
      <alignment horizontal="left" vertical="center"/>
    </xf>
    <xf numFmtId="0" fontId="67" fillId="0" borderId="14" xfId="3" applyNumberFormat="1" applyFont="1" applyBorder="1" applyAlignment="1">
      <alignment horizontal="center" vertical="center"/>
    </xf>
    <xf numFmtId="0" fontId="60" fillId="15" borderId="4" xfId="3" applyNumberFormat="1" applyFont="1" applyFill="1" applyBorder="1" applyAlignment="1">
      <alignment vertical="center"/>
    </xf>
    <xf numFmtId="0" fontId="62" fillId="0" borderId="0" xfId="3" applyNumberFormat="1" applyFont="1" applyAlignment="1">
      <alignment horizontal="right" vertical="center"/>
    </xf>
    <xf numFmtId="0" fontId="70" fillId="0" borderId="0" xfId="3" applyNumberFormat="1" applyFont="1" applyAlignment="1">
      <alignment vertical="center"/>
    </xf>
    <xf numFmtId="0" fontId="78" fillId="0" borderId="0" xfId="3" applyNumberFormat="1" applyFont="1" applyAlignment="1">
      <alignment vertical="center"/>
    </xf>
    <xf numFmtId="171" fontId="62" fillId="0" borderId="0" xfId="3" applyNumberFormat="1" applyFont="1" applyBorder="1" applyAlignment="1" applyProtection="1">
      <alignment horizontal="center"/>
    </xf>
    <xf numFmtId="0" fontId="78" fillId="0" borderId="133" xfId="3" applyNumberFormat="1" applyFont="1" applyBorder="1" applyAlignment="1">
      <alignment horizontal="center" vertical="center"/>
    </xf>
    <xf numFmtId="0" fontId="62" fillId="0" borderId="133" xfId="3" applyNumberFormat="1" applyFont="1" applyBorder="1" applyAlignment="1">
      <alignment vertical="center"/>
    </xf>
    <xf numFmtId="0" fontId="78" fillId="0" borderId="0" xfId="3" applyNumberFormat="1" applyFont="1" applyBorder="1" applyAlignment="1">
      <alignment vertical="center" wrapText="1"/>
    </xf>
    <xf numFmtId="0" fontId="62" fillId="0" borderId="0" xfId="3" applyNumberFormat="1" applyFont="1" applyBorder="1" applyAlignment="1">
      <alignment wrapText="1"/>
    </xf>
    <xf numFmtId="0" fontId="78" fillId="0" borderId="133" xfId="3" applyNumberFormat="1" applyFont="1" applyBorder="1" applyAlignment="1">
      <alignment horizontal="center"/>
    </xf>
    <xf numFmtId="0" fontId="78" fillId="0" borderId="0" xfId="3" applyNumberFormat="1" applyFont="1" applyBorder="1" applyAlignment="1"/>
    <xf numFmtId="0" fontId="69" fillId="0" borderId="0" xfId="3" applyNumberFormat="1" applyFont="1" applyAlignment="1">
      <alignment horizontal="right"/>
    </xf>
    <xf numFmtId="0" fontId="60" fillId="0" borderId="0" xfId="3" applyNumberFormat="1" applyFont="1" applyBorder="1" applyAlignment="1">
      <alignment horizontal="center" wrapText="1"/>
    </xf>
    <xf numFmtId="0" fontId="78" fillId="0" borderId="0" xfId="3" applyFont="1" applyBorder="1" applyAlignment="1">
      <alignment horizontal="center" vertical="center" wrapText="1"/>
    </xf>
    <xf numFmtId="0" fontId="84" fillId="0" borderId="0" xfId="3" applyNumberFormat="1" applyFont="1" applyAlignment="1">
      <alignment vertical="center"/>
    </xf>
    <xf numFmtId="0" fontId="70" fillId="0" borderId="22" xfId="3" applyNumberFormat="1" applyFont="1" applyBorder="1" applyAlignment="1" applyProtection="1">
      <alignment horizontal="center" vertical="center"/>
      <protection locked="0"/>
    </xf>
    <xf numFmtId="0" fontId="67" fillId="0" borderId="0" xfId="3" applyNumberFormat="1" applyFont="1" applyAlignment="1">
      <alignment horizontal="left" vertical="center" indent="2"/>
    </xf>
    <xf numFmtId="0" fontId="62" fillId="0" borderId="0" xfId="3" applyFont="1" applyAlignment="1">
      <alignment horizontal="left" wrapText="1" indent="2"/>
    </xf>
    <xf numFmtId="0" fontId="60" fillId="0" borderId="0" xfId="3" applyNumberFormat="1" applyFont="1" applyBorder="1" applyAlignment="1">
      <alignment vertical="center"/>
    </xf>
    <xf numFmtId="0" fontId="88" fillId="0" borderId="0" xfId="3" applyNumberFormat="1" applyFont="1" applyBorder="1" applyAlignment="1">
      <alignment horizontal="centerContinuous" vertical="center"/>
    </xf>
    <xf numFmtId="0" fontId="61" fillId="0" borderId="0" xfId="2" applyNumberFormat="1" applyFont="1" applyBorder="1" applyAlignment="1" applyProtection="1">
      <alignment horizontal="centerContinuous" vertical="center"/>
    </xf>
    <xf numFmtId="0" fontId="62" fillId="0" borderId="0" xfId="3" applyFont="1" applyAlignment="1">
      <alignment vertical="top" wrapText="1"/>
    </xf>
    <xf numFmtId="164" fontId="67" fillId="0" borderId="0" xfId="0" applyNumberFormat="1" applyFont="1"/>
    <xf numFmtId="164" fontId="62" fillId="0" borderId="0" xfId="0" applyNumberFormat="1" applyFont="1"/>
    <xf numFmtId="166" fontId="67" fillId="0" borderId="0" xfId="0" applyNumberFormat="1" applyFont="1" applyAlignment="1">
      <alignment horizontal="left"/>
    </xf>
    <xf numFmtId="0" fontId="62" fillId="0" borderId="0" xfId="0" applyFont="1" applyAlignment="1">
      <alignment vertical="top"/>
    </xf>
    <xf numFmtId="0" fontId="113" fillId="0" borderId="0" xfId="0" applyFont="1"/>
    <xf numFmtId="0" fontId="60" fillId="0" borderId="0" xfId="0" applyFont="1" applyAlignment="1">
      <alignment vertical="top" wrapText="1"/>
    </xf>
    <xf numFmtId="0" fontId="62" fillId="0" borderId="0" xfId="3" applyFont="1" applyAlignment="1">
      <alignment wrapText="1"/>
    </xf>
    <xf numFmtId="0" fontId="62" fillId="0" borderId="0" xfId="3" applyFont="1" applyAlignment="1">
      <alignment vertical="center"/>
    </xf>
    <xf numFmtId="0" fontId="69" fillId="0" borderId="46" xfId="3" applyFont="1" applyFill="1" applyBorder="1" applyAlignment="1">
      <alignment horizontal="center" vertical="center"/>
    </xf>
    <xf numFmtId="0" fontId="69" fillId="0" borderId="22" xfId="3" applyFont="1" applyBorder="1" applyAlignment="1">
      <alignment horizontal="center" vertical="center" wrapText="1"/>
    </xf>
    <xf numFmtId="0" fontId="59" fillId="0" borderId="22" xfId="3" applyFont="1" applyBorder="1" applyAlignment="1">
      <alignment horizontal="left" vertical="center" wrapText="1" indent="1"/>
    </xf>
    <xf numFmtId="0" fontId="62" fillId="0" borderId="0" xfId="3" applyFont="1" applyAlignment="1">
      <alignment horizontal="left" vertical="center"/>
    </xf>
    <xf numFmtId="0" fontId="69" fillId="0" borderId="45" xfId="3" applyFont="1" applyBorder="1" applyAlignment="1">
      <alignment horizontal="left" vertical="center" wrapText="1" indent="2"/>
    </xf>
    <xf numFmtId="0" fontId="69" fillId="0" borderId="22" xfId="3" applyFont="1" applyBorder="1" applyAlignment="1">
      <alignment horizontal="left" vertical="center" wrapText="1" indent="1"/>
    </xf>
    <xf numFmtId="0" fontId="59" fillId="0" borderId="0" xfId="3" applyFont="1" applyFill="1" applyBorder="1" applyAlignment="1">
      <alignment wrapText="1"/>
    </xf>
    <xf numFmtId="38" fontId="70" fillId="0" borderId="0" xfId="3" applyNumberFormat="1" applyFont="1" applyFill="1" applyBorder="1"/>
    <xf numFmtId="0" fontId="67" fillId="0" borderId="0" xfId="3" applyNumberFormat="1" applyFont="1" applyBorder="1" applyAlignment="1">
      <alignment horizontal="left" vertical="center" wrapText="1"/>
    </xf>
    <xf numFmtId="0" fontId="62" fillId="0" borderId="0" xfId="3" applyFont="1" applyBorder="1" applyAlignment="1">
      <alignment horizontal="left" vertical="center" wrapText="1"/>
    </xf>
    <xf numFmtId="0" fontId="62" fillId="0" borderId="0" xfId="3" applyFont="1" applyAlignment="1">
      <alignment horizontal="left"/>
    </xf>
    <xf numFmtId="0" fontId="62" fillId="0" borderId="0" xfId="3" applyFont="1" applyAlignment="1"/>
    <xf numFmtId="49" fontId="116" fillId="0" borderId="0" xfId="0" applyNumberFormat="1" applyFont="1" applyFill="1" applyBorder="1" applyAlignment="1">
      <alignment horizontal="centerContinuous" vertical="top"/>
    </xf>
    <xf numFmtId="0" fontId="60" fillId="0" borderId="0" xfId="0" applyFont="1" applyAlignment="1">
      <alignment horizontal="centerContinuous" vertical="top"/>
    </xf>
    <xf numFmtId="0" fontId="60" fillId="0" borderId="0" xfId="0" applyFont="1" applyAlignment="1">
      <alignment horizontal="centerContinuous" vertical="top" wrapText="1"/>
    </xf>
    <xf numFmtId="0" fontId="69" fillId="0" borderId="0" xfId="0" applyFont="1" applyBorder="1" applyAlignment="1">
      <alignment horizontal="centerContinuous" vertical="top"/>
    </xf>
    <xf numFmtId="0" fontId="60" fillId="0" borderId="0" xfId="0" applyFont="1" applyAlignment="1"/>
    <xf numFmtId="164" fontId="118" fillId="0" borderId="21" xfId="0" applyNumberFormat="1" applyFont="1" applyBorder="1" applyAlignment="1">
      <alignment vertical="top"/>
    </xf>
    <xf numFmtId="0" fontId="60" fillId="0" borderId="21" xfId="0" applyFont="1" applyBorder="1" applyAlignment="1">
      <alignment vertical="top"/>
    </xf>
    <xf numFmtId="0" fontId="67" fillId="0" borderId="14" xfId="0" applyFont="1" applyBorder="1"/>
    <xf numFmtId="0" fontId="60" fillId="0" borderId="21" xfId="0" applyFont="1" applyBorder="1" applyAlignment="1">
      <alignment vertical="top" wrapText="1"/>
    </xf>
    <xf numFmtId="0" fontId="62" fillId="0" borderId="14" xfId="0" applyFont="1" applyBorder="1" applyAlignment="1">
      <alignment wrapText="1"/>
    </xf>
    <xf numFmtId="0" fontId="60" fillId="0" borderId="17" xfId="0" applyFont="1" applyBorder="1" applyAlignment="1">
      <alignment horizontal="left" vertical="top"/>
    </xf>
    <xf numFmtId="164" fontId="118" fillId="0" borderId="0" xfId="0" applyNumberFormat="1" applyFont="1" applyBorder="1" applyAlignment="1">
      <alignment horizontal="right" vertical="top"/>
    </xf>
    <xf numFmtId="0" fontId="120" fillId="0" borderId="13" xfId="0" applyFont="1" applyBorder="1" applyAlignment="1">
      <alignment horizontal="right" vertical="top"/>
    </xf>
    <xf numFmtId="0" fontId="60" fillId="0" borderId="21" xfId="0" applyFont="1" applyBorder="1" applyAlignment="1">
      <alignment horizontal="left" vertical="top"/>
    </xf>
    <xf numFmtId="0" fontId="60" fillId="0" borderId="21" xfId="0" applyFont="1" applyBorder="1" applyAlignment="1">
      <alignment horizontal="left" vertical="top" indent="1"/>
    </xf>
    <xf numFmtId="0" fontId="90" fillId="0" borderId="2" xfId="0" applyFont="1" applyBorder="1" applyAlignment="1">
      <alignment vertical="top" wrapText="1"/>
    </xf>
    <xf numFmtId="0" fontId="60" fillId="0" borderId="14" xfId="0" applyFont="1" applyBorder="1" applyAlignment="1">
      <alignment horizontal="left" vertical="top" indent="1"/>
    </xf>
    <xf numFmtId="0" fontId="90" fillId="0" borderId="65" xfId="12" applyNumberFormat="1" applyFont="1" applyBorder="1" applyAlignment="1" applyProtection="1">
      <alignment vertical="center"/>
    </xf>
    <xf numFmtId="0" fontId="120" fillId="0" borderId="17" xfId="0" applyFont="1" applyBorder="1" applyAlignment="1">
      <alignment horizontal="right" vertical="top"/>
    </xf>
    <xf numFmtId="0" fontId="90" fillId="0" borderId="10" xfId="12" applyNumberFormat="1" applyFont="1" applyBorder="1" applyAlignment="1" applyProtection="1">
      <alignment vertical="center" wrapText="1"/>
    </xf>
    <xf numFmtId="0" fontId="118" fillId="0" borderId="21" xfId="0" applyNumberFormat="1" applyFont="1" applyBorder="1" applyAlignment="1">
      <alignment horizontal="left" vertical="center"/>
    </xf>
    <xf numFmtId="0" fontId="67" fillId="0" borderId="14" xfId="0" applyFont="1" applyBorder="1" applyAlignment="1">
      <alignment vertical="top" wrapText="1"/>
    </xf>
    <xf numFmtId="0" fontId="120" fillId="0" borderId="21" xfId="0" applyNumberFormat="1" applyFont="1" applyBorder="1" applyAlignment="1">
      <alignment horizontal="left" vertical="center"/>
    </xf>
    <xf numFmtId="0" fontId="90" fillId="0" borderId="2" xfId="0" applyNumberFormat="1" applyFont="1" applyBorder="1" applyAlignment="1" applyProtection="1">
      <alignment horizontal="left" vertical="center" wrapText="1"/>
    </xf>
    <xf numFmtId="0" fontId="60" fillId="0" borderId="14" xfId="0" applyFont="1" applyBorder="1" applyAlignment="1">
      <alignment horizontal="left" vertical="top" wrapText="1"/>
    </xf>
    <xf numFmtId="0" fontId="74" fillId="0" borderId="17" xfId="0" applyFont="1" applyBorder="1" applyAlignment="1"/>
    <xf numFmtId="0" fontId="118" fillId="0" borderId="21" xfId="0" applyFont="1" applyBorder="1" applyAlignment="1">
      <alignment vertical="top"/>
    </xf>
    <xf numFmtId="0" fontId="90" fillId="0" borderId="14" xfId="0" applyFont="1" applyBorder="1" applyAlignment="1">
      <alignment vertical="top" wrapText="1"/>
    </xf>
    <xf numFmtId="0" fontId="74" fillId="0" borderId="0" xfId="0" applyFont="1" applyAlignment="1"/>
    <xf numFmtId="0" fontId="74" fillId="0" borderId="13" xfId="0" applyFont="1" applyBorder="1" applyAlignment="1"/>
    <xf numFmtId="0" fontId="60" fillId="0" borderId="21" xfId="0" applyFont="1" applyBorder="1" applyAlignment="1">
      <alignment horizontal="left" vertical="top" wrapText="1" indent="1"/>
    </xf>
    <xf numFmtId="0" fontId="60" fillId="0" borderId="13" xfId="0" applyFont="1" applyBorder="1" applyAlignment="1">
      <alignment horizontal="left" vertical="top"/>
    </xf>
    <xf numFmtId="164" fontId="118" fillId="0" borderId="21" xfId="0" applyNumberFormat="1" applyFont="1" applyBorder="1" applyAlignment="1">
      <alignment horizontal="right" vertical="top"/>
    </xf>
    <xf numFmtId="164" fontId="120" fillId="0" borderId="21" xfId="0" applyNumberFormat="1" applyFont="1" applyBorder="1" applyAlignment="1">
      <alignment horizontal="right" vertical="center"/>
    </xf>
    <xf numFmtId="0" fontId="60" fillId="0" borderId="21" xfId="0" applyNumberFormat="1" applyFont="1" applyBorder="1" applyAlignment="1">
      <alignment horizontal="left" vertical="center" wrapText="1" indent="1"/>
    </xf>
    <xf numFmtId="0" fontId="90" fillId="0" borderId="2" xfId="0" applyFont="1" applyBorder="1" applyAlignment="1"/>
    <xf numFmtId="0" fontId="90" fillId="0" borderId="2" xfId="0" applyFont="1" applyBorder="1" applyAlignment="1">
      <alignment horizontal="left" vertical="top"/>
    </xf>
    <xf numFmtId="0" fontId="67" fillId="0" borderId="2" xfId="0" applyFont="1" applyBorder="1" applyAlignment="1">
      <alignment horizontal="left" vertical="top" wrapText="1"/>
    </xf>
    <xf numFmtId="0" fontId="90" fillId="0" borderId="2" xfId="0" applyFont="1" applyBorder="1" applyAlignment="1">
      <alignment horizontal="left" vertical="top" wrapText="1"/>
    </xf>
    <xf numFmtId="164" fontId="120" fillId="0" borderId="13" xfId="0" applyNumberFormat="1" applyFont="1" applyBorder="1" applyAlignment="1">
      <alignment horizontal="right" vertical="top"/>
    </xf>
    <xf numFmtId="0" fontId="67" fillId="0" borderId="14" xfId="0" applyFont="1" applyBorder="1" applyAlignment="1">
      <alignment horizontal="left" vertical="top" wrapText="1"/>
    </xf>
    <xf numFmtId="164" fontId="121" fillId="0" borderId="21" xfId="0" applyNumberFormat="1" applyFont="1" applyBorder="1" applyAlignment="1">
      <alignment horizontal="left" vertical="center"/>
    </xf>
    <xf numFmtId="0" fontId="118" fillId="0" borderId="21" xfId="0" applyFont="1" applyBorder="1" applyAlignment="1">
      <alignment horizontal="left" vertical="top"/>
    </xf>
    <xf numFmtId="0" fontId="90" fillId="0" borderId="2" xfId="0" applyFont="1" applyBorder="1" applyAlignment="1">
      <alignment horizontal="left"/>
    </xf>
    <xf numFmtId="0" fontId="90" fillId="0" borderId="2" xfId="0" applyFont="1" applyBorder="1"/>
    <xf numFmtId="0" fontId="60" fillId="0" borderId="0" xfId="0" applyFont="1" applyAlignment="1">
      <alignment horizontal="left" vertical="top"/>
    </xf>
    <xf numFmtId="0" fontId="60" fillId="0" borderId="21" xfId="0" applyFont="1" applyBorder="1" applyAlignment="1"/>
    <xf numFmtId="164" fontId="118" fillId="0" borderId="21" xfId="0" applyNumberFormat="1" applyFont="1" applyBorder="1" applyAlignment="1">
      <alignment vertical="center"/>
    </xf>
    <xf numFmtId="0" fontId="60" fillId="0" borderId="21" xfId="0" applyFont="1" applyBorder="1" applyAlignment="1">
      <alignment vertical="center"/>
    </xf>
    <xf numFmtId="0" fontId="67" fillId="0" borderId="152" xfId="0" applyFont="1" applyBorder="1"/>
    <xf numFmtId="0" fontId="60" fillId="0" borderId="13" xfId="0" applyFont="1" applyBorder="1"/>
    <xf numFmtId="0" fontId="60" fillId="0" borderId="125" xfId="0" applyFont="1" applyBorder="1" applyAlignment="1">
      <alignment horizontal="left" vertical="top"/>
    </xf>
    <xf numFmtId="164" fontId="118" fillId="0" borderId="128" xfId="0" applyNumberFormat="1" applyFont="1" applyBorder="1" applyAlignment="1">
      <alignment horizontal="right" vertical="top"/>
    </xf>
    <xf numFmtId="0" fontId="60" fillId="0" borderId="128" xfId="0" applyNumberFormat="1" applyFont="1" applyBorder="1" applyAlignment="1">
      <alignment horizontal="left" vertical="center" wrapText="1" indent="1"/>
    </xf>
    <xf numFmtId="0" fontId="90" fillId="0" borderId="127" xfId="0" applyFont="1" applyBorder="1" applyAlignment="1">
      <alignment horizontal="left" vertical="center" wrapText="1"/>
    </xf>
    <xf numFmtId="0" fontId="60" fillId="0" borderId="128" xfId="0" applyFont="1" applyBorder="1" applyAlignment="1">
      <alignment horizontal="left" vertical="top"/>
    </xf>
    <xf numFmtId="0" fontId="60" fillId="0" borderId="0" xfId="0" applyFont="1" applyBorder="1" applyAlignment="1">
      <alignment vertical="top"/>
    </xf>
    <xf numFmtId="0" fontId="120" fillId="0" borderId="128" xfId="0" applyNumberFormat="1" applyFont="1" applyBorder="1" applyAlignment="1">
      <alignment horizontal="left" vertical="center"/>
    </xf>
    <xf numFmtId="0" fontId="118" fillId="0" borderId="128" xfId="0" applyFont="1" applyBorder="1" applyAlignment="1">
      <alignment vertical="top"/>
    </xf>
    <xf numFmtId="0" fontId="118" fillId="0" borderId="128" xfId="0" applyFont="1" applyBorder="1" applyAlignment="1">
      <alignment horizontal="left" vertical="top"/>
    </xf>
    <xf numFmtId="0" fontId="60" fillId="0" borderId="125" xfId="0" applyFont="1" applyBorder="1" applyAlignment="1"/>
    <xf numFmtId="164" fontId="118" fillId="0" borderId="128" xfId="0" applyNumberFormat="1" applyFont="1" applyBorder="1" applyAlignment="1"/>
    <xf numFmtId="0" fontId="60" fillId="0" borderId="128" xfId="0" applyFont="1" applyBorder="1" applyAlignment="1"/>
    <xf numFmtId="0" fontId="67" fillId="0" borderId="126" xfId="0" applyFont="1" applyBorder="1" applyAlignment="1"/>
    <xf numFmtId="0" fontId="88" fillId="0" borderId="12" xfId="0" applyFont="1" applyBorder="1" applyAlignment="1">
      <alignment horizontal="left"/>
    </xf>
    <xf numFmtId="0" fontId="65" fillId="0" borderId="16" xfId="0" applyFont="1" applyBorder="1" applyAlignment="1">
      <alignment horizontal="left" vertical="center" indent="1"/>
    </xf>
    <xf numFmtId="0" fontId="64" fillId="0" borderId="16" xfId="0" applyFont="1" applyBorder="1" applyAlignment="1">
      <alignment horizontal="left" vertical="center"/>
    </xf>
    <xf numFmtId="0" fontId="73" fillId="0" borderId="10" xfId="0" applyFont="1" applyBorder="1" applyAlignment="1">
      <alignment horizontal="left" vertical="center"/>
    </xf>
    <xf numFmtId="49" fontId="88" fillId="0" borderId="12" xfId="0" applyNumberFormat="1" applyFont="1" applyFill="1" applyBorder="1" applyAlignment="1">
      <alignment horizontal="left" vertical="center"/>
    </xf>
    <xf numFmtId="49" fontId="60" fillId="0" borderId="16" xfId="0" applyNumberFormat="1" applyFont="1" applyFill="1" applyBorder="1" applyAlignment="1">
      <alignment horizontal="left" vertical="center"/>
    </xf>
    <xf numFmtId="0" fontId="60" fillId="0" borderId="16" xfId="0" applyFont="1" applyFill="1" applyBorder="1" applyAlignment="1" applyProtection="1">
      <alignment horizontal="left" vertical="center"/>
    </xf>
    <xf numFmtId="0" fontId="67" fillId="0" borderId="154" xfId="0" applyFont="1" applyFill="1" applyBorder="1" applyAlignment="1" applyProtection="1">
      <alignment horizontal="left" vertical="center"/>
      <protection locked="0"/>
    </xf>
    <xf numFmtId="49" fontId="88" fillId="0" borderId="17" xfId="0" applyNumberFormat="1" applyFont="1" applyFill="1" applyBorder="1" applyAlignment="1">
      <alignment horizontal="left" vertical="center"/>
    </xf>
    <xf numFmtId="49" fontId="60" fillId="0" borderId="0" xfId="0" applyNumberFormat="1" applyFont="1" applyFill="1" applyBorder="1" applyAlignment="1">
      <alignment horizontal="left" vertical="center"/>
    </xf>
    <xf numFmtId="0" fontId="60" fillId="0" borderId="0" xfId="0" applyFont="1" applyFill="1" applyBorder="1" applyAlignment="1">
      <alignment horizontal="left" vertical="center"/>
    </xf>
    <xf numFmtId="0" fontId="67" fillId="0" borderId="63" xfId="0" applyFont="1" applyFill="1" applyBorder="1" applyAlignment="1">
      <alignment horizontal="left" vertical="center"/>
    </xf>
    <xf numFmtId="0" fontId="60" fillId="0" borderId="55" xfId="0" applyFont="1" applyFill="1" applyBorder="1" applyAlignment="1">
      <alignment horizontal="left" vertical="center"/>
    </xf>
    <xf numFmtId="0" fontId="60" fillId="0" borderId="24" xfId="0" applyFont="1" applyFill="1" applyBorder="1" applyAlignment="1">
      <alignment horizontal="left" vertical="center"/>
    </xf>
    <xf numFmtId="0" fontId="60" fillId="0" borderId="24" xfId="0" applyFont="1" applyFill="1" applyBorder="1" applyAlignment="1">
      <alignment horizontal="left" vertical="center" indent="2"/>
    </xf>
    <xf numFmtId="0" fontId="69" fillId="0" borderId="64" xfId="0" applyFont="1" applyFill="1" applyBorder="1" applyAlignment="1">
      <alignment horizontal="left" vertical="center"/>
    </xf>
    <xf numFmtId="0" fontId="59" fillId="0" borderId="125" xfId="0" applyFont="1" applyFill="1" applyBorder="1" applyAlignment="1"/>
    <xf numFmtId="0" fontId="59" fillId="0" borderId="128" xfId="0" applyFont="1" applyFill="1" applyBorder="1" applyAlignment="1">
      <alignment horizontal="left" vertical="top"/>
    </xf>
    <xf numFmtId="0" fontId="59" fillId="0" borderId="126" xfId="0" applyFont="1" applyFill="1" applyBorder="1" applyAlignment="1">
      <alignment horizontal="left"/>
    </xf>
    <xf numFmtId="0" fontId="59" fillId="0" borderId="0" xfId="0" applyFont="1" applyAlignment="1"/>
    <xf numFmtId="0" fontId="60" fillId="0" borderId="0" xfId="0" applyFont="1" applyAlignment="1">
      <alignment horizontal="left"/>
    </xf>
    <xf numFmtId="0" fontId="59" fillId="0" borderId="126" xfId="0" applyFont="1" applyFill="1" applyBorder="1" applyAlignment="1">
      <alignment horizontal="center" vertical="center"/>
    </xf>
    <xf numFmtId="0" fontId="121" fillId="0" borderId="21" xfId="0" applyFont="1" applyBorder="1" applyAlignment="1">
      <alignment horizontal="left" vertical="top" wrapText="1"/>
    </xf>
    <xf numFmtId="0" fontId="62" fillId="0" borderId="0" xfId="3" applyNumberFormat="1" applyFont="1" applyAlignment="1" applyProtection="1">
      <alignment horizontal="centerContinuous"/>
    </xf>
    <xf numFmtId="0" fontId="62" fillId="0" borderId="0" xfId="3" applyNumberFormat="1" applyFont="1" applyBorder="1" applyAlignment="1" applyProtection="1">
      <alignment horizontal="center"/>
    </xf>
    <xf numFmtId="0" fontId="70" fillId="0" borderId="0" xfId="3" applyNumberFormat="1" applyFont="1" applyAlignment="1" applyProtection="1">
      <alignment horizontal="centerContinuous"/>
    </xf>
    <xf numFmtId="0" fontId="69" fillId="0" borderId="0" xfId="3" applyNumberFormat="1" applyFont="1" applyAlignment="1" applyProtection="1">
      <alignment horizontal="right" vertical="center" textRotation="180"/>
    </xf>
    <xf numFmtId="0" fontId="69" fillId="0" borderId="0" xfId="3" applyNumberFormat="1" applyFont="1" applyAlignment="1" applyProtection="1">
      <alignment vertical="center" textRotation="180"/>
    </xf>
    <xf numFmtId="0" fontId="62" fillId="0" borderId="0" xfId="3" applyNumberFormat="1" applyFont="1" applyProtection="1"/>
    <xf numFmtId="0" fontId="62" fillId="0" borderId="9" xfId="3" applyNumberFormat="1" applyFont="1" applyBorder="1" applyProtection="1"/>
    <xf numFmtId="0" fontId="62" fillId="0" borderId="9" xfId="3" applyNumberFormat="1" applyFont="1" applyBorder="1" applyAlignment="1" applyProtection="1">
      <alignment horizontal="center"/>
    </xf>
    <xf numFmtId="0" fontId="67" fillId="0" borderId="0" xfId="3" applyNumberFormat="1" applyFont="1" applyProtection="1"/>
    <xf numFmtId="0" fontId="60" fillId="0" borderId="143" xfId="3" quotePrefix="1" applyNumberFormat="1" applyFont="1" applyBorder="1" applyAlignment="1" applyProtection="1">
      <alignment horizontal="left"/>
    </xf>
    <xf numFmtId="0" fontId="67" fillId="0" borderId="144" xfId="3" applyNumberFormat="1" applyFont="1" applyBorder="1" applyAlignment="1" applyProtection="1">
      <alignment horizontal="center"/>
    </xf>
    <xf numFmtId="0" fontId="67" fillId="0" borderId="144" xfId="3" applyNumberFormat="1" applyFont="1" applyBorder="1" applyProtection="1"/>
    <xf numFmtId="0" fontId="60" fillId="0" borderId="143" xfId="3" applyNumberFormat="1" applyFont="1" applyBorder="1" applyAlignment="1" applyProtection="1"/>
    <xf numFmtId="0" fontId="67" fillId="0" borderId="145" xfId="3" applyNumberFormat="1" applyFont="1" applyBorder="1" applyAlignment="1" applyProtection="1">
      <alignment horizontal="centerContinuous"/>
    </xf>
    <xf numFmtId="0" fontId="60" fillId="0" borderId="143" xfId="3" applyNumberFormat="1" applyFont="1" applyBorder="1" applyAlignment="1" applyProtection="1">
      <alignment horizontal="left"/>
    </xf>
    <xf numFmtId="0" fontId="67" fillId="0" borderId="145" xfId="3" applyNumberFormat="1" applyFont="1" applyBorder="1" applyProtection="1"/>
    <xf numFmtId="0" fontId="67" fillId="0" borderId="144" xfId="3" quotePrefix="1" applyNumberFormat="1" applyFont="1" applyBorder="1" applyAlignment="1" applyProtection="1">
      <alignment horizontal="left"/>
    </xf>
    <xf numFmtId="0" fontId="60" fillId="0" borderId="5" xfId="3" quotePrefix="1" applyNumberFormat="1" applyFont="1" applyBorder="1" applyAlignment="1" applyProtection="1">
      <alignment horizontal="left"/>
    </xf>
    <xf numFmtId="0" fontId="67" fillId="0" borderId="0" xfId="3" applyNumberFormat="1" applyFont="1" applyBorder="1" applyProtection="1"/>
    <xf numFmtId="0" fontId="67" fillId="0" borderId="40" xfId="3" applyNumberFormat="1" applyFont="1" applyBorder="1" applyProtection="1"/>
    <xf numFmtId="0" fontId="60" fillId="0" borderId="5" xfId="3" applyNumberFormat="1" applyFont="1" applyBorder="1" applyProtection="1"/>
    <xf numFmtId="0" fontId="70" fillId="0" borderId="0" xfId="3" applyNumberFormat="1" applyFont="1" applyBorder="1" applyProtection="1"/>
    <xf numFmtId="0" fontId="60" fillId="0" borderId="143" xfId="3" applyNumberFormat="1" applyFont="1" applyBorder="1" applyProtection="1"/>
    <xf numFmtId="0" fontId="62" fillId="0" borderId="0" xfId="3" applyNumberFormat="1" applyFont="1" applyBorder="1" applyProtection="1"/>
    <xf numFmtId="0" fontId="59" fillId="0" borderId="0" xfId="3" applyNumberFormat="1" applyFont="1" applyAlignment="1" applyProtection="1">
      <alignment horizontal="left"/>
    </xf>
    <xf numFmtId="0" fontId="70" fillId="0" borderId="0" xfId="3" applyNumberFormat="1" applyFont="1" applyAlignment="1" applyProtection="1">
      <alignment horizontal="left"/>
    </xf>
    <xf numFmtId="0" fontId="62" fillId="0" borderId="1" xfId="3" applyNumberFormat="1" applyFont="1" applyBorder="1" applyAlignment="1" applyProtection="1">
      <alignment horizontal="center" vertical="center"/>
      <protection locked="0"/>
    </xf>
    <xf numFmtId="0" fontId="60" fillId="0" borderId="0" xfId="3" applyNumberFormat="1" applyFont="1" applyBorder="1" applyAlignment="1" applyProtection="1">
      <alignment vertical="center"/>
    </xf>
    <xf numFmtId="0" fontId="67" fillId="0" borderId="0" xfId="3" applyNumberFormat="1" applyFont="1" applyBorder="1" applyAlignment="1" applyProtection="1">
      <alignment horizontal="center"/>
    </xf>
    <xf numFmtId="0" fontId="76" fillId="0" borderId="0" xfId="3" applyNumberFormat="1" applyFont="1" applyAlignment="1" applyProtection="1">
      <alignment vertical="center"/>
    </xf>
    <xf numFmtId="0" fontId="69" fillId="0" borderId="0" xfId="3" applyNumberFormat="1" applyFont="1" applyBorder="1" applyProtection="1"/>
    <xf numFmtId="0" fontId="60" fillId="0" borderId="0" xfId="3" applyNumberFormat="1" applyFont="1" applyAlignment="1" applyProtection="1">
      <alignment vertical="center"/>
    </xf>
    <xf numFmtId="0" fontId="69" fillId="0" borderId="0" xfId="3" applyNumberFormat="1" applyFont="1" applyProtection="1"/>
    <xf numFmtId="0" fontId="70" fillId="0" borderId="0" xfId="3" applyNumberFormat="1" applyFont="1" applyProtection="1"/>
    <xf numFmtId="0" fontId="60" fillId="0" borderId="0" xfId="3" applyNumberFormat="1" applyFont="1" applyBorder="1" applyProtection="1"/>
    <xf numFmtId="0" fontId="60" fillId="0" borderId="0" xfId="3" applyNumberFormat="1" applyFont="1" applyProtection="1"/>
    <xf numFmtId="0" fontId="67" fillId="0" borderId="0" xfId="3" quotePrefix="1" applyNumberFormat="1" applyFont="1" applyAlignment="1" applyProtection="1">
      <alignment horizontal="left"/>
    </xf>
    <xf numFmtId="0" fontId="60" fillId="0" borderId="0" xfId="3" applyFont="1"/>
    <xf numFmtId="0" fontId="59" fillId="0" borderId="0" xfId="3" applyFont="1" applyAlignment="1">
      <alignment horizontal="center" vertical="center"/>
    </xf>
    <xf numFmtId="0" fontId="62" fillId="0" borderId="0" xfId="3" applyFont="1" applyAlignment="1">
      <alignment horizontal="center" vertical="center"/>
    </xf>
    <xf numFmtId="164" fontId="67" fillId="0" borderId="0" xfId="3" applyNumberFormat="1" applyFont="1"/>
    <xf numFmtId="0" fontId="69" fillId="0" borderId="0" xfId="3" applyFont="1"/>
    <xf numFmtId="164" fontId="69" fillId="0" borderId="0" xfId="3" applyNumberFormat="1" applyFont="1" applyAlignment="1">
      <alignment horizontal="right"/>
    </xf>
    <xf numFmtId="49" fontId="67" fillId="0" borderId="0" xfId="3" applyNumberFormat="1" applyFont="1"/>
    <xf numFmtId="0" fontId="67" fillId="0" borderId="0" xfId="3" applyFont="1"/>
    <xf numFmtId="0" fontId="73" fillId="0" borderId="0" xfId="3" applyFont="1"/>
    <xf numFmtId="164" fontId="73" fillId="0" borderId="0" xfId="3" applyNumberFormat="1" applyFont="1" applyAlignment="1">
      <alignment horizontal="right"/>
    </xf>
    <xf numFmtId="0" fontId="69" fillId="0" borderId="22" xfId="3" applyFont="1" applyBorder="1" applyAlignment="1" applyProtection="1">
      <alignment horizontal="center"/>
      <protection locked="0"/>
    </xf>
    <xf numFmtId="164" fontId="67" fillId="0" borderId="0" xfId="3" applyNumberFormat="1" applyFont="1" applyBorder="1" applyAlignment="1">
      <alignment horizontal="right"/>
    </xf>
    <xf numFmtId="49" fontId="73" fillId="0" borderId="0" xfId="3" applyNumberFormat="1" applyFont="1" applyAlignment="1"/>
    <xf numFmtId="0" fontId="67" fillId="0" borderId="0" xfId="3" applyFont="1" applyAlignment="1"/>
    <xf numFmtId="0" fontId="69" fillId="0" borderId="147" xfId="3" applyFont="1" applyBorder="1" applyAlignment="1" applyProtection="1">
      <alignment horizontal="center"/>
      <protection locked="0"/>
    </xf>
    <xf numFmtId="49" fontId="67" fillId="0" borderId="0" xfId="3" applyNumberFormat="1" applyFont="1" applyAlignment="1"/>
    <xf numFmtId="0" fontId="67" fillId="0" borderId="0" xfId="3" applyFont="1" applyAlignment="1">
      <alignment horizontal="center"/>
    </xf>
    <xf numFmtId="164" fontId="67" fillId="0" borderId="0" xfId="3" applyNumberFormat="1" applyFont="1" applyAlignment="1">
      <alignment horizontal="right"/>
    </xf>
    <xf numFmtId="49" fontId="69" fillId="0" borderId="0" xfId="3" applyNumberFormat="1" applyFont="1" applyAlignment="1"/>
    <xf numFmtId="49" fontId="67" fillId="0" borderId="0" xfId="3" applyNumberFormat="1" applyFont="1" applyFill="1" applyAlignment="1"/>
    <xf numFmtId="49" fontId="67" fillId="0" borderId="0" xfId="3" applyNumberFormat="1" applyFont="1" applyFill="1" applyBorder="1" applyAlignment="1"/>
    <xf numFmtId="49" fontId="122" fillId="0" borderId="0" xfId="15" applyNumberFormat="1" applyFont="1"/>
    <xf numFmtId="49" fontId="67" fillId="0" borderId="0" xfId="3" applyNumberFormat="1" applyFont="1" applyFill="1" applyBorder="1"/>
    <xf numFmtId="0" fontId="67" fillId="0" borderId="0" xfId="3" applyFont="1" applyBorder="1" applyAlignment="1">
      <alignment horizontal="center"/>
    </xf>
    <xf numFmtId="0" fontId="103" fillId="0" borderId="0" xfId="3" applyFont="1" applyAlignment="1">
      <alignment horizontal="center"/>
    </xf>
    <xf numFmtId="164" fontId="103" fillId="0" borderId="0" xfId="3" applyNumberFormat="1" applyFont="1" applyAlignment="1">
      <alignment horizontal="right"/>
    </xf>
    <xf numFmtId="0" fontId="73" fillId="0" borderId="22" xfId="3" applyFont="1" applyBorder="1" applyAlignment="1" applyProtection="1">
      <alignment horizontal="center"/>
      <protection locked="0"/>
    </xf>
    <xf numFmtId="0" fontId="103" fillId="0" borderId="0" xfId="3" applyFont="1" applyBorder="1" applyAlignment="1">
      <alignment horizontal="center"/>
    </xf>
    <xf numFmtId="0" fontId="67" fillId="0" borderId="0" xfId="16" applyFont="1" applyFill="1" applyBorder="1" applyAlignment="1">
      <alignment horizontal="left"/>
    </xf>
    <xf numFmtId="164" fontId="69" fillId="0" borderId="22" xfId="3" applyNumberFormat="1" applyFont="1" applyBorder="1" applyAlignment="1" applyProtection="1">
      <alignment horizontal="center" vertical="center"/>
      <protection locked="0"/>
    </xf>
    <xf numFmtId="49" fontId="61" fillId="0" borderId="0" xfId="2" applyNumberFormat="1" applyFont="1" applyAlignment="1" applyProtection="1">
      <alignment horizontal="left" indent="2"/>
    </xf>
    <xf numFmtId="49" fontId="67" fillId="0" borderId="0" xfId="3" applyNumberFormat="1" applyFont="1" applyFill="1"/>
    <xf numFmtId="49" fontId="69" fillId="0" borderId="0" xfId="3" applyNumberFormat="1" applyFont="1" applyFill="1" applyBorder="1"/>
    <xf numFmtId="49" fontId="69" fillId="0" borderId="0" xfId="3" applyNumberFormat="1" applyFont="1"/>
    <xf numFmtId="49" fontId="73" fillId="0" borderId="0" xfId="3" applyNumberFormat="1" applyFont="1"/>
    <xf numFmtId="0" fontId="67" fillId="0" borderId="0" xfId="3" applyFont="1" applyBorder="1" applyAlignment="1" applyProtection="1">
      <alignment horizontal="center"/>
    </xf>
    <xf numFmtId="49" fontId="73" fillId="0" borderId="0" xfId="3" applyNumberFormat="1" applyFont="1" applyFill="1" applyBorder="1"/>
    <xf numFmtId="49" fontId="123" fillId="0" borderId="0" xfId="3" applyNumberFormat="1" applyFont="1" applyFill="1" applyBorder="1"/>
    <xf numFmtId="49" fontId="73" fillId="0" borderId="0" xfId="3" applyNumberFormat="1" applyFont="1" applyAlignment="1">
      <alignment vertical="top"/>
    </xf>
    <xf numFmtId="0" fontId="67" fillId="0" borderId="144" xfId="3" applyFont="1" applyBorder="1" applyAlignment="1" applyProtection="1">
      <alignment horizontal="center"/>
    </xf>
    <xf numFmtId="49" fontId="67" fillId="0" borderId="0" xfId="3" applyNumberFormat="1" applyFont="1" applyAlignment="1">
      <alignment vertical="top"/>
    </xf>
    <xf numFmtId="0" fontId="69" fillId="0" borderId="9" xfId="3" applyFont="1" applyBorder="1" applyAlignment="1" applyProtection="1">
      <alignment horizontal="center"/>
      <protection locked="0"/>
    </xf>
    <xf numFmtId="0" fontId="67" fillId="0" borderId="0" xfId="3" applyFont="1" applyBorder="1" applyProtection="1"/>
    <xf numFmtId="0" fontId="62" fillId="0" borderId="0" xfId="3" applyFont="1" applyAlignment="1" applyProtection="1">
      <alignment horizontal="center"/>
    </xf>
    <xf numFmtId="42" fontId="62" fillId="0" borderId="0" xfId="3" applyNumberFormat="1" applyFont="1" applyProtection="1"/>
    <xf numFmtId="0" fontId="70" fillId="0" borderId="0" xfId="3" applyFont="1" applyProtection="1"/>
    <xf numFmtId="0" fontId="62" fillId="0" borderId="0" xfId="13" applyFont="1" applyBorder="1" applyProtection="1"/>
    <xf numFmtId="0" fontId="62" fillId="0" borderId="0" xfId="13" applyFont="1" applyBorder="1" applyAlignment="1" applyProtection="1">
      <alignment horizontal="center"/>
    </xf>
    <xf numFmtId="42" fontId="62" fillId="2" borderId="9" xfId="3" applyNumberFormat="1" applyFont="1" applyFill="1" applyBorder="1" applyProtection="1"/>
    <xf numFmtId="41" fontId="62" fillId="2" borderId="9" xfId="3" applyNumberFormat="1" applyFont="1" applyFill="1" applyBorder="1" applyProtection="1"/>
    <xf numFmtId="0" fontId="70" fillId="0" borderId="0" xfId="3" applyFont="1" applyAlignment="1" applyProtection="1">
      <alignment horizontal="left" indent="2"/>
    </xf>
    <xf numFmtId="42" fontId="62" fillId="2" borderId="47" xfId="3" applyNumberFormat="1" applyFont="1" applyFill="1" applyBorder="1" applyProtection="1"/>
    <xf numFmtId="0" fontId="80" fillId="0" borderId="0" xfId="3" applyFont="1" applyProtection="1"/>
    <xf numFmtId="42" fontId="62" fillId="0" borderId="69" xfId="3" applyNumberFormat="1" applyFont="1" applyBorder="1" applyProtection="1">
      <protection locked="0"/>
    </xf>
    <xf numFmtId="42" fontId="62" fillId="0" borderId="0" xfId="3" applyNumberFormat="1" applyFont="1" applyFill="1" applyProtection="1"/>
    <xf numFmtId="42" fontId="62" fillId="0" borderId="9" xfId="3" applyNumberFormat="1" applyFont="1" applyBorder="1" applyProtection="1">
      <protection locked="0"/>
    </xf>
    <xf numFmtId="42" fontId="62" fillId="0" borderId="68" xfId="3" applyNumberFormat="1" applyFont="1" applyBorder="1" applyProtection="1">
      <protection locked="0"/>
    </xf>
    <xf numFmtId="0" fontId="62" fillId="0" borderId="0" xfId="3" applyFont="1" applyAlignment="1" applyProtection="1">
      <alignment horizontal="right"/>
    </xf>
    <xf numFmtId="42" fontId="62" fillId="2" borderId="128" xfId="3" applyNumberFormat="1" applyFont="1" applyFill="1" applyBorder="1" applyProtection="1"/>
    <xf numFmtId="0" fontId="70" fillId="0" borderId="0" xfId="3" applyFont="1" applyAlignment="1" applyProtection="1">
      <alignment horizontal="center" vertical="center"/>
    </xf>
    <xf numFmtId="165" fontId="70" fillId="0" borderId="0" xfId="3" applyNumberFormat="1" applyFont="1" applyAlignment="1" applyProtection="1">
      <alignment vertical="center"/>
    </xf>
    <xf numFmtId="0" fontId="59" fillId="0" borderId="0" xfId="3" applyFont="1" applyProtection="1"/>
    <xf numFmtId="0" fontId="59" fillId="0" borderId="0" xfId="3" applyFont="1" applyFill="1" applyProtection="1"/>
    <xf numFmtId="0" fontId="62" fillId="0" borderId="0" xfId="3" applyFont="1" applyFill="1" applyProtection="1"/>
    <xf numFmtId="169" fontId="60" fillId="0" borderId="0" xfId="3" applyNumberFormat="1" applyFont="1" applyFill="1" applyProtection="1"/>
    <xf numFmtId="0" fontId="60" fillId="0" borderId="0" xfId="3" applyFont="1" applyFill="1" applyProtection="1"/>
    <xf numFmtId="0" fontId="62" fillId="0" borderId="9" xfId="3" applyFont="1" applyFill="1" applyBorder="1" applyAlignment="1" applyProtection="1">
      <alignment horizontal="center" vertical="center"/>
      <protection locked="0"/>
    </xf>
    <xf numFmtId="0" fontId="60" fillId="0" borderId="0" xfId="3" applyFont="1" applyProtection="1"/>
    <xf numFmtId="0" fontId="60" fillId="0" borderId="146" xfId="3" applyFont="1" applyBorder="1" applyProtection="1"/>
    <xf numFmtId="0" fontId="60" fillId="0" borderId="147" xfId="3" applyFont="1" applyBorder="1" applyProtection="1">
      <protection locked="0"/>
    </xf>
    <xf numFmtId="0" fontId="60" fillId="0" borderId="146" xfId="3" applyFont="1" applyBorder="1" applyAlignment="1" applyProtection="1">
      <alignment horizontal="center"/>
      <protection locked="0"/>
    </xf>
    <xf numFmtId="0" fontId="70" fillId="0" borderId="0" xfId="3" applyFont="1" applyAlignment="1" applyProtection="1">
      <alignment horizontal="center"/>
    </xf>
    <xf numFmtId="0" fontId="59" fillId="0" borderId="0" xfId="3" applyFont="1" applyBorder="1" applyProtection="1"/>
    <xf numFmtId="5" fontId="60" fillId="0" borderId="78" xfId="3" applyNumberFormat="1" applyFont="1" applyBorder="1" applyAlignment="1" applyProtection="1">
      <protection locked="0"/>
    </xf>
    <xf numFmtId="5" fontId="60" fillId="0" borderId="76" xfId="3" applyNumberFormat="1" applyFont="1" applyBorder="1" applyAlignment="1" applyProtection="1">
      <protection locked="0"/>
    </xf>
    <xf numFmtId="5" fontId="70" fillId="0" borderId="0" xfId="3" applyNumberFormat="1" applyFont="1" applyAlignment="1" applyProtection="1"/>
    <xf numFmtId="0" fontId="70" fillId="0" borderId="0" xfId="3" applyFont="1" applyAlignment="1" applyProtection="1"/>
    <xf numFmtId="5" fontId="60" fillId="0" borderId="78" xfId="3" applyNumberFormat="1" applyFont="1" applyBorder="1" applyAlignment="1" applyProtection="1">
      <alignment horizontal="center"/>
      <protection locked="0"/>
    </xf>
    <xf numFmtId="5" fontId="60" fillId="0" borderId="76" xfId="3" applyNumberFormat="1" applyFont="1" applyBorder="1" applyAlignment="1" applyProtection="1">
      <alignment horizontal="center"/>
      <protection locked="0"/>
    </xf>
    <xf numFmtId="0" fontId="70" fillId="0" borderId="0" xfId="3" applyFont="1" applyBorder="1" applyProtection="1"/>
    <xf numFmtId="0" fontId="67" fillId="0" borderId="0" xfId="3" applyFont="1" applyAlignment="1" applyProtection="1">
      <alignment vertical="top"/>
    </xf>
    <xf numFmtId="0" fontId="67" fillId="0" borderId="78" xfId="3" applyFont="1" applyBorder="1" applyAlignment="1" applyProtection="1">
      <alignment vertical="top"/>
    </xf>
    <xf numFmtId="0" fontId="62" fillId="0" borderId="78" xfId="3" applyFont="1" applyBorder="1" applyProtection="1"/>
    <xf numFmtId="0" fontId="67" fillId="0" borderId="0" xfId="3" applyFont="1" applyBorder="1" applyAlignment="1" applyProtection="1">
      <alignment vertical="top"/>
    </xf>
    <xf numFmtId="0" fontId="124" fillId="0" borderId="0" xfId="3" applyFont="1" applyAlignment="1" applyProtection="1">
      <alignment vertical="top"/>
    </xf>
    <xf numFmtId="0" fontId="67" fillId="0" borderId="0" xfId="3" applyFont="1" applyProtection="1"/>
    <xf numFmtId="0" fontId="124" fillId="0" borderId="0" xfId="3" applyFont="1" applyAlignment="1" applyProtection="1">
      <alignment horizontal="right" vertical="top"/>
    </xf>
    <xf numFmtId="0" fontId="77" fillId="0" borderId="0" xfId="3" applyFont="1" applyAlignment="1" applyProtection="1">
      <alignment horizontal="center" vertical="center"/>
    </xf>
    <xf numFmtId="0" fontId="62" fillId="0" borderId="45" xfId="3" applyFont="1" applyBorder="1" applyProtection="1"/>
    <xf numFmtId="169" fontId="69" fillId="0" borderId="45" xfId="3" applyNumberFormat="1" applyFont="1" applyBorder="1" applyAlignment="1" applyProtection="1">
      <alignment horizontal="center"/>
    </xf>
    <xf numFmtId="1" fontId="69" fillId="0" borderId="145" xfId="3" applyNumberFormat="1" applyFont="1" applyBorder="1" applyAlignment="1" applyProtection="1">
      <alignment horizontal="center"/>
    </xf>
    <xf numFmtId="0" fontId="69" fillId="0" borderId="144" xfId="3" applyFont="1" applyBorder="1" applyAlignment="1" applyProtection="1">
      <alignment horizontal="centerContinuous"/>
    </xf>
    <xf numFmtId="0" fontId="69" fillId="0" borderId="145" xfId="3" applyFont="1" applyBorder="1" applyAlignment="1" applyProtection="1">
      <alignment horizontal="centerContinuous"/>
    </xf>
    <xf numFmtId="0" fontId="69" fillId="0" borderId="73" xfId="3" applyFont="1" applyBorder="1" applyAlignment="1" applyProtection="1">
      <alignment horizontal="centerContinuous"/>
    </xf>
    <xf numFmtId="0" fontId="69" fillId="0" borderId="45" xfId="3" applyFont="1" applyBorder="1" applyAlignment="1" applyProtection="1">
      <alignment horizontal="center"/>
    </xf>
    <xf numFmtId="0" fontId="69" fillId="5" borderId="45" xfId="3" applyFont="1" applyFill="1" applyBorder="1" applyAlignment="1" applyProtection="1">
      <alignment horizontal="center"/>
    </xf>
    <xf numFmtId="0" fontId="69" fillId="5" borderId="145" xfId="3" applyFont="1" applyFill="1" applyBorder="1" applyAlignment="1" applyProtection="1">
      <alignment horizontal="center"/>
    </xf>
    <xf numFmtId="0" fontId="69" fillId="0" borderId="5" xfId="3" applyFont="1" applyBorder="1" applyAlignment="1" applyProtection="1">
      <alignment horizontal="left"/>
    </xf>
    <xf numFmtId="169" fontId="69" fillId="0" borderId="44" xfId="3" applyNumberFormat="1" applyFont="1" applyBorder="1" applyAlignment="1" applyProtection="1">
      <alignment horizontal="center"/>
    </xf>
    <xf numFmtId="1" fontId="69" fillId="0" borderId="40" xfId="3" applyNumberFormat="1" applyFont="1" applyBorder="1" applyAlignment="1" applyProtection="1">
      <alignment horizontal="center"/>
    </xf>
    <xf numFmtId="0" fontId="69" fillId="0" borderId="0" xfId="3" applyFont="1" applyBorder="1" applyAlignment="1" applyProtection="1">
      <alignment horizontal="centerContinuous"/>
    </xf>
    <xf numFmtId="0" fontId="69" fillId="0" borderId="40" xfId="3" applyFont="1" applyBorder="1" applyAlignment="1" applyProtection="1">
      <alignment horizontal="centerContinuous"/>
    </xf>
    <xf numFmtId="0" fontId="69" fillId="20" borderId="72" xfId="3" applyFont="1" applyFill="1" applyBorder="1" applyAlignment="1" applyProtection="1">
      <alignment horizontal="center"/>
    </xf>
    <xf numFmtId="0" fontId="69" fillId="21" borderId="72" xfId="3" applyFont="1" applyFill="1" applyBorder="1" applyAlignment="1" applyProtection="1">
      <alignment horizontal="center"/>
    </xf>
    <xf numFmtId="0" fontId="69" fillId="0" borderId="72" xfId="3" applyFont="1" applyBorder="1" applyAlignment="1" applyProtection="1">
      <alignment horizontal="center"/>
    </xf>
    <xf numFmtId="0" fontId="69" fillId="5" borderId="72" xfId="3" applyFont="1" applyFill="1" applyBorder="1" applyAlignment="1" applyProtection="1">
      <alignment horizontal="center"/>
    </xf>
    <xf numFmtId="0" fontId="69" fillId="5" borderId="40" xfId="3" applyFont="1" applyFill="1" applyBorder="1" applyAlignment="1" applyProtection="1">
      <alignment horizontal="center"/>
    </xf>
    <xf numFmtId="0" fontId="69" fillId="0" borderId="44" xfId="3" applyFont="1" applyBorder="1" applyAlignment="1" applyProtection="1">
      <alignment horizontal="center"/>
    </xf>
    <xf numFmtId="0" fontId="69" fillId="0" borderId="40" xfId="3" applyFont="1" applyBorder="1" applyAlignment="1" applyProtection="1">
      <alignment horizontal="center"/>
    </xf>
    <xf numFmtId="0" fontId="69" fillId="0" borderId="5" xfId="3" applyFont="1" applyBorder="1" applyAlignment="1" applyProtection="1">
      <alignment horizontal="center"/>
    </xf>
    <xf numFmtId="0" fontId="69" fillId="0" borderId="71" xfId="3" applyFont="1" applyBorder="1" applyAlignment="1" applyProtection="1"/>
    <xf numFmtId="0" fontId="69" fillId="5" borderId="72" xfId="3" quotePrefix="1" applyFont="1" applyFill="1" applyBorder="1" applyAlignment="1" applyProtection="1">
      <alignment horizontal="center"/>
    </xf>
    <xf numFmtId="169" fontId="69" fillId="0" borderId="8" xfId="3" applyNumberFormat="1" applyFont="1" applyBorder="1" applyAlignment="1" applyProtection="1">
      <alignment horizontal="center"/>
    </xf>
    <xf numFmtId="1" fontId="69" fillId="0" borderId="59" xfId="3" applyNumberFormat="1" applyFont="1" applyBorder="1" applyAlignment="1" applyProtection="1">
      <alignment horizontal="center"/>
    </xf>
    <xf numFmtId="0" fontId="69" fillId="0" borderId="8" xfId="3" applyFont="1" applyBorder="1" applyAlignment="1" applyProtection="1">
      <alignment horizontal="center"/>
    </xf>
    <xf numFmtId="0" fontId="69" fillId="0" borderId="59" xfId="3" applyFont="1" applyBorder="1" applyAlignment="1" applyProtection="1">
      <alignment horizontal="center"/>
    </xf>
    <xf numFmtId="0" fontId="69" fillId="0" borderId="50" xfId="3" applyFont="1" applyBorder="1" applyAlignment="1" applyProtection="1">
      <alignment horizontal="center"/>
    </xf>
    <xf numFmtId="0" fontId="69" fillId="20" borderId="70" xfId="3" applyFont="1" applyFill="1" applyBorder="1" applyAlignment="1" applyProtection="1">
      <alignment horizontal="center"/>
    </xf>
    <xf numFmtId="0" fontId="69" fillId="5" borderId="70" xfId="3" applyFont="1" applyFill="1" applyBorder="1" applyAlignment="1" applyProtection="1">
      <alignment horizontal="center"/>
    </xf>
    <xf numFmtId="0" fontId="69" fillId="21" borderId="70" xfId="3" applyFont="1" applyFill="1" applyBorder="1" applyAlignment="1" applyProtection="1">
      <alignment horizontal="center"/>
    </xf>
    <xf numFmtId="0" fontId="69" fillId="0" borderId="70" xfId="3" applyFont="1" applyBorder="1" applyAlignment="1" applyProtection="1">
      <alignment horizontal="center"/>
    </xf>
    <xf numFmtId="0" fontId="69" fillId="5" borderId="59" xfId="3" applyFont="1" applyFill="1" applyBorder="1" applyAlignment="1" applyProtection="1">
      <alignment horizontal="center"/>
    </xf>
    <xf numFmtId="3" fontId="67" fillId="0" borderId="22" xfId="3" applyNumberFormat="1" applyFont="1" applyBorder="1" applyAlignment="1" applyProtection="1">
      <alignment horizontal="left" vertical="center" wrapText="1"/>
      <protection locked="0"/>
    </xf>
    <xf numFmtId="169" fontId="67" fillId="0" borderId="8" xfId="3" applyNumberFormat="1" applyFont="1" applyBorder="1" applyAlignment="1" applyProtection="1">
      <alignment horizontal="center"/>
      <protection locked="0"/>
    </xf>
    <xf numFmtId="1" fontId="67" fillId="0" borderId="8" xfId="3" applyNumberFormat="1" applyFont="1" applyBorder="1" applyAlignment="1" applyProtection="1">
      <alignment horizontal="center"/>
      <protection locked="0"/>
    </xf>
    <xf numFmtId="3" fontId="67" fillId="0" borderId="8" xfId="3" applyNumberFormat="1" applyFont="1" applyBorder="1" applyAlignment="1" applyProtection="1">
      <alignment horizontal="center"/>
      <protection locked="0"/>
    </xf>
    <xf numFmtId="169" fontId="67" fillId="0" borderId="22" xfId="3" applyNumberFormat="1" applyFont="1" applyBorder="1" applyAlignment="1" applyProtection="1">
      <alignment horizontal="center"/>
      <protection locked="0"/>
    </xf>
    <xf numFmtId="1" fontId="67" fillId="0" borderId="22" xfId="3" applyNumberFormat="1" applyFont="1" applyBorder="1" applyAlignment="1" applyProtection="1">
      <alignment horizontal="center"/>
      <protection locked="0"/>
    </xf>
    <xf numFmtId="3" fontId="67" fillId="0" borderId="22" xfId="3" applyNumberFormat="1" applyFont="1" applyBorder="1" applyAlignment="1" applyProtection="1">
      <alignment horizontal="center"/>
      <protection locked="0"/>
    </xf>
    <xf numFmtId="0" fontId="62" fillId="0" borderId="0" xfId="3" applyFont="1" applyAlignment="1" applyProtection="1">
      <alignment textRotation="180" wrapText="1"/>
    </xf>
    <xf numFmtId="3" fontId="67" fillId="0" borderId="0" xfId="3" applyNumberFormat="1" applyFont="1" applyBorder="1" applyAlignment="1" applyProtection="1">
      <alignment horizontal="left" vertical="center" wrapText="1"/>
      <protection locked="0"/>
    </xf>
    <xf numFmtId="169" fontId="67" fillId="0" borderId="0" xfId="3" applyNumberFormat="1" applyFont="1" applyBorder="1" applyAlignment="1" applyProtection="1">
      <alignment horizontal="center"/>
      <protection locked="0"/>
    </xf>
    <xf numFmtId="1" fontId="67" fillId="0" borderId="0" xfId="3" applyNumberFormat="1" applyFont="1" applyBorder="1" applyAlignment="1" applyProtection="1">
      <alignment horizontal="center"/>
      <protection locked="0"/>
    </xf>
    <xf numFmtId="3" fontId="67" fillId="0" borderId="0" xfId="3" applyNumberFormat="1" applyFont="1" applyBorder="1" applyAlignment="1" applyProtection="1">
      <alignment horizontal="center"/>
      <protection locked="0"/>
    </xf>
    <xf numFmtId="169" fontId="67" fillId="0" borderId="0" xfId="3" applyNumberFormat="1" applyFont="1" applyBorder="1" applyProtection="1"/>
    <xf numFmtId="1" fontId="67" fillId="0" borderId="0" xfId="3" applyNumberFormat="1" applyFont="1" applyBorder="1" applyProtection="1"/>
    <xf numFmtId="0" fontId="59" fillId="20" borderId="0" xfId="3" applyFont="1" applyFill="1" applyProtection="1"/>
    <xf numFmtId="169" fontId="62" fillId="20" borderId="0" xfId="3" applyNumberFormat="1" applyFont="1" applyFill="1" applyProtection="1"/>
    <xf numFmtId="1" fontId="62" fillId="20" borderId="0" xfId="3" applyNumberFormat="1" applyFont="1" applyFill="1" applyProtection="1"/>
    <xf numFmtId="0" fontId="62" fillId="20" borderId="0" xfId="3" applyFont="1" applyFill="1" applyProtection="1"/>
    <xf numFmtId="169" fontId="62" fillId="0" borderId="0" xfId="3" applyNumberFormat="1" applyFont="1" applyFill="1" applyProtection="1"/>
    <xf numFmtId="1" fontId="62" fillId="0" borderId="0" xfId="3" applyNumberFormat="1" applyFont="1" applyFill="1" applyProtection="1"/>
    <xf numFmtId="169" fontId="62" fillId="0" borderId="0" xfId="3" applyNumberFormat="1" applyFont="1" applyProtection="1"/>
    <xf numFmtId="1" fontId="62" fillId="0" borderId="0" xfId="3" applyNumberFormat="1" applyFont="1" applyProtection="1"/>
    <xf numFmtId="0" fontId="59" fillId="0" borderId="78" xfId="3" applyFont="1" applyBorder="1" applyProtection="1"/>
    <xf numFmtId="169" fontId="62" fillId="0" borderId="78" xfId="3" applyNumberFormat="1" applyFont="1" applyBorder="1" applyProtection="1"/>
    <xf numFmtId="1" fontId="62" fillId="0" borderId="78" xfId="3" applyNumberFormat="1" applyFont="1" applyBorder="1" applyProtection="1"/>
    <xf numFmtId="0" fontId="62" fillId="0" borderId="78" xfId="3" applyFont="1" applyBorder="1" applyAlignment="1" applyProtection="1">
      <alignment horizontal="center"/>
    </xf>
    <xf numFmtId="0" fontId="124" fillId="0" borderId="0" xfId="3" applyFont="1" applyAlignment="1" applyProtection="1">
      <alignment horizontal="left" wrapText="1"/>
    </xf>
    <xf numFmtId="0" fontId="124" fillId="0" borderId="0" xfId="3" applyFont="1" applyAlignment="1" applyProtection="1"/>
    <xf numFmtId="0" fontId="124" fillId="0" borderId="0" xfId="3" applyFont="1" applyAlignment="1" applyProtection="1">
      <alignment wrapText="1"/>
    </xf>
    <xf numFmtId="0" fontId="67" fillId="0" borderId="0" xfId="3" applyFont="1" applyAlignment="1" applyProtection="1">
      <alignment horizontal="left" wrapText="1"/>
    </xf>
    <xf numFmtId="0" fontId="67" fillId="0" borderId="0" xfId="3" applyFont="1" applyAlignment="1" applyProtection="1">
      <alignment horizontal="left"/>
    </xf>
    <xf numFmtId="169" fontId="67" fillId="0" borderId="0" xfId="3" applyNumberFormat="1" applyFont="1" applyProtection="1"/>
    <xf numFmtId="1" fontId="67" fillId="0" borderId="0" xfId="3" applyNumberFormat="1" applyFont="1" applyProtection="1"/>
    <xf numFmtId="0" fontId="67" fillId="0" borderId="0" xfId="3" applyFont="1" applyAlignment="1" applyProtection="1">
      <alignment horizontal="center"/>
    </xf>
    <xf numFmtId="0" fontId="124" fillId="0" borderId="0" xfId="3" applyFont="1" applyAlignment="1" applyProtection="1">
      <alignment vertical="center"/>
    </xf>
    <xf numFmtId="0" fontId="125" fillId="0" borderId="0" xfId="3" applyFont="1" applyFill="1" applyProtection="1"/>
    <xf numFmtId="0" fontId="70" fillId="0" borderId="0" xfId="3" applyFont="1" applyAlignment="1" applyProtection="1">
      <alignment vertical="center"/>
    </xf>
    <xf numFmtId="49" fontId="70" fillId="0" borderId="0" xfId="3" applyNumberFormat="1" applyFont="1" applyBorder="1" applyAlignment="1" applyProtection="1">
      <alignment horizontal="center" vertical="top"/>
    </xf>
    <xf numFmtId="165" fontId="59" fillId="0" borderId="0" xfId="3" applyNumberFormat="1" applyFont="1" applyBorder="1" applyAlignment="1" applyProtection="1">
      <alignment horizontal="center" vertical="center"/>
    </xf>
    <xf numFmtId="166" fontId="70" fillId="0" borderId="0" xfId="3" applyNumberFormat="1" applyFont="1" applyBorder="1" applyAlignment="1" applyProtection="1">
      <alignment horizontal="center" vertical="top"/>
    </xf>
    <xf numFmtId="0" fontId="59" fillId="0" borderId="0" xfId="3" applyFont="1" applyAlignment="1" applyProtection="1">
      <alignment horizontal="center" vertical="center"/>
    </xf>
    <xf numFmtId="0" fontId="70" fillId="0" borderId="144" xfId="3" applyFont="1" applyBorder="1" applyProtection="1"/>
    <xf numFmtId="0" fontId="62" fillId="0" borderId="144" xfId="3" applyFont="1" applyBorder="1" applyProtection="1"/>
    <xf numFmtId="0" fontId="62" fillId="0" borderId="144" xfId="3" applyFont="1" applyBorder="1" applyAlignment="1" applyProtection="1">
      <alignment horizontal="center"/>
    </xf>
    <xf numFmtId="0" fontId="62" fillId="0" borderId="0" xfId="3" applyFont="1" applyFill="1" applyBorder="1" applyProtection="1"/>
    <xf numFmtId="0" fontId="70" fillId="0" borderId="0" xfId="3" applyFont="1" applyFill="1" applyBorder="1" applyAlignment="1" applyProtection="1">
      <alignment horizontal="centerContinuous"/>
    </xf>
    <xf numFmtId="0" fontId="62" fillId="0" borderId="0" xfId="3" applyFont="1" applyBorder="1" applyAlignment="1" applyProtection="1">
      <alignment horizontal="center"/>
    </xf>
    <xf numFmtId="0" fontId="69" fillId="0" borderId="0" xfId="3" applyFont="1" applyBorder="1" applyProtection="1"/>
    <xf numFmtId="0" fontId="70" fillId="0" borderId="0" xfId="3" applyFont="1" applyBorder="1" applyAlignment="1" applyProtection="1">
      <alignment horizontal="right"/>
    </xf>
    <xf numFmtId="178" fontId="70" fillId="0" borderId="9" xfId="3" applyNumberFormat="1" applyFont="1" applyBorder="1" applyAlignment="1" applyProtection="1">
      <alignment horizontal="left"/>
      <protection locked="0"/>
    </xf>
    <xf numFmtId="0" fontId="69" fillId="0" borderId="0" xfId="3" applyFont="1" applyProtection="1"/>
    <xf numFmtId="0" fontId="62" fillId="0" borderId="22" xfId="3" applyFont="1" applyBorder="1" applyAlignment="1" applyProtection="1">
      <alignment horizontal="center" vertical="center"/>
      <protection locked="0"/>
    </xf>
    <xf numFmtId="0" fontId="62" fillId="0" borderId="0" xfId="3" applyFont="1" applyBorder="1" applyAlignment="1" applyProtection="1">
      <alignment horizontal="left" indent="1"/>
    </xf>
    <xf numFmtId="0" fontId="69" fillId="0" borderId="0" xfId="3" applyFont="1" applyBorder="1" applyAlignment="1" applyProtection="1">
      <alignment horizontal="left" indent="1"/>
    </xf>
    <xf numFmtId="0" fontId="69" fillId="0" borderId="0" xfId="3" applyFont="1" applyBorder="1" applyAlignment="1" applyProtection="1">
      <alignment horizontal="left"/>
    </xf>
    <xf numFmtId="0" fontId="62" fillId="0" borderId="9" xfId="3" applyFont="1" applyBorder="1" applyProtection="1">
      <protection locked="0"/>
    </xf>
    <xf numFmtId="0" fontId="69" fillId="0" borderId="144" xfId="3" quotePrefix="1" applyFont="1" applyBorder="1" applyAlignment="1" applyProtection="1">
      <alignment horizontal="left"/>
    </xf>
    <xf numFmtId="0" fontId="60" fillId="0" borderId="144" xfId="3" applyFont="1" applyBorder="1" applyProtection="1"/>
    <xf numFmtId="0" fontId="60" fillId="0" borderId="144" xfId="3" applyFont="1" applyBorder="1" applyAlignment="1" applyProtection="1">
      <alignment horizontal="center"/>
    </xf>
    <xf numFmtId="0" fontId="60" fillId="0" borderId="0" xfId="3" applyFont="1" applyFill="1" applyBorder="1" applyProtection="1"/>
    <xf numFmtId="0" fontId="62" fillId="0" borderId="0" xfId="3" applyFont="1" applyFill="1" applyBorder="1" applyAlignment="1" applyProtection="1"/>
    <xf numFmtId="0" fontId="62" fillId="0" borderId="0" xfId="3" applyFont="1" applyAlignment="1" applyProtection="1">
      <alignment horizontal="left"/>
    </xf>
    <xf numFmtId="0" fontId="62" fillId="0" borderId="0" xfId="3" applyFont="1" applyAlignment="1" applyProtection="1"/>
    <xf numFmtId="8" fontId="62" fillId="0" borderId="0" xfId="3" applyNumberFormat="1" applyFont="1" applyAlignment="1" applyProtection="1">
      <alignment horizontal="left"/>
    </xf>
    <xf numFmtId="0" fontId="69" fillId="0" borderId="144" xfId="3" applyFont="1" applyBorder="1" applyProtection="1"/>
    <xf numFmtId="0" fontId="62" fillId="0" borderId="0" xfId="3" applyFont="1" applyBorder="1" applyAlignment="1" applyProtection="1">
      <alignment horizontal="left"/>
    </xf>
    <xf numFmtId="0" fontId="69" fillId="0" borderId="144" xfId="3" applyFont="1" applyBorder="1" applyAlignment="1" applyProtection="1">
      <alignment horizontal="left"/>
    </xf>
    <xf numFmtId="0" fontId="62" fillId="0" borderId="78" xfId="3" applyFont="1" applyFill="1" applyBorder="1" applyProtection="1"/>
    <xf numFmtId="0" fontId="62" fillId="0" borderId="78" xfId="3" applyFont="1" applyFill="1" applyBorder="1" applyAlignment="1" applyProtection="1">
      <alignment horizontal="center"/>
    </xf>
    <xf numFmtId="0" fontId="124" fillId="0" borderId="0" xfId="3" applyFont="1" applyBorder="1" applyProtection="1"/>
    <xf numFmtId="0" fontId="124" fillId="0" borderId="0" xfId="3" applyFont="1" applyProtection="1"/>
    <xf numFmtId="0" fontId="69" fillId="0" borderId="0" xfId="3" applyFont="1" applyAlignment="1" applyProtection="1">
      <alignment horizontal="center" vertical="top" textRotation="180"/>
    </xf>
    <xf numFmtId="0" fontId="69" fillId="0" borderId="0" xfId="3" applyFont="1" applyAlignment="1" applyProtection="1">
      <alignment horizontal="right" vertical="center" textRotation="180"/>
    </xf>
    <xf numFmtId="0" fontId="70" fillId="0" borderId="0" xfId="3" applyFont="1" applyAlignment="1" applyProtection="1">
      <alignment vertical="center" textRotation="180"/>
    </xf>
    <xf numFmtId="169" fontId="70" fillId="0" borderId="0" xfId="3" applyNumberFormat="1" applyFont="1" applyBorder="1" applyProtection="1"/>
    <xf numFmtId="169" fontId="62" fillId="0" borderId="144" xfId="3" applyNumberFormat="1" applyFont="1" applyBorder="1" applyProtection="1"/>
    <xf numFmtId="169" fontId="62" fillId="0" borderId="9" xfId="3" applyNumberFormat="1" applyFont="1" applyBorder="1" applyProtection="1"/>
    <xf numFmtId="0" fontId="62" fillId="0" borderId="9" xfId="3" applyFont="1" applyBorder="1" applyProtection="1"/>
    <xf numFmtId="0" fontId="62" fillId="0" borderId="9" xfId="3" applyFont="1" applyBorder="1" applyAlignment="1" applyProtection="1">
      <alignment horizontal="center"/>
    </xf>
    <xf numFmtId="169" fontId="62" fillId="0" borderId="0" xfId="3" applyNumberFormat="1" applyFont="1" applyBorder="1" applyProtection="1"/>
    <xf numFmtId="169" fontId="92" fillId="0" borderId="0" xfId="3" applyNumberFormat="1" applyFont="1" applyBorder="1" applyAlignment="1" applyProtection="1">
      <alignment horizontal="left"/>
    </xf>
    <xf numFmtId="0" fontId="84" fillId="0" borderId="0" xfId="3" applyFont="1" applyBorder="1" applyAlignment="1" applyProtection="1">
      <alignment horizontal="left"/>
    </xf>
    <xf numFmtId="0" fontId="62" fillId="0" borderId="0" xfId="3" applyFont="1" applyBorder="1" applyAlignment="1" applyProtection="1"/>
    <xf numFmtId="0" fontId="67" fillId="0" borderId="0" xfId="3" applyFont="1" applyBorder="1" applyAlignment="1" applyProtection="1">
      <alignment horizontal="centerContinuous"/>
    </xf>
    <xf numFmtId="0" fontId="62" fillId="0" borderId="0" xfId="3" applyFont="1" applyBorder="1" applyAlignment="1" applyProtection="1">
      <alignment horizontal="centerContinuous"/>
    </xf>
    <xf numFmtId="169" fontId="69" fillId="0" borderId="0" xfId="3" applyNumberFormat="1" applyFont="1" applyProtection="1"/>
    <xf numFmtId="169" fontId="67" fillId="0" borderId="0" xfId="3" applyNumberFormat="1" applyFont="1" applyAlignment="1" applyProtection="1">
      <alignment horizontal="left"/>
    </xf>
    <xf numFmtId="0" fontId="60" fillId="0" borderId="0" xfId="3" applyFont="1" applyAlignment="1" applyProtection="1">
      <alignment horizontal="left"/>
    </xf>
    <xf numFmtId="0" fontId="62" fillId="0" borderId="9" xfId="3" applyFont="1" applyBorder="1" applyAlignment="1" applyProtection="1">
      <alignment horizontal="center" vertical="center"/>
      <protection locked="0"/>
    </xf>
    <xf numFmtId="0" fontId="62" fillId="0" borderId="0" xfId="3" applyFont="1" applyBorder="1" applyAlignment="1" applyProtection="1">
      <alignment horizontal="center" vertical="center"/>
      <protection locked="0"/>
    </xf>
    <xf numFmtId="0" fontId="115" fillId="0" borderId="0" xfId="3" applyFont="1" applyBorder="1" applyAlignment="1" applyProtection="1">
      <alignment horizontal="left"/>
    </xf>
    <xf numFmtId="169" fontId="73" fillId="0" borderId="0" xfId="3" applyNumberFormat="1" applyFont="1" applyProtection="1"/>
    <xf numFmtId="0" fontId="64" fillId="0" borderId="0" xfId="3" applyFont="1" applyProtection="1"/>
    <xf numFmtId="169" fontId="67" fillId="0" borderId="149" xfId="3" applyNumberFormat="1" applyFont="1" applyBorder="1" applyAlignment="1" applyProtection="1">
      <alignment horizontal="center"/>
    </xf>
    <xf numFmtId="169" fontId="67" fillId="0" borderId="77" xfId="3" applyNumberFormat="1" applyFont="1" applyBorder="1" applyAlignment="1" applyProtection="1">
      <alignment horizontal="center"/>
      <protection locked="0"/>
    </xf>
    <xf numFmtId="169" fontId="127" fillId="0" borderId="0" xfId="3" applyNumberFormat="1" applyFont="1" applyProtection="1"/>
    <xf numFmtId="6" fontId="123" fillId="0" borderId="76" xfId="3" applyNumberFormat="1" applyFont="1" applyBorder="1" applyProtection="1"/>
    <xf numFmtId="6" fontId="123" fillId="0" borderId="0" xfId="3" applyNumberFormat="1" applyFont="1" applyBorder="1" applyProtection="1"/>
    <xf numFmtId="10" fontId="69" fillId="0" borderId="77" xfId="3" applyNumberFormat="1" applyFont="1" applyBorder="1" applyProtection="1"/>
    <xf numFmtId="6" fontId="67" fillId="0" borderId="0" xfId="3" applyNumberFormat="1" applyFont="1" applyProtection="1"/>
    <xf numFmtId="0" fontId="123" fillId="0" borderId="0" xfId="3" applyFont="1" applyProtection="1"/>
    <xf numFmtId="10" fontId="127" fillId="0" borderId="0" xfId="3" applyNumberFormat="1" applyFont="1" applyBorder="1" applyProtection="1"/>
    <xf numFmtId="2" fontId="80" fillId="0" borderId="78" xfId="3" applyNumberFormat="1" applyFont="1" applyBorder="1" applyProtection="1"/>
    <xf numFmtId="0" fontId="80" fillId="0" borderId="78" xfId="3" applyFont="1" applyBorder="1" applyAlignment="1" applyProtection="1">
      <alignment horizontal="center"/>
    </xf>
    <xf numFmtId="0" fontId="80" fillId="0" borderId="78" xfId="3" applyFont="1" applyBorder="1" applyProtection="1"/>
    <xf numFmtId="2" fontId="80" fillId="0" borderId="0" xfId="3" applyNumberFormat="1" applyFont="1" applyBorder="1" applyProtection="1"/>
    <xf numFmtId="0" fontId="80" fillId="0" borderId="0" xfId="3" applyFont="1" applyBorder="1" applyAlignment="1" applyProtection="1">
      <alignment horizontal="center"/>
    </xf>
    <xf numFmtId="0" fontId="80" fillId="0" borderId="0" xfId="3" applyFont="1" applyBorder="1" applyProtection="1"/>
    <xf numFmtId="0" fontId="67" fillId="0" borderId="0" xfId="3" applyFont="1" applyAlignment="1" applyProtection="1">
      <alignment horizontal="left" vertical="center"/>
    </xf>
    <xf numFmtId="169" fontId="124" fillId="0" borderId="0" xfId="3" applyNumberFormat="1" applyFont="1" applyBorder="1" applyAlignment="1" applyProtection="1">
      <alignment horizontal="left" vertical="center"/>
    </xf>
    <xf numFmtId="0" fontId="124" fillId="0" borderId="0" xfId="3" applyFont="1" applyBorder="1" applyAlignment="1" applyProtection="1">
      <alignment horizontal="left" vertical="center"/>
    </xf>
    <xf numFmtId="0" fontId="62" fillId="0" borderId="0" xfId="3" applyFont="1" applyAlignment="1" applyProtection="1">
      <alignment horizontal="left" vertical="center"/>
    </xf>
    <xf numFmtId="169" fontId="67" fillId="0" borderId="0" xfId="3" applyNumberFormat="1" applyFont="1" applyAlignment="1" applyProtection="1">
      <alignment horizontal="left" vertical="center"/>
    </xf>
    <xf numFmtId="169" fontId="124" fillId="0" borderId="0" xfId="3" applyNumberFormat="1" applyFont="1" applyAlignment="1" applyProtection="1">
      <alignment horizontal="left" vertical="center"/>
    </xf>
    <xf numFmtId="0" fontId="124" fillId="0" borderId="0" xfId="3" applyFont="1" applyAlignment="1" applyProtection="1">
      <alignment horizontal="left" vertical="center"/>
    </xf>
    <xf numFmtId="49" fontId="70" fillId="0" borderId="0" xfId="3" applyNumberFormat="1" applyFont="1" applyBorder="1" applyAlignment="1" applyProtection="1">
      <alignment horizontal="center" vertical="center"/>
    </xf>
    <xf numFmtId="166" fontId="70" fillId="0" borderId="0" xfId="3" applyNumberFormat="1" applyFont="1" applyBorder="1" applyAlignment="1" applyProtection="1">
      <alignment horizontal="center" vertical="center"/>
    </xf>
    <xf numFmtId="0" fontId="70" fillId="0" borderId="0" xfId="3" applyFont="1" applyAlignment="1" applyProtection="1">
      <alignment horizontal="right"/>
    </xf>
    <xf numFmtId="178" fontId="70" fillId="0" borderId="74" xfId="3" applyNumberFormat="1" applyFont="1" applyBorder="1" applyAlignment="1" applyProtection="1">
      <alignment horizontal="center"/>
      <protection locked="0"/>
    </xf>
    <xf numFmtId="0" fontId="62" fillId="0" borderId="22" xfId="3" applyFont="1" applyBorder="1" applyAlignment="1" applyProtection="1">
      <alignment horizontal="center"/>
      <protection locked="0"/>
    </xf>
    <xf numFmtId="0" fontId="67" fillId="0" borderId="0" xfId="3" applyFont="1" applyAlignment="1" applyProtection="1">
      <alignment horizontal="left" vertical="center" indent="1"/>
    </xf>
    <xf numFmtId="0" fontId="67" fillId="0" borderId="0" xfId="3" applyFont="1" applyAlignment="1" applyProtection="1">
      <alignment horizontal="left" indent="1"/>
    </xf>
    <xf numFmtId="0" fontId="67" fillId="0" borderId="0" xfId="3" applyFont="1" applyBorder="1" applyAlignment="1" applyProtection="1">
      <alignment horizontal="left"/>
    </xf>
    <xf numFmtId="0" fontId="62" fillId="0" borderId="74" xfId="3" applyFont="1" applyBorder="1" applyProtection="1">
      <protection locked="0"/>
    </xf>
    <xf numFmtId="0" fontId="70" fillId="0" borderId="9" xfId="3" applyFont="1" applyBorder="1" applyProtection="1"/>
    <xf numFmtId="0" fontId="69" fillId="0" borderId="0" xfId="3" applyFont="1" applyAlignment="1" applyProtection="1">
      <alignment horizontal="center"/>
    </xf>
    <xf numFmtId="0" fontId="70" fillId="0" borderId="0" xfId="3" applyFont="1" applyBorder="1" applyAlignment="1" applyProtection="1">
      <alignment horizontal="center"/>
    </xf>
    <xf numFmtId="0" fontId="69" fillId="0" borderId="0" xfId="3" quotePrefix="1" applyFont="1" applyBorder="1" applyAlignment="1" applyProtection="1">
      <alignment horizontal="left"/>
    </xf>
    <xf numFmtId="0" fontId="60" fillId="0" borderId="0" xfId="3" applyFont="1" applyBorder="1" applyAlignment="1" applyProtection="1">
      <alignment horizontal="center"/>
    </xf>
    <xf numFmtId="0" fontId="62" fillId="0" borderId="9" xfId="3" applyFont="1" applyBorder="1" applyAlignment="1" applyProtection="1">
      <alignment horizontal="left"/>
    </xf>
    <xf numFmtId="0" fontId="62" fillId="0" borderId="9" xfId="3" applyFont="1" applyBorder="1" applyAlignment="1" applyProtection="1"/>
    <xf numFmtId="170" fontId="62" fillId="0" borderId="9" xfId="3" applyNumberFormat="1" applyFont="1" applyBorder="1" applyAlignment="1" applyProtection="1">
      <alignment horizontal="centerContinuous"/>
    </xf>
    <xf numFmtId="0" fontId="77" fillId="0" borderId="151" xfId="3" applyFont="1" applyBorder="1" applyAlignment="1" applyProtection="1">
      <alignment horizontal="left"/>
    </xf>
    <xf numFmtId="0" fontId="62" fillId="0" borderId="151" xfId="3" applyFont="1" applyBorder="1" applyProtection="1"/>
    <xf numFmtId="0" fontId="62" fillId="0" borderId="151" xfId="3" applyFont="1" applyBorder="1" applyAlignment="1" applyProtection="1">
      <alignment horizontal="center"/>
    </xf>
    <xf numFmtId="49" fontId="59" fillId="0" borderId="0" xfId="3" applyNumberFormat="1" applyFont="1" applyBorder="1" applyAlignment="1" applyProtection="1">
      <alignment horizontal="center" vertical="center"/>
    </xf>
    <xf numFmtId="166" fontId="59" fillId="0" borderId="0" xfId="3" applyNumberFormat="1" applyFont="1" applyBorder="1" applyAlignment="1" applyProtection="1">
      <alignment horizontal="center" vertical="center"/>
    </xf>
    <xf numFmtId="49" fontId="59" fillId="0" borderId="0" xfId="3" applyNumberFormat="1" applyFont="1" applyAlignment="1" applyProtection="1">
      <alignment horizontal="center" vertical="center"/>
    </xf>
    <xf numFmtId="0" fontId="60" fillId="0" borderId="0" xfId="3" applyFont="1" applyBorder="1" applyAlignment="1" applyProtection="1">
      <alignment vertical="center"/>
    </xf>
    <xf numFmtId="0" fontId="73" fillId="0" borderId="0" xfId="3" applyFont="1" applyBorder="1" applyAlignment="1" applyProtection="1">
      <alignment horizontal="center"/>
    </xf>
    <xf numFmtId="179" fontId="62" fillId="0" borderId="0" xfId="3" applyNumberFormat="1" applyFont="1" applyBorder="1" applyProtection="1">
      <protection locked="0"/>
    </xf>
    <xf numFmtId="179" fontId="62" fillId="0" borderId="0" xfId="3" applyNumberFormat="1" applyFont="1" applyBorder="1" applyAlignment="1" applyProtection="1">
      <alignment horizontal="left"/>
      <protection locked="0"/>
    </xf>
    <xf numFmtId="179" fontId="69" fillId="0" borderId="0" xfId="3" applyNumberFormat="1" applyFont="1" applyProtection="1">
      <protection locked="0"/>
    </xf>
    <xf numFmtId="179" fontId="62" fillId="0" borderId="0" xfId="3" applyNumberFormat="1" applyFont="1" applyProtection="1">
      <protection locked="0"/>
    </xf>
    <xf numFmtId="179" fontId="62" fillId="0" borderId="0" xfId="3" applyNumberFormat="1" applyFont="1" applyAlignment="1" applyProtection="1">
      <alignment horizontal="left"/>
      <protection locked="0"/>
    </xf>
    <xf numFmtId="49" fontId="84" fillId="0" borderId="0" xfId="3" applyNumberFormat="1" applyFont="1" applyBorder="1" applyAlignment="1" applyProtection="1">
      <alignment horizontal="left"/>
      <protection locked="0"/>
    </xf>
    <xf numFmtId="49" fontId="62" fillId="0" borderId="0" xfId="3" applyNumberFormat="1" applyFont="1" applyProtection="1">
      <protection locked="0"/>
    </xf>
    <xf numFmtId="49" fontId="62" fillId="0" borderId="78" xfId="3" applyNumberFormat="1" applyFont="1" applyBorder="1" applyAlignment="1" applyProtection="1">
      <protection locked="0"/>
    </xf>
    <xf numFmtId="0" fontId="62" fillId="0" borderId="78" xfId="3" applyFont="1" applyBorder="1" applyProtection="1">
      <protection locked="0"/>
    </xf>
    <xf numFmtId="0" fontId="124" fillId="0" borderId="0" xfId="3" applyFont="1" applyAlignment="1" applyProtection="1">
      <alignment horizontal="left"/>
    </xf>
    <xf numFmtId="0" fontId="67" fillId="0" borderId="0" xfId="3" applyFont="1" applyAlignment="1" applyProtection="1">
      <alignment horizontal="left" vertical="center" indent="2"/>
    </xf>
    <xf numFmtId="49" fontId="75" fillId="0" borderId="0" xfId="0" applyNumberFormat="1" applyFont="1" applyBorder="1" applyAlignment="1">
      <alignment horizontal="left"/>
    </xf>
    <xf numFmtId="49" fontId="63" fillId="0" borderId="0" xfId="2" applyNumberFormat="1" applyFont="1" applyBorder="1" applyAlignment="1" applyProtection="1">
      <alignment horizontal="left" indent="4"/>
    </xf>
    <xf numFmtId="49" fontId="68" fillId="0" borderId="0" xfId="0" applyNumberFormat="1" applyFont="1" applyBorder="1" applyAlignment="1">
      <alignment horizontal="left" indent="1"/>
    </xf>
    <xf numFmtId="0" fontId="75" fillId="0" borderId="0" xfId="0" applyFont="1" applyBorder="1" applyProtection="1"/>
    <xf numFmtId="164" fontId="67" fillId="0" borderId="19" xfId="0" applyNumberFormat="1" applyFont="1" applyFill="1" applyBorder="1" applyAlignment="1" applyProtection="1">
      <alignment horizontal="left" vertical="center" wrapText="1" indent="1"/>
    </xf>
    <xf numFmtId="164" fontId="67" fillId="0" borderId="2" xfId="0" applyNumberFormat="1" applyFont="1" applyFill="1" applyBorder="1" applyAlignment="1" applyProtection="1">
      <alignment horizontal="left" vertical="center" wrapText="1" indent="1"/>
    </xf>
    <xf numFmtId="164" fontId="67" fillId="0" borderId="2" xfId="0" applyNumberFormat="1" applyFont="1" applyFill="1" applyBorder="1" applyAlignment="1" applyProtection="1">
      <alignment horizontal="left" vertical="center" indent="1"/>
    </xf>
    <xf numFmtId="0" fontId="67" fillId="0" borderId="0" xfId="0" applyFont="1" applyFill="1" applyAlignment="1" applyProtection="1">
      <alignment horizontal="left" vertical="center" indent="1"/>
    </xf>
    <xf numFmtId="164" fontId="67" fillId="0" borderId="0" xfId="0" applyNumberFormat="1" applyFont="1" applyFill="1" applyBorder="1" applyAlignment="1" applyProtection="1">
      <alignment horizontal="left" vertical="center" wrapText="1" indent="1"/>
    </xf>
    <xf numFmtId="0" fontId="69" fillId="0" borderId="20" xfId="0" applyFont="1" applyFill="1" applyBorder="1" applyAlignment="1" applyProtection="1">
      <alignment horizontal="left" vertical="center" indent="2"/>
    </xf>
    <xf numFmtId="0" fontId="67" fillId="0" borderId="0" xfId="0" applyFont="1" applyFill="1" applyBorder="1" applyAlignment="1" applyProtection="1">
      <alignment horizontal="left" vertical="center" indent="1"/>
    </xf>
    <xf numFmtId="0" fontId="67" fillId="0" borderId="21" xfId="0" applyFont="1" applyBorder="1" applyAlignment="1" applyProtection="1">
      <alignment horizontal="left" vertical="top" indent="1"/>
    </xf>
    <xf numFmtId="0" fontId="67" fillId="0" borderId="0" xfId="0" applyFont="1" applyFill="1" applyBorder="1" applyAlignment="1" applyProtection="1">
      <alignment horizontal="left" vertical="top" indent="1"/>
    </xf>
    <xf numFmtId="0" fontId="67" fillId="0" borderId="128" xfId="0" applyFont="1" applyBorder="1" applyAlignment="1" applyProtection="1">
      <alignment horizontal="left" vertical="center" indent="1"/>
    </xf>
    <xf numFmtId="0" fontId="67" fillId="0" borderId="24" xfId="0" applyFont="1" applyBorder="1" applyAlignment="1" applyProtection="1">
      <alignment horizontal="left" vertical="center" indent="1"/>
    </xf>
    <xf numFmtId="0" fontId="67" fillId="0" borderId="52" xfId="0" applyFont="1" applyBorder="1" applyAlignment="1" applyProtection="1">
      <alignment horizontal="left" vertical="center" indent="1"/>
    </xf>
    <xf numFmtId="0" fontId="67" fillId="0" borderId="21" xfId="0" applyFont="1" applyBorder="1" applyAlignment="1" applyProtection="1">
      <alignment horizontal="left" vertical="center" wrapText="1" indent="1"/>
    </xf>
    <xf numFmtId="0" fontId="67" fillId="0" borderId="129" xfId="0" applyFont="1" applyFill="1" applyBorder="1" applyAlignment="1" applyProtection="1">
      <alignment horizontal="left" vertical="center" indent="1"/>
    </xf>
    <xf numFmtId="0" fontId="67" fillId="0" borderId="100" xfId="0" applyFont="1" applyFill="1" applyBorder="1" applyAlignment="1" applyProtection="1">
      <alignment horizontal="left" vertical="center" indent="1"/>
    </xf>
    <xf numFmtId="3" fontId="67" fillId="0" borderId="2" xfId="0" applyNumberFormat="1" applyFont="1" applyBorder="1" applyAlignment="1">
      <alignment horizontal="left" vertical="center" wrapText="1" indent="1"/>
    </xf>
    <xf numFmtId="3" fontId="67" fillId="0" borderId="12" xfId="0" applyNumberFormat="1" applyFont="1" applyBorder="1" applyAlignment="1">
      <alignment horizontal="left" vertical="center" wrapText="1" indent="1"/>
    </xf>
    <xf numFmtId="3" fontId="67" fillId="0" borderId="12" xfId="0" applyNumberFormat="1" applyFont="1" applyBorder="1" applyAlignment="1">
      <alignment horizontal="left" vertical="center" indent="1"/>
    </xf>
    <xf numFmtId="3" fontId="69" fillId="2" borderId="36" xfId="0" applyNumberFormat="1" applyFont="1" applyFill="1" applyBorder="1" applyAlignment="1">
      <alignment horizontal="left" vertical="center" wrapText="1" indent="1"/>
    </xf>
    <xf numFmtId="3" fontId="67" fillId="0" borderId="2" xfId="0" applyNumberFormat="1" applyFont="1" applyBorder="1" applyAlignment="1">
      <alignment horizontal="left" vertical="top" wrapText="1" indent="1"/>
    </xf>
    <xf numFmtId="3" fontId="67" fillId="0" borderId="127" xfId="0" applyNumberFormat="1" applyFont="1" applyBorder="1" applyAlignment="1">
      <alignment horizontal="left" vertical="center" wrapText="1" indent="1"/>
    </xf>
    <xf numFmtId="3" fontId="67" fillId="0" borderId="125" xfId="0" applyNumberFormat="1" applyFont="1" applyFill="1" applyBorder="1" applyAlignment="1">
      <alignment horizontal="left" vertical="center" wrapText="1" indent="1"/>
    </xf>
    <xf numFmtId="3" fontId="67" fillId="0" borderId="29" xfId="0" applyNumberFormat="1" applyFont="1" applyFill="1" applyBorder="1" applyAlignment="1">
      <alignment horizontal="left" vertical="center" wrapText="1" indent="1"/>
    </xf>
    <xf numFmtId="3" fontId="67" fillId="0" borderId="127" xfId="0" applyNumberFormat="1" applyFont="1" applyFill="1" applyBorder="1" applyAlignment="1">
      <alignment horizontal="left" vertical="center" wrapText="1" indent="1"/>
    </xf>
    <xf numFmtId="3" fontId="67" fillId="0" borderId="2" xfId="0" applyNumberFormat="1" applyFont="1" applyFill="1" applyBorder="1" applyAlignment="1">
      <alignment horizontal="left" vertical="center" wrapText="1" indent="1"/>
    </xf>
    <xf numFmtId="3" fontId="69" fillId="0" borderId="49" xfId="0" applyNumberFormat="1" applyFont="1" applyFill="1" applyBorder="1" applyAlignment="1">
      <alignment horizontal="left" vertical="center" wrapText="1" indent="1"/>
    </xf>
    <xf numFmtId="3" fontId="69" fillId="7" borderId="27" xfId="0" applyNumberFormat="1" applyFont="1" applyFill="1" applyBorder="1" applyAlignment="1">
      <alignment horizontal="left" vertical="center" wrapText="1" indent="1"/>
    </xf>
    <xf numFmtId="3" fontId="67" fillId="0" borderId="2" xfId="0" applyNumberFormat="1" applyFont="1" applyBorder="1" applyAlignment="1">
      <alignment horizontal="left" vertical="center" indent="1"/>
    </xf>
    <xf numFmtId="3" fontId="67" fillId="0" borderId="13" xfId="0" applyNumberFormat="1" applyFont="1" applyBorder="1" applyAlignment="1">
      <alignment horizontal="left" vertical="center" wrapText="1" indent="1"/>
    </xf>
    <xf numFmtId="164" fontId="67" fillId="0" borderId="13" xfId="0" applyNumberFormat="1" applyFont="1" applyFill="1" applyBorder="1" applyAlignment="1">
      <alignment horizontal="left" vertical="center" wrapText="1" indent="1"/>
    </xf>
    <xf numFmtId="0" fontId="67" fillId="0" borderId="2" xfId="0" applyFont="1" applyFill="1" applyBorder="1" applyAlignment="1">
      <alignment horizontal="left" vertical="center" wrapText="1" indent="1"/>
    </xf>
    <xf numFmtId="0" fontId="67" fillId="0" borderId="12" xfId="0" applyFont="1" applyFill="1" applyBorder="1" applyAlignment="1">
      <alignment horizontal="left" vertical="center" wrapText="1" indent="1"/>
    </xf>
    <xf numFmtId="3" fontId="69" fillId="7" borderId="55" xfId="0" applyNumberFormat="1" applyFont="1" applyFill="1" applyBorder="1" applyAlignment="1">
      <alignment horizontal="left" vertical="center" wrapText="1" indent="1"/>
    </xf>
    <xf numFmtId="3" fontId="67" fillId="0" borderId="2" xfId="0" applyNumberFormat="1" applyFont="1" applyBorder="1" applyAlignment="1">
      <alignment horizontal="left" vertical="top" indent="1"/>
    </xf>
    <xf numFmtId="0" fontId="67" fillId="0" borderId="2" xfId="0" applyFont="1" applyFill="1" applyBorder="1" applyAlignment="1">
      <alignment horizontal="left" vertical="center" indent="1"/>
    </xf>
    <xf numFmtId="38" fontId="60" fillId="0" borderId="127" xfId="0" applyNumberFormat="1" applyFont="1" applyFill="1" applyBorder="1" applyAlignment="1" applyProtection="1">
      <alignment horizontal="right" vertical="center"/>
      <protection locked="0"/>
    </xf>
    <xf numFmtId="38" fontId="59" fillId="6" borderId="155" xfId="0" applyNumberFormat="1" applyFont="1" applyFill="1" applyBorder="1" applyAlignment="1">
      <alignment horizontal="center" vertical="center" wrapText="1"/>
    </xf>
    <xf numFmtId="38" fontId="59" fillId="6" borderId="155" xfId="0" applyNumberFormat="1" applyFont="1" applyFill="1" applyBorder="1" applyAlignment="1">
      <alignment horizontal="center" vertical="top" wrapText="1"/>
    </xf>
    <xf numFmtId="38" fontId="69" fillId="6" borderId="155" xfId="0" applyNumberFormat="1" applyFont="1" applyFill="1" applyBorder="1" applyAlignment="1">
      <alignment horizontal="center" vertical="center" wrapText="1"/>
    </xf>
    <xf numFmtId="38" fontId="69" fillId="6" borderId="10" xfId="0" applyNumberFormat="1" applyFont="1" applyFill="1" applyBorder="1" applyAlignment="1">
      <alignment horizontal="center" vertical="center" wrapText="1"/>
    </xf>
    <xf numFmtId="0" fontId="59" fillId="0" borderId="2" xfId="9" applyFont="1" applyFill="1" applyBorder="1" applyAlignment="1">
      <alignment horizontal="center" vertical="center"/>
    </xf>
    <xf numFmtId="0" fontId="62" fillId="0" borderId="50" xfId="0" applyFont="1" applyBorder="1" applyAlignment="1">
      <alignment horizontal="left" wrapText="1"/>
    </xf>
    <xf numFmtId="0" fontId="99" fillId="0" borderId="0" xfId="0" applyFont="1" applyAlignment="1" applyProtection="1">
      <alignment horizontal="right"/>
    </xf>
    <xf numFmtId="0" fontId="99" fillId="0" borderId="0" xfId="0" applyFont="1" applyAlignment="1" applyProtection="1">
      <alignment horizontal="right" vertical="top"/>
    </xf>
    <xf numFmtId="0" fontId="12" fillId="0" borderId="0" xfId="17"/>
    <xf numFmtId="0" fontId="104" fillId="0" borderId="140" xfId="17" applyFont="1" applyBorder="1" applyAlignment="1">
      <alignment horizontal="left" vertical="top"/>
    </xf>
    <xf numFmtId="0" fontId="131" fillId="0" borderId="141" xfId="17" applyFont="1" applyBorder="1" applyAlignment="1">
      <alignment horizontal="center" vertical="top"/>
    </xf>
    <xf numFmtId="0" fontId="131" fillId="0" borderId="142" xfId="17" applyFont="1" applyBorder="1" applyAlignment="1">
      <alignment horizontal="center" vertical="top"/>
    </xf>
    <xf numFmtId="0" fontId="132" fillId="0" borderId="96" xfId="17" applyFont="1" applyBorder="1" applyAlignment="1">
      <alignment vertical="top"/>
    </xf>
    <xf numFmtId="0" fontId="132" fillId="0" borderId="0" xfId="17" applyFont="1" applyBorder="1" applyAlignment="1">
      <alignment vertical="top"/>
    </xf>
    <xf numFmtId="0" fontId="132" fillId="0" borderId="97" xfId="17" applyFont="1" applyBorder="1" applyAlignment="1">
      <alignment vertical="top"/>
    </xf>
    <xf numFmtId="38" fontId="12" fillId="22" borderId="157" xfId="17" applyNumberFormat="1" applyFill="1" applyBorder="1" applyAlignment="1">
      <alignment horizontal="right" vertical="top"/>
    </xf>
    <xf numFmtId="38" fontId="12" fillId="22" borderId="158" xfId="17" applyNumberFormat="1" applyFill="1" applyBorder="1" applyAlignment="1">
      <alignment horizontal="right" vertical="top"/>
    </xf>
    <xf numFmtId="0" fontId="12" fillId="0" borderId="0" xfId="17" applyAlignment="1">
      <alignment horizontal="left" vertical="top" wrapText="1"/>
    </xf>
    <xf numFmtId="0" fontId="12" fillId="0" borderId="0" xfId="17" applyAlignment="1">
      <alignment vertical="top"/>
    </xf>
    <xf numFmtId="38" fontId="12" fillId="0" borderId="0" xfId="17" applyNumberFormat="1" applyAlignment="1">
      <alignment horizontal="right" vertical="top"/>
    </xf>
    <xf numFmtId="0" fontId="12" fillId="0" borderId="0" xfId="17" applyAlignment="1">
      <alignment horizontal="center" vertical="top" wrapText="1"/>
    </xf>
    <xf numFmtId="0" fontId="130" fillId="23" borderId="156" xfId="17" applyFont="1" applyFill="1" applyBorder="1" applyAlignment="1">
      <alignment horizontal="center" vertical="center" wrapText="1"/>
    </xf>
    <xf numFmtId="38" fontId="130" fillId="23" borderId="156" xfId="17" applyNumberFormat="1" applyFont="1" applyFill="1" applyBorder="1" applyAlignment="1">
      <alignment horizontal="center" vertical="center" wrapText="1"/>
    </xf>
    <xf numFmtId="3" fontId="60" fillId="23" borderId="131" xfId="0" applyNumberFormat="1" applyFont="1" applyFill="1" applyBorder="1" applyAlignment="1">
      <alignment horizontal="center"/>
    </xf>
    <xf numFmtId="3" fontId="60" fillId="23" borderId="131" xfId="0" applyNumberFormat="1" applyFont="1" applyFill="1" applyBorder="1" applyAlignment="1">
      <alignment horizontal="right"/>
    </xf>
    <xf numFmtId="3" fontId="60" fillId="23" borderId="132" xfId="0" applyNumberFormat="1" applyFont="1" applyFill="1" applyBorder="1" applyAlignment="1">
      <alignment horizontal="center"/>
    </xf>
    <xf numFmtId="38" fontId="60" fillId="23" borderId="19" xfId="0" applyNumberFormat="1" applyFont="1" applyFill="1" applyBorder="1" applyAlignment="1">
      <alignment horizontal="right"/>
    </xf>
    <xf numFmtId="38" fontId="60" fillId="23" borderId="20" xfId="0" applyNumberFormat="1" applyFont="1" applyFill="1" applyBorder="1" applyAlignment="1">
      <alignment horizontal="right"/>
    </xf>
    <xf numFmtId="38" fontId="60" fillId="23" borderId="11" xfId="0" applyNumberFormat="1" applyFont="1" applyFill="1" applyBorder="1" applyAlignment="1">
      <alignment horizontal="right"/>
    </xf>
    <xf numFmtId="3" fontId="70" fillId="23" borderId="125" xfId="0" applyNumberFormat="1" applyFont="1" applyFill="1" applyBorder="1" applyAlignment="1">
      <alignment horizontal="center" vertical="center" wrapText="1"/>
    </xf>
    <xf numFmtId="49" fontId="67" fillId="23" borderId="11" xfId="0" applyNumberFormat="1" applyFont="1" applyFill="1" applyBorder="1" applyAlignment="1">
      <alignment horizontal="center" vertical="center"/>
    </xf>
    <xf numFmtId="38" fontId="60" fillId="23" borderId="13" xfId="0" applyNumberFormat="1" applyFont="1" applyFill="1" applyBorder="1" applyAlignment="1">
      <alignment horizontal="right"/>
    </xf>
    <xf numFmtId="38" fontId="60" fillId="23" borderId="21" xfId="0" applyNumberFormat="1" applyFont="1" applyFill="1" applyBorder="1" applyAlignment="1">
      <alignment horizontal="right"/>
    </xf>
    <xf numFmtId="38" fontId="60" fillId="23" borderId="14" xfId="0" applyNumberFormat="1" applyFont="1" applyFill="1" applyBorder="1" applyAlignment="1">
      <alignment horizontal="right"/>
    </xf>
    <xf numFmtId="38" fontId="59" fillId="23" borderId="13" xfId="0" applyNumberFormat="1" applyFont="1" applyFill="1" applyBorder="1" applyAlignment="1" applyProtection="1">
      <alignment horizontal="right"/>
    </xf>
    <xf numFmtId="38" fontId="59" fillId="23" borderId="21" xfId="0" applyNumberFormat="1" applyFont="1" applyFill="1" applyBorder="1" applyAlignment="1" applyProtection="1">
      <alignment horizontal="right"/>
    </xf>
    <xf numFmtId="38" fontId="59" fillId="23" borderId="21" xfId="1" applyNumberFormat="1" applyFont="1" applyFill="1" applyBorder="1" applyAlignment="1" applyProtection="1">
      <alignment horizontal="right"/>
    </xf>
    <xf numFmtId="38" fontId="59" fillId="23" borderId="14" xfId="0" applyNumberFormat="1" applyFont="1" applyFill="1" applyBorder="1" applyAlignment="1" applyProtection="1">
      <alignment horizontal="right"/>
    </xf>
    <xf numFmtId="38" fontId="60" fillId="23" borderId="19" xfId="0" applyNumberFormat="1" applyFont="1" applyFill="1" applyBorder="1" applyAlignment="1" applyProtection="1">
      <alignment horizontal="right"/>
    </xf>
    <xf numFmtId="38" fontId="60" fillId="23" borderId="20" xfId="0" applyNumberFormat="1" applyFont="1" applyFill="1" applyBorder="1" applyAlignment="1" applyProtection="1">
      <alignment horizontal="right"/>
    </xf>
    <xf numFmtId="38" fontId="60" fillId="23" borderId="21" xfId="0" applyNumberFormat="1" applyFont="1" applyFill="1" applyBorder="1" applyAlignment="1" applyProtection="1">
      <alignment horizontal="right"/>
    </xf>
    <xf numFmtId="38" fontId="60" fillId="23" borderId="14" xfId="0" applyNumberFormat="1" applyFont="1" applyFill="1" applyBorder="1" applyAlignment="1" applyProtection="1">
      <alignment horizontal="right"/>
    </xf>
    <xf numFmtId="0" fontId="62" fillId="23" borderId="31" xfId="0" applyFont="1" applyFill="1" applyBorder="1" applyAlignment="1">
      <alignment horizontal="center" vertical="center"/>
    </xf>
    <xf numFmtId="38" fontId="60" fillId="23" borderId="13" xfId="0" applyNumberFormat="1" applyFont="1" applyFill="1" applyBorder="1" applyAlignment="1" applyProtection="1">
      <alignment horizontal="right"/>
    </xf>
    <xf numFmtId="38" fontId="60" fillId="23" borderId="11" xfId="0" applyNumberFormat="1" applyFont="1" applyFill="1" applyBorder="1" applyAlignment="1" applyProtection="1">
      <alignment horizontal="right"/>
    </xf>
    <xf numFmtId="38" fontId="60" fillId="23" borderId="49" xfId="0" applyNumberFormat="1" applyFont="1" applyFill="1" applyBorder="1" applyAlignment="1" applyProtection="1">
      <alignment horizontal="right"/>
    </xf>
    <xf numFmtId="38" fontId="60" fillId="23" borderId="34" xfId="0" applyNumberFormat="1" applyFont="1" applyFill="1" applyBorder="1" applyAlignment="1" applyProtection="1">
      <alignment horizontal="right"/>
    </xf>
    <xf numFmtId="38" fontId="60" fillId="23" borderId="31" xfId="0" applyNumberFormat="1" applyFont="1" applyFill="1" applyBorder="1" applyAlignment="1" applyProtection="1">
      <alignment horizontal="right"/>
    </xf>
    <xf numFmtId="3" fontId="59" fillId="23" borderId="13" xfId="0" applyNumberFormat="1" applyFont="1" applyFill="1" applyBorder="1" applyAlignment="1" applyProtection="1">
      <alignment horizontal="right" vertical="center"/>
    </xf>
    <xf numFmtId="3" fontId="59" fillId="23" borderId="21" xfId="0" applyNumberFormat="1" applyFont="1" applyFill="1" applyBorder="1" applyAlignment="1" applyProtection="1">
      <alignment horizontal="right" vertical="center"/>
    </xf>
    <xf numFmtId="3" fontId="59" fillId="23" borderId="14" xfId="0" applyNumberFormat="1" applyFont="1" applyFill="1" applyBorder="1" applyAlignment="1" applyProtection="1">
      <alignment horizontal="right" vertical="center"/>
    </xf>
    <xf numFmtId="0" fontId="69" fillId="17" borderId="14" xfId="0" applyFont="1" applyFill="1" applyBorder="1" applyAlignment="1" applyProtection="1">
      <alignment horizontal="left" vertical="center"/>
    </xf>
    <xf numFmtId="0" fontId="69" fillId="17" borderId="2" xfId="0" applyFont="1" applyFill="1" applyBorder="1" applyAlignment="1" applyProtection="1">
      <alignment horizontal="center" vertical="top"/>
    </xf>
    <xf numFmtId="0" fontId="69" fillId="17" borderId="2" xfId="0" applyFont="1" applyFill="1" applyBorder="1" applyAlignment="1" applyProtection="1">
      <alignment horizontal="center" vertical="center"/>
    </xf>
    <xf numFmtId="3" fontId="59" fillId="23" borderId="13" xfId="0" applyNumberFormat="1" applyFont="1" applyFill="1" applyBorder="1" applyAlignment="1" applyProtection="1">
      <alignment horizontal="center" vertical="center"/>
    </xf>
    <xf numFmtId="49" fontId="69" fillId="23" borderId="21" xfId="0" applyNumberFormat="1" applyFont="1" applyFill="1" applyBorder="1" applyAlignment="1" applyProtection="1">
      <alignment horizontal="center" vertical="center"/>
    </xf>
    <xf numFmtId="3" fontId="60" fillId="23" borderId="21" xfId="0" applyNumberFormat="1" applyFont="1" applyFill="1" applyBorder="1" applyAlignment="1" applyProtection="1">
      <alignment horizontal="center"/>
    </xf>
    <xf numFmtId="3" fontId="62" fillId="23" borderId="21" xfId="0" applyNumberFormat="1" applyFont="1" applyFill="1" applyBorder="1" applyAlignment="1" applyProtection="1">
      <alignment horizontal="center"/>
    </xf>
    <xf numFmtId="38" fontId="62" fillId="23" borderId="21" xfId="0" applyNumberFormat="1" applyFont="1" applyFill="1" applyBorder="1" applyAlignment="1" applyProtection="1">
      <alignment horizontal="center"/>
    </xf>
    <xf numFmtId="3" fontId="62" fillId="23" borderId="14" xfId="0" applyNumberFormat="1" applyFont="1" applyFill="1" applyBorder="1" applyAlignment="1" applyProtection="1">
      <alignment horizontal="center"/>
    </xf>
    <xf numFmtId="0" fontId="59" fillId="23" borderId="49" xfId="0" applyFont="1" applyFill="1" applyBorder="1" applyAlignment="1" applyProtection="1">
      <alignment horizontal="center" vertical="center" wrapText="1"/>
    </xf>
    <xf numFmtId="0" fontId="60" fillId="23" borderId="34" xfId="0" applyFont="1" applyFill="1" applyBorder="1" applyAlignment="1">
      <alignment horizontal="center" vertical="center" wrapText="1"/>
    </xf>
    <xf numFmtId="164" fontId="59" fillId="23" borderId="49" xfId="0" applyNumberFormat="1" applyFont="1" applyFill="1" applyBorder="1" applyAlignment="1" applyProtection="1">
      <alignment horizontal="center" vertical="center" wrapText="1"/>
    </xf>
    <xf numFmtId="0" fontId="62" fillId="23" borderId="31" xfId="0" applyFont="1" applyFill="1" applyBorder="1" applyAlignment="1">
      <alignment horizontal="center" vertical="center" wrapText="1"/>
    </xf>
    <xf numFmtId="164" fontId="59" fillId="23" borderId="49" xfId="0" applyNumberFormat="1" applyFont="1" applyFill="1" applyBorder="1" applyAlignment="1" applyProtection="1">
      <alignment horizontal="center" vertical="center"/>
    </xf>
    <xf numFmtId="3" fontId="69" fillId="17" borderId="20" xfId="0" applyNumberFormat="1" applyFont="1" applyFill="1" applyBorder="1" applyAlignment="1" applyProtection="1">
      <alignment horizontal="left" vertical="center"/>
    </xf>
    <xf numFmtId="0" fontId="69" fillId="17" borderId="2" xfId="0" applyFont="1" applyFill="1" applyBorder="1" applyAlignment="1">
      <alignment horizontal="center" vertical="center"/>
    </xf>
    <xf numFmtId="164" fontId="69" fillId="17" borderId="20" xfId="0" applyNumberFormat="1" applyFont="1" applyFill="1" applyBorder="1" applyAlignment="1" applyProtection="1">
      <alignment horizontal="left" vertical="center"/>
    </xf>
    <xf numFmtId="0" fontId="69" fillId="17" borderId="29" xfId="0" applyFont="1" applyFill="1" applyBorder="1" applyAlignment="1" applyProtection="1">
      <alignment horizontal="center" vertical="center"/>
    </xf>
    <xf numFmtId="0" fontId="69" fillId="17" borderId="127" xfId="0" applyFont="1" applyFill="1" applyBorder="1" applyAlignment="1" applyProtection="1">
      <alignment horizontal="center" vertical="center"/>
    </xf>
    <xf numFmtId="164" fontId="69" fillId="17" borderId="21" xfId="0" applyNumberFormat="1" applyFont="1" applyFill="1" applyBorder="1" applyAlignment="1" applyProtection="1">
      <alignment horizontal="left" vertical="center"/>
    </xf>
    <xf numFmtId="0" fontId="69" fillId="17" borderId="14" xfId="0" applyFont="1" applyFill="1" applyBorder="1" applyAlignment="1" applyProtection="1">
      <alignment horizontal="center" vertical="center"/>
    </xf>
    <xf numFmtId="0" fontId="69" fillId="17" borderId="31" xfId="0" applyFont="1" applyFill="1" applyBorder="1" applyAlignment="1" applyProtection="1">
      <alignment horizontal="center" vertical="center"/>
    </xf>
    <xf numFmtId="164" fontId="69" fillId="15" borderId="21" xfId="0" applyNumberFormat="1" applyFont="1" applyFill="1" applyBorder="1" applyAlignment="1" applyProtection="1">
      <alignment horizontal="left" vertical="center" indent="1"/>
    </xf>
    <xf numFmtId="0" fontId="67" fillId="15" borderId="14" xfId="0" applyFont="1" applyFill="1" applyBorder="1" applyAlignment="1" applyProtection="1">
      <alignment horizontal="center" vertical="center"/>
    </xf>
    <xf numFmtId="164" fontId="69" fillId="15" borderId="20" xfId="0" applyNumberFormat="1" applyFont="1" applyFill="1" applyBorder="1" applyAlignment="1" applyProtection="1">
      <alignment horizontal="left" vertical="center" indent="1"/>
    </xf>
    <xf numFmtId="1" fontId="67" fillId="15" borderId="11" xfId="0" applyNumberFormat="1" applyFont="1" applyFill="1" applyBorder="1" applyAlignment="1" applyProtection="1">
      <alignment horizontal="center" vertical="center"/>
    </xf>
    <xf numFmtId="1" fontId="67" fillId="15" borderId="4" xfId="0" applyNumberFormat="1" applyFont="1" applyFill="1" applyBorder="1" applyAlignment="1" applyProtection="1">
      <alignment horizontal="center" vertical="center"/>
    </xf>
    <xf numFmtId="0" fontId="69" fillId="15" borderId="21" xfId="0" applyFont="1" applyFill="1" applyBorder="1" applyAlignment="1">
      <alignment horizontal="left" vertical="center" indent="1"/>
    </xf>
    <xf numFmtId="0" fontId="67" fillId="15" borderId="14" xfId="0" applyFont="1" applyFill="1" applyBorder="1" applyAlignment="1">
      <alignment horizontal="left" vertical="center"/>
    </xf>
    <xf numFmtId="0" fontId="67" fillId="15" borderId="11" xfId="0" applyFont="1" applyFill="1" applyBorder="1" applyAlignment="1" applyProtection="1">
      <alignment horizontal="center" vertical="center"/>
    </xf>
    <xf numFmtId="3" fontId="69" fillId="17" borderId="125" xfId="0" applyNumberFormat="1" applyFont="1" applyFill="1" applyBorder="1" applyAlignment="1">
      <alignment horizontal="left" vertical="center" wrapText="1"/>
    </xf>
    <xf numFmtId="49" fontId="69" fillId="17" borderId="127" xfId="0" applyNumberFormat="1" applyFont="1" applyFill="1" applyBorder="1" applyAlignment="1">
      <alignment horizontal="center" vertical="center"/>
    </xf>
    <xf numFmtId="0" fontId="69" fillId="17" borderId="17" xfId="0" applyFont="1" applyFill="1" applyBorder="1" applyAlignment="1">
      <alignment horizontal="left" vertical="center" wrapText="1"/>
    </xf>
    <xf numFmtId="49" fontId="69" fillId="17" borderId="29" xfId="0" applyNumberFormat="1" applyFont="1" applyFill="1" applyBorder="1" applyAlignment="1">
      <alignment horizontal="center" vertical="center"/>
    </xf>
    <xf numFmtId="3" fontId="69" fillId="17" borderId="33" xfId="0" applyNumberFormat="1" applyFont="1" applyFill="1" applyBorder="1" applyAlignment="1">
      <alignment horizontal="left" vertical="center" wrapText="1"/>
    </xf>
    <xf numFmtId="49" fontId="69" fillId="17" borderId="33" xfId="0" applyNumberFormat="1" applyFont="1" applyFill="1" applyBorder="1" applyAlignment="1">
      <alignment horizontal="center" vertical="center"/>
    </xf>
    <xf numFmtId="164" fontId="69" fillId="17" borderId="125" xfId="0" applyNumberFormat="1" applyFont="1" applyFill="1" applyBorder="1" applyAlignment="1">
      <alignment horizontal="left" vertical="center" wrapText="1"/>
    </xf>
    <xf numFmtId="49" fontId="69" fillId="17" borderId="4" xfId="0" applyNumberFormat="1" applyFont="1" applyFill="1" applyBorder="1" applyAlignment="1">
      <alignment horizontal="center" vertical="center"/>
    </xf>
    <xf numFmtId="3" fontId="69" fillId="17" borderId="13" xfId="0" applyNumberFormat="1" applyFont="1" applyFill="1" applyBorder="1" applyAlignment="1">
      <alignment horizontal="left" vertical="center" wrapText="1"/>
    </xf>
    <xf numFmtId="49" fontId="69" fillId="17" borderId="2" xfId="0" applyNumberFormat="1" applyFont="1" applyFill="1" applyBorder="1" applyAlignment="1">
      <alignment horizontal="center" vertical="center"/>
    </xf>
    <xf numFmtId="164" fontId="69" fillId="17" borderId="17" xfId="0" applyNumberFormat="1" applyFont="1" applyFill="1" applyBorder="1" applyAlignment="1">
      <alignment horizontal="left" vertical="center" wrapText="1"/>
    </xf>
    <xf numFmtId="0" fontId="69" fillId="17" borderId="36" xfId="0" applyFont="1" applyFill="1" applyBorder="1" applyAlignment="1">
      <alignment horizontal="left" vertical="center" wrapText="1"/>
    </xf>
    <xf numFmtId="49" fontId="69" fillId="17" borderId="27" xfId="0" applyNumberFormat="1" applyFont="1" applyFill="1" applyBorder="1" applyAlignment="1">
      <alignment horizontal="center" vertical="center"/>
    </xf>
    <xf numFmtId="3" fontId="69" fillId="17" borderId="37" xfId="0" applyNumberFormat="1" applyFont="1" applyFill="1" applyBorder="1" applyAlignment="1">
      <alignment horizontal="left" vertical="center" wrapText="1"/>
    </xf>
    <xf numFmtId="0" fontId="69" fillId="17" borderId="13" xfId="0" applyFont="1" applyFill="1" applyBorder="1" applyAlignment="1">
      <alignment horizontal="left" vertical="center" wrapText="1"/>
    </xf>
    <xf numFmtId="49" fontId="69" fillId="17" borderId="14" xfId="0" applyNumberFormat="1" applyFont="1" applyFill="1" applyBorder="1" applyAlignment="1">
      <alignment horizontal="center" vertical="center"/>
    </xf>
    <xf numFmtId="0" fontId="69" fillId="17" borderId="37" xfId="0" applyFont="1" applyFill="1" applyBorder="1" applyAlignment="1">
      <alignment horizontal="left" vertical="center" wrapText="1"/>
    </xf>
    <xf numFmtId="164" fontId="69" fillId="17" borderId="13" xfId="0" applyNumberFormat="1" applyFont="1" applyFill="1" applyBorder="1" applyAlignment="1">
      <alignment horizontal="left" vertical="center" wrapText="1"/>
    </xf>
    <xf numFmtId="0" fontId="69" fillId="17" borderId="127" xfId="0" applyFont="1" applyFill="1" applyBorder="1" applyAlignment="1">
      <alignment horizontal="left" vertical="center" wrapText="1"/>
    </xf>
    <xf numFmtId="3" fontId="69" fillId="17" borderId="127" xfId="0" applyNumberFormat="1" applyFont="1" applyFill="1" applyBorder="1" applyAlignment="1">
      <alignment horizontal="left" vertical="center" wrapText="1"/>
    </xf>
    <xf numFmtId="38" fontId="60" fillId="24" borderId="19" xfId="0" applyNumberFormat="1" applyFont="1" applyFill="1" applyBorder="1" applyAlignment="1">
      <alignment horizontal="right"/>
    </xf>
    <xf numFmtId="38" fontId="60" fillId="24" borderId="20" xfId="0" applyNumberFormat="1" applyFont="1" applyFill="1" applyBorder="1" applyAlignment="1">
      <alignment horizontal="right"/>
    </xf>
    <xf numFmtId="38" fontId="60" fillId="24" borderId="11" xfId="0" applyNumberFormat="1" applyFont="1" applyFill="1" applyBorder="1" applyAlignment="1">
      <alignment horizontal="right"/>
    </xf>
    <xf numFmtId="0" fontId="69" fillId="17" borderId="50" xfId="0" applyFont="1" applyFill="1" applyBorder="1" applyAlignment="1" applyProtection="1">
      <alignment horizontal="left" vertical="center"/>
    </xf>
    <xf numFmtId="0" fontId="69" fillId="17" borderId="22" xfId="0" applyFont="1" applyFill="1" applyBorder="1" applyAlignment="1" applyProtection="1">
      <alignment horizontal="center" vertical="center"/>
    </xf>
    <xf numFmtId="0" fontId="69" fillId="17" borderId="46" xfId="0" applyFont="1" applyFill="1" applyBorder="1" applyAlignment="1" applyProtection="1">
      <alignment horizontal="left" vertical="center"/>
    </xf>
    <xf numFmtId="0" fontId="69" fillId="17" borderId="46" xfId="0" applyFont="1" applyFill="1" applyBorder="1" applyAlignment="1" applyProtection="1">
      <alignment horizontal="left" vertical="center" wrapText="1"/>
    </xf>
    <xf numFmtId="0" fontId="69" fillId="17" borderId="46" xfId="0" applyFont="1" applyFill="1" applyBorder="1" applyAlignment="1" applyProtection="1">
      <alignment horizontal="left" vertical="center" indent="1"/>
    </xf>
    <xf numFmtId="0" fontId="70" fillId="23" borderId="13" xfId="0" applyFont="1" applyFill="1" applyBorder="1" applyAlignment="1">
      <alignment horizontal="left" vertical="center"/>
    </xf>
    <xf numFmtId="0" fontId="70" fillId="23" borderId="21" xfId="0" applyFont="1" applyFill="1" applyBorder="1" applyAlignment="1">
      <alignment horizontal="left" vertical="center"/>
    </xf>
    <xf numFmtId="0" fontId="70" fillId="23" borderId="14" xfId="0" applyFont="1" applyFill="1" applyBorder="1" applyAlignment="1">
      <alignment horizontal="left" vertical="center"/>
    </xf>
    <xf numFmtId="0" fontId="59" fillId="15" borderId="12" xfId="0" applyFont="1" applyFill="1" applyBorder="1" applyAlignment="1" applyProtection="1">
      <alignment vertical="center"/>
    </xf>
    <xf numFmtId="0" fontId="69" fillId="0" borderId="159" xfId="0" applyFont="1" applyBorder="1" applyAlignment="1">
      <alignment horizontal="centerContinuous" vertical="center"/>
    </xf>
    <xf numFmtId="0" fontId="60" fillId="0" borderId="160" xfId="0" applyFont="1" applyBorder="1" applyAlignment="1">
      <alignment horizontal="centerContinuous" vertical="center"/>
    </xf>
    <xf numFmtId="0" fontId="62" fillId="0" borderId="160" xfId="0" applyFont="1" applyBorder="1" applyAlignment="1">
      <alignment horizontal="centerContinuous" vertical="center"/>
    </xf>
    <xf numFmtId="0" fontId="69" fillId="0" borderId="105" xfId="0" applyFont="1" applyBorder="1" applyAlignment="1">
      <alignment horizontal="center"/>
    </xf>
    <xf numFmtId="0" fontId="62" fillId="23" borderId="16" xfId="3" applyFont="1" applyFill="1" applyBorder="1" applyAlignment="1">
      <alignment horizontal="left" vertical="center"/>
    </xf>
    <xf numFmtId="0" fontId="62" fillId="23" borderId="10" xfId="3" applyFont="1" applyFill="1" applyBorder="1" applyAlignment="1">
      <alignment horizontal="left" vertical="center"/>
    </xf>
    <xf numFmtId="0" fontId="62" fillId="23" borderId="19" xfId="3" applyNumberFormat="1" applyFont="1" applyFill="1" applyBorder="1" applyAlignment="1">
      <alignment vertical="center"/>
    </xf>
    <xf numFmtId="0" fontId="62" fillId="23" borderId="20" xfId="3" applyNumberFormat="1" applyFont="1" applyFill="1" applyBorder="1" applyAlignment="1">
      <alignment vertical="center"/>
    </xf>
    <xf numFmtId="0" fontId="62" fillId="23" borderId="11" xfId="3" applyNumberFormat="1" applyFont="1" applyFill="1" applyBorder="1" applyAlignment="1">
      <alignment vertical="center"/>
    </xf>
    <xf numFmtId="0" fontId="11" fillId="0" borderId="0" xfId="17" quotePrefix="1" applyNumberFormat="1" applyFont="1"/>
    <xf numFmtId="0" fontId="132" fillId="20" borderId="157" xfId="17" applyFont="1" applyFill="1" applyBorder="1" applyAlignment="1" applyProtection="1">
      <alignment horizontal="left" vertical="top" wrapText="1"/>
    </xf>
    <xf numFmtId="49" fontId="132" fillId="20" borderId="157" xfId="17" applyNumberFormat="1" applyFont="1" applyFill="1" applyBorder="1" applyAlignment="1" applyProtection="1">
      <alignment horizontal="center" vertical="top"/>
    </xf>
    <xf numFmtId="0" fontId="132" fillId="20" borderId="157" xfId="17" applyFont="1" applyFill="1" applyBorder="1" applyAlignment="1" applyProtection="1">
      <alignment vertical="top"/>
    </xf>
    <xf numFmtId="38" fontId="132" fillId="20" borderId="157" xfId="17" applyNumberFormat="1" applyFont="1" applyFill="1" applyBorder="1" applyAlignment="1" applyProtection="1">
      <alignment horizontal="right" vertical="top"/>
    </xf>
    <xf numFmtId="38" fontId="132" fillId="20" borderId="157" xfId="17" applyNumberFormat="1" applyFont="1" applyFill="1" applyBorder="1" applyAlignment="1" applyProtection="1">
      <alignment vertical="top"/>
    </xf>
    <xf numFmtId="0" fontId="12" fillId="0" borderId="157" xfId="17" applyBorder="1" applyAlignment="1" applyProtection="1">
      <alignment horizontal="left" vertical="top" wrapText="1"/>
      <protection locked="0"/>
    </xf>
    <xf numFmtId="0" fontId="12" fillId="0" borderId="157" xfId="17" applyBorder="1" applyAlignment="1" applyProtection="1">
      <alignment vertical="top"/>
      <protection locked="0"/>
    </xf>
    <xf numFmtId="0" fontId="11" fillId="0" borderId="157" xfId="17" applyFont="1" applyBorder="1" applyAlignment="1" applyProtection="1">
      <alignment horizontal="left" vertical="top" wrapText="1"/>
      <protection locked="0"/>
    </xf>
    <xf numFmtId="0" fontId="11" fillId="0" borderId="157" xfId="17" applyFont="1" applyBorder="1" applyAlignment="1" applyProtection="1">
      <alignment vertical="top"/>
      <protection locked="0"/>
    </xf>
    <xf numFmtId="0" fontId="12" fillId="0" borderId="0" xfId="17" applyAlignment="1">
      <alignment horizontal="center" vertical="center" wrapText="1"/>
    </xf>
    <xf numFmtId="0" fontId="10" fillId="0" borderId="0" xfId="17" applyFont="1" applyAlignment="1">
      <alignment horizontal="left" vertical="center" wrapText="1"/>
    </xf>
    <xf numFmtId="0" fontId="10" fillId="0" borderId="0" xfId="17" applyFont="1" applyAlignment="1">
      <alignment vertical="center"/>
    </xf>
    <xf numFmtId="0" fontId="12" fillId="0" borderId="0" xfId="17" applyAlignment="1">
      <alignment vertical="center"/>
    </xf>
    <xf numFmtId="0" fontId="132" fillId="0" borderId="98" xfId="17" applyFont="1" applyBorder="1" applyAlignment="1">
      <alignment horizontal="left" vertical="top"/>
    </xf>
    <xf numFmtId="0" fontId="132" fillId="0" borderId="78" xfId="17" applyFont="1" applyBorder="1" applyAlignment="1">
      <alignment horizontal="left" vertical="top"/>
    </xf>
    <xf numFmtId="0" fontId="132" fillId="0" borderId="99" xfId="17" applyFont="1" applyBorder="1" applyAlignment="1">
      <alignment horizontal="left" vertical="top"/>
    </xf>
    <xf numFmtId="0" fontId="38" fillId="0" borderId="0" xfId="2" applyNumberFormat="1" applyAlignment="1" applyProtection="1">
      <alignment vertical="center"/>
    </xf>
    <xf numFmtId="0" fontId="69" fillId="0" borderId="5" xfId="3" applyFont="1" applyFill="1" applyBorder="1" applyAlignment="1" applyProtection="1"/>
    <xf numFmtId="49" fontId="12" fillId="0" borderId="157" xfId="17" applyNumberFormat="1" applyBorder="1" applyAlignment="1" applyProtection="1">
      <alignment horizontal="center" vertical="center"/>
      <protection locked="0"/>
    </xf>
    <xf numFmtId="49" fontId="10" fillId="0" borderId="157" xfId="17" applyNumberFormat="1" applyFont="1" applyBorder="1" applyAlignment="1" applyProtection="1">
      <alignment horizontal="center" vertical="center"/>
      <protection locked="0"/>
    </xf>
    <xf numFmtId="3" fontId="69" fillId="16" borderId="36" xfId="0" applyNumberFormat="1" applyFont="1" applyFill="1" applyBorder="1" applyAlignment="1">
      <alignment horizontal="left" vertical="center" wrapText="1" indent="1"/>
    </xf>
    <xf numFmtId="49" fontId="69" fillId="16" borderId="27" xfId="0" applyNumberFormat="1" applyFont="1" applyFill="1" applyBorder="1" applyAlignment="1">
      <alignment horizontal="center" vertical="center"/>
    </xf>
    <xf numFmtId="38" fontId="60" fillId="16" borderId="27" xfId="0" applyNumberFormat="1" applyFont="1" applyFill="1" applyBorder="1" applyAlignment="1">
      <alignment horizontal="right"/>
    </xf>
    <xf numFmtId="38" fontId="60" fillId="16" borderId="2" xfId="0" applyNumberFormat="1" applyFont="1" applyFill="1" applyBorder="1" applyAlignment="1">
      <alignment horizontal="right"/>
    </xf>
    <xf numFmtId="38" fontId="60" fillId="16" borderId="4" xfId="0" applyNumberFormat="1" applyFont="1" applyFill="1" applyBorder="1" applyAlignment="1">
      <alignment horizontal="right"/>
    </xf>
    <xf numFmtId="49" fontId="69" fillId="16" borderId="36" xfId="0" applyNumberFormat="1" applyFont="1" applyFill="1" applyBorder="1" applyAlignment="1">
      <alignment horizontal="center" vertical="center"/>
    </xf>
    <xf numFmtId="38" fontId="60" fillId="16" borderId="30" xfId="0" applyNumberFormat="1" applyFont="1" applyFill="1" applyBorder="1" applyAlignment="1">
      <alignment horizontal="right"/>
    </xf>
    <xf numFmtId="49" fontId="69" fillId="16" borderId="30" xfId="0" applyNumberFormat="1" applyFont="1" applyFill="1" applyBorder="1" applyAlignment="1">
      <alignment horizontal="center" vertical="center"/>
    </xf>
    <xf numFmtId="0" fontId="69" fillId="16" borderId="32" xfId="0" applyNumberFormat="1" applyFont="1" applyFill="1" applyBorder="1" applyAlignment="1">
      <alignment horizontal="center" vertical="center"/>
    </xf>
    <xf numFmtId="38" fontId="60" fillId="16" borderId="32" xfId="0" applyNumberFormat="1" applyFont="1" applyFill="1" applyBorder="1" applyAlignment="1">
      <alignment horizontal="right"/>
    </xf>
    <xf numFmtId="0" fontId="69" fillId="16" borderId="27" xfId="0" applyFont="1" applyFill="1" applyBorder="1" applyAlignment="1">
      <alignment horizontal="center" vertical="center"/>
    </xf>
    <xf numFmtId="38" fontId="60" fillId="16" borderId="33" xfId="0" applyNumberFormat="1" applyFont="1" applyFill="1" applyBorder="1" applyAlignment="1">
      <alignment horizontal="right"/>
    </xf>
    <xf numFmtId="3" fontId="69" fillId="16" borderId="27" xfId="0" applyNumberFormat="1" applyFont="1" applyFill="1" applyBorder="1" applyAlignment="1">
      <alignment horizontal="left" vertical="center" indent="1"/>
    </xf>
    <xf numFmtId="0" fontId="69" fillId="16" borderId="27" xfId="0" applyFont="1" applyFill="1" applyBorder="1" applyAlignment="1">
      <alignment horizontal="center" vertical="top"/>
    </xf>
    <xf numFmtId="0" fontId="62" fillId="16" borderId="30" xfId="0" applyFont="1" applyFill="1" applyBorder="1" applyAlignment="1">
      <alignment horizontal="left" vertical="center" indent="1"/>
    </xf>
    <xf numFmtId="38" fontId="60" fillId="16" borderId="26" xfId="0" applyNumberFormat="1" applyFont="1" applyFill="1" applyBorder="1" applyAlignment="1">
      <alignment horizontal="right"/>
    </xf>
    <xf numFmtId="38" fontId="60" fillId="16" borderId="28" xfId="0" applyNumberFormat="1" applyFont="1" applyFill="1" applyBorder="1" applyAlignment="1">
      <alignment horizontal="right"/>
    </xf>
    <xf numFmtId="38" fontId="60" fillId="16" borderId="29" xfId="0" applyNumberFormat="1" applyFont="1" applyFill="1" applyBorder="1" applyAlignment="1">
      <alignment horizontal="right"/>
    </xf>
    <xf numFmtId="3" fontId="69" fillId="16" borderId="55" xfId="0" applyNumberFormat="1" applyFont="1" applyFill="1" applyBorder="1" applyAlignment="1">
      <alignment horizontal="left" vertical="center" wrapText="1" indent="1"/>
    </xf>
    <xf numFmtId="49" fontId="69" fillId="16" borderId="32" xfId="0" applyNumberFormat="1" applyFont="1" applyFill="1" applyBorder="1" applyAlignment="1">
      <alignment horizontal="center" vertical="center"/>
    </xf>
    <xf numFmtId="38" fontId="60" fillId="16" borderId="27" xfId="0" applyNumberFormat="1" applyFont="1" applyFill="1" applyBorder="1" applyAlignment="1" applyProtection="1">
      <alignment horizontal="right"/>
    </xf>
    <xf numFmtId="3" fontId="69" fillId="16" borderId="55" xfId="0" applyNumberFormat="1" applyFont="1" applyFill="1" applyBorder="1" applyAlignment="1">
      <alignment horizontal="left" vertical="top" wrapText="1" indent="1"/>
    </xf>
    <xf numFmtId="49" fontId="67" fillId="16" borderId="51" xfId="0" applyNumberFormat="1" applyFont="1" applyFill="1" applyBorder="1" applyAlignment="1">
      <alignment horizontal="center" vertical="top"/>
    </xf>
    <xf numFmtId="3" fontId="69" fillId="16" borderId="27" xfId="0" applyNumberFormat="1" applyFont="1" applyFill="1" applyBorder="1" applyAlignment="1">
      <alignment horizontal="left" vertical="center" wrapText="1" indent="1"/>
    </xf>
    <xf numFmtId="3" fontId="69" fillId="16" borderId="36" xfId="0" applyNumberFormat="1" applyFont="1" applyFill="1" applyBorder="1" applyAlignment="1">
      <alignment horizontal="left" vertical="top" wrapText="1" indent="1"/>
    </xf>
    <xf numFmtId="0" fontId="67" fillId="16" borderId="30" xfId="0" applyFont="1" applyFill="1" applyBorder="1" applyAlignment="1">
      <alignment vertical="top"/>
    </xf>
    <xf numFmtId="3" fontId="69" fillId="16" borderId="36" xfId="0" applyNumberFormat="1" applyFont="1" applyFill="1" applyBorder="1" applyAlignment="1">
      <alignment horizontal="left" vertical="center" indent="1"/>
    </xf>
    <xf numFmtId="0" fontId="69" fillId="16" borderId="30" xfId="0" applyFont="1" applyFill="1" applyBorder="1" applyAlignment="1">
      <alignment horizontal="center" vertical="center"/>
    </xf>
    <xf numFmtId="0" fontId="69" fillId="16" borderId="27" xfId="0" applyFont="1" applyFill="1" applyBorder="1" applyAlignment="1">
      <alignment horizontal="center" vertical="center" wrapText="1"/>
    </xf>
    <xf numFmtId="49" fontId="69" fillId="16" borderId="27" xfId="0" applyNumberFormat="1" applyFont="1" applyFill="1" applyBorder="1" applyAlignment="1">
      <alignment horizontal="center" vertical="top" wrapText="1"/>
    </xf>
    <xf numFmtId="3" fontId="69" fillId="16" borderId="36" xfId="0" applyNumberFormat="1" applyFont="1" applyFill="1" applyBorder="1" applyAlignment="1">
      <alignment horizontal="left" vertical="top" indent="1"/>
    </xf>
    <xf numFmtId="38" fontId="60" fillId="16" borderId="3" xfId="0" applyNumberFormat="1" applyFont="1" applyFill="1" applyBorder="1" applyAlignment="1">
      <alignment horizontal="right"/>
    </xf>
    <xf numFmtId="0" fontId="69" fillId="16" borderId="36" xfId="0" applyFont="1" applyFill="1" applyBorder="1" applyAlignment="1">
      <alignment horizontal="left" vertical="center" wrapText="1" indent="1"/>
    </xf>
    <xf numFmtId="49" fontId="67" fillId="16" borderId="51" xfId="0" applyNumberFormat="1" applyFont="1" applyFill="1" applyBorder="1" applyAlignment="1">
      <alignment horizontal="center" vertical="center"/>
    </xf>
    <xf numFmtId="38" fontId="60" fillId="16" borderId="33" xfId="0" applyNumberFormat="1" applyFont="1" applyFill="1" applyBorder="1" applyAlignment="1" applyProtection="1">
      <alignment horizontal="right"/>
    </xf>
    <xf numFmtId="38" fontId="60" fillId="16" borderId="32" xfId="0" applyNumberFormat="1" applyFont="1" applyFill="1" applyBorder="1" applyAlignment="1" applyProtection="1">
      <alignment horizontal="right"/>
    </xf>
    <xf numFmtId="0" fontId="67" fillId="16" borderId="30" xfId="0" applyFont="1" applyFill="1" applyBorder="1" applyAlignment="1">
      <alignment horizontal="left" vertical="top" wrapText="1" indent="1"/>
    </xf>
    <xf numFmtId="0" fontId="69" fillId="16" borderId="35" xfId="0" applyFont="1" applyFill="1" applyBorder="1" applyAlignment="1" applyProtection="1">
      <alignment horizontal="left" vertical="center" wrapText="1" indent="1"/>
    </xf>
    <xf numFmtId="0" fontId="67" fillId="16" borderId="30" xfId="0" applyFont="1" applyFill="1" applyBorder="1" applyAlignment="1" applyProtection="1">
      <alignment horizontal="left" vertical="center"/>
    </xf>
    <xf numFmtId="38" fontId="60" fillId="16" borderId="36" xfId="0" applyNumberFormat="1" applyFont="1" applyFill="1" applyBorder="1" applyAlignment="1" applyProtection="1">
      <alignment horizontal="right"/>
    </xf>
    <xf numFmtId="0" fontId="69" fillId="16" borderId="35" xfId="0" applyFont="1" applyFill="1" applyBorder="1" applyAlignment="1" applyProtection="1">
      <alignment horizontal="left" vertical="center" indent="1"/>
    </xf>
    <xf numFmtId="0" fontId="67" fillId="16" borderId="30" xfId="0" applyFont="1" applyFill="1" applyBorder="1" applyAlignment="1" applyProtection="1">
      <alignment horizontal="center" vertical="center"/>
    </xf>
    <xf numFmtId="37" fontId="60" fillId="16" borderId="36" xfId="0" applyNumberFormat="1" applyFont="1" applyFill="1" applyBorder="1" applyAlignment="1" applyProtection="1">
      <alignment horizontal="right"/>
    </xf>
    <xf numFmtId="37" fontId="60" fillId="16" borderId="27" xfId="0" applyNumberFormat="1" applyFont="1" applyFill="1" applyBorder="1" applyAlignment="1" applyProtection="1">
      <alignment horizontal="right"/>
    </xf>
    <xf numFmtId="0" fontId="67" fillId="16" borderId="30" xfId="0" applyFont="1" applyFill="1" applyBorder="1" applyAlignment="1" applyProtection="1">
      <alignment horizontal="left" vertical="center" indent="2"/>
    </xf>
    <xf numFmtId="0" fontId="69" fillId="16" borderId="52" xfId="0" applyFont="1" applyFill="1" applyBorder="1" applyAlignment="1" applyProtection="1">
      <alignment horizontal="left" vertical="top" wrapText="1" indent="1"/>
    </xf>
    <xf numFmtId="49" fontId="69" fillId="16" borderId="33" xfId="0" applyNumberFormat="1" applyFont="1" applyFill="1" applyBorder="1" applyAlignment="1">
      <alignment horizontal="center" vertical="center"/>
    </xf>
    <xf numFmtId="38" fontId="60" fillId="16" borderId="37" xfId="0" applyNumberFormat="1" applyFont="1" applyFill="1" applyBorder="1" applyAlignment="1" applyProtection="1">
      <alignment horizontal="right"/>
    </xf>
    <xf numFmtId="49" fontId="69" fillId="16" borderId="35" xfId="0" applyNumberFormat="1" applyFont="1" applyFill="1" applyBorder="1" applyAlignment="1" applyProtection="1">
      <alignment horizontal="left" vertical="top" indent="1"/>
    </xf>
    <xf numFmtId="49" fontId="69" fillId="16" borderId="27" xfId="0" applyNumberFormat="1" applyFont="1" applyFill="1" applyBorder="1" applyAlignment="1">
      <alignment horizontal="center" vertical="top"/>
    </xf>
    <xf numFmtId="38" fontId="60" fillId="16" borderId="12" xfId="0" applyNumberFormat="1" applyFont="1" applyFill="1" applyBorder="1" applyAlignment="1" applyProtection="1">
      <alignment horizontal="right"/>
    </xf>
    <xf numFmtId="49" fontId="67" fillId="16" borderId="30" xfId="0" applyNumberFormat="1" applyFont="1" applyFill="1" applyBorder="1" applyAlignment="1" applyProtection="1">
      <alignment horizontal="center" vertical="center"/>
    </xf>
    <xf numFmtId="1" fontId="67" fillId="16" borderId="30" xfId="0" applyNumberFormat="1" applyFont="1" applyFill="1" applyBorder="1" applyAlignment="1" applyProtection="1">
      <alignment horizontal="center" vertical="center"/>
    </xf>
    <xf numFmtId="38" fontId="60" fillId="16" borderId="3" xfId="0" applyNumberFormat="1" applyFont="1" applyFill="1" applyBorder="1" applyAlignment="1" applyProtection="1">
      <alignment horizontal="right"/>
    </xf>
    <xf numFmtId="38" fontId="60" fillId="16" borderId="55" xfId="0" applyNumberFormat="1" applyFont="1" applyFill="1" applyBorder="1" applyAlignment="1" applyProtection="1">
      <alignment horizontal="right"/>
    </xf>
    <xf numFmtId="0" fontId="69" fillId="16" borderId="35" xfId="0" applyFont="1" applyFill="1" applyBorder="1" applyAlignment="1" applyProtection="1">
      <alignment horizontal="left" indent="1"/>
    </xf>
    <xf numFmtId="0" fontId="67" fillId="16" borderId="30" xfId="0" applyFont="1" applyFill="1" applyBorder="1" applyAlignment="1" applyProtection="1">
      <alignment horizontal="center"/>
    </xf>
    <xf numFmtId="0" fontId="69" fillId="16" borderId="36" xfId="0" applyFont="1" applyFill="1" applyBorder="1" applyAlignment="1" applyProtection="1">
      <alignment horizontal="left" vertical="center" indent="1"/>
    </xf>
    <xf numFmtId="0" fontId="67" fillId="16" borderId="27" xfId="0" applyFont="1" applyFill="1" applyBorder="1" applyAlignment="1" applyProtection="1">
      <alignment horizontal="center" vertical="center"/>
    </xf>
    <xf numFmtId="0" fontId="69" fillId="16" borderId="30" xfId="0" applyFont="1" applyFill="1" applyBorder="1" applyAlignment="1">
      <alignment vertical="center"/>
    </xf>
    <xf numFmtId="49" fontId="69" fillId="16" borderId="33" xfId="0" applyNumberFormat="1" applyFont="1" applyFill="1" applyBorder="1" applyAlignment="1" applyProtection="1">
      <alignment horizontal="left" vertical="center" wrapText="1" indent="1"/>
    </xf>
    <xf numFmtId="49" fontId="69" fillId="16" borderId="53" xfId="0" applyNumberFormat="1" applyFont="1" applyFill="1" applyBorder="1" applyAlignment="1">
      <alignment horizontal="center" vertical="center"/>
    </xf>
    <xf numFmtId="0" fontId="69" fillId="16" borderId="52" xfId="0" applyFont="1" applyFill="1" applyBorder="1" applyAlignment="1" applyProtection="1">
      <alignment horizontal="left" wrapText="1" indent="1"/>
    </xf>
    <xf numFmtId="0" fontId="67" fillId="16" borderId="53" xfId="0" applyFont="1" applyFill="1" applyBorder="1" applyAlignment="1" applyProtection="1">
      <alignment horizontal="left" indent="2"/>
    </xf>
    <xf numFmtId="176" fontId="62" fillId="16" borderId="2" xfId="0" applyNumberFormat="1" applyFont="1" applyFill="1" applyBorder="1" applyAlignment="1" applyProtection="1">
      <alignment vertical="center"/>
    </xf>
    <xf numFmtId="38" fontId="62" fillId="16" borderId="2" xfId="0" applyNumberFormat="1" applyFont="1" applyFill="1" applyBorder="1" applyAlignment="1" applyProtection="1">
      <alignment horizontal="right" vertical="center"/>
    </xf>
    <xf numFmtId="38" fontId="62" fillId="16" borderId="2" xfId="0" applyNumberFormat="1" applyFont="1" applyFill="1" applyBorder="1" applyAlignment="1" applyProtection="1">
      <alignment vertical="center"/>
    </xf>
    <xf numFmtId="37" fontId="62" fillId="16" borderId="13" xfId="5" applyNumberFormat="1" applyFont="1" applyFill="1" applyBorder="1" applyAlignment="1" applyProtection="1">
      <alignment horizontal="right"/>
    </xf>
    <xf numFmtId="0" fontId="69" fillId="16" borderId="35" xfId="0" applyFont="1" applyFill="1" applyBorder="1" applyAlignment="1" applyProtection="1">
      <alignment horizontal="left" vertical="center" indent="2"/>
    </xf>
    <xf numFmtId="38" fontId="60" fillId="16" borderId="30" xfId="0" applyNumberFormat="1" applyFont="1" applyFill="1" applyBorder="1" applyAlignment="1" applyProtection="1">
      <alignment horizontal="right"/>
    </xf>
    <xf numFmtId="0" fontId="69" fillId="16" borderId="20" xfId="0" applyFont="1" applyFill="1" applyBorder="1" applyAlignment="1" applyProtection="1">
      <alignment horizontal="left" vertical="center" indent="2"/>
    </xf>
    <xf numFmtId="0" fontId="69" fillId="16" borderId="14" xfId="0" applyFont="1" applyFill="1" applyBorder="1" applyAlignment="1" applyProtection="1">
      <alignment horizontal="center" vertical="center"/>
    </xf>
    <xf numFmtId="38" fontId="60" fillId="16" borderId="26" xfId="0" applyNumberFormat="1" applyFont="1" applyFill="1" applyBorder="1" applyAlignment="1" applyProtection="1">
      <alignment horizontal="right"/>
    </xf>
    <xf numFmtId="0" fontId="69" fillId="16" borderId="30" xfId="0" applyFont="1" applyFill="1" applyBorder="1" applyAlignment="1" applyProtection="1">
      <alignment horizontal="center" vertical="center"/>
    </xf>
    <xf numFmtId="38" fontId="60" fillId="16" borderId="4" xfId="0" applyNumberFormat="1" applyFont="1" applyFill="1" applyBorder="1" applyAlignment="1" applyProtection="1">
      <alignment horizontal="right"/>
    </xf>
    <xf numFmtId="38" fontId="60" fillId="16" borderId="2" xfId="0" applyNumberFormat="1" applyFont="1" applyFill="1" applyBorder="1" applyAlignment="1" applyProtection="1">
      <alignment horizontal="right"/>
    </xf>
    <xf numFmtId="0" fontId="78" fillId="16" borderId="20" xfId="0" applyFont="1" applyFill="1" applyBorder="1" applyAlignment="1" applyProtection="1">
      <alignment horizontal="left" vertical="center" indent="1"/>
    </xf>
    <xf numFmtId="0" fontId="67" fillId="16" borderId="4" xfId="0" applyFont="1" applyFill="1" applyBorder="1" applyAlignment="1" applyProtection="1">
      <alignment horizontal="center"/>
    </xf>
    <xf numFmtId="38" fontId="60" fillId="16" borderId="28" xfId="0" applyNumberFormat="1" applyFont="1" applyFill="1" applyBorder="1" applyAlignment="1" applyProtection="1">
      <alignment horizontal="right"/>
    </xf>
    <xf numFmtId="38" fontId="60" fillId="16" borderId="18" xfId="0" applyNumberFormat="1" applyFont="1" applyFill="1" applyBorder="1" applyAlignment="1" applyProtection="1">
      <alignment horizontal="right"/>
    </xf>
    <xf numFmtId="38" fontId="60" fillId="16" borderId="0" xfId="0" applyNumberFormat="1" applyFont="1" applyFill="1" applyAlignment="1" applyProtection="1">
      <alignment horizontal="right"/>
    </xf>
    <xf numFmtId="38" fontId="60" fillId="16" borderId="127" xfId="0" applyNumberFormat="1" applyFont="1" applyFill="1" applyBorder="1" applyAlignment="1" applyProtection="1">
      <alignment horizontal="right" vertical="center"/>
      <protection locked="0"/>
    </xf>
    <xf numFmtId="38" fontId="60" fillId="16" borderId="2" xfId="0" applyNumberFormat="1" applyFont="1" applyFill="1" applyBorder="1" applyAlignment="1" applyProtection="1">
      <alignment horizontal="right" vertical="center"/>
      <protection locked="0"/>
    </xf>
    <xf numFmtId="38" fontId="60" fillId="16" borderId="27" xfId="0" applyNumberFormat="1" applyFont="1" applyFill="1" applyBorder="1" applyAlignment="1" applyProtection="1">
      <alignment horizontal="right" vertical="center"/>
      <protection locked="0"/>
    </xf>
    <xf numFmtId="38" fontId="60" fillId="16" borderId="127" xfId="0" applyNumberFormat="1" applyFont="1" applyFill="1" applyBorder="1" applyAlignment="1" applyProtection="1">
      <alignment horizontal="right" vertical="center"/>
    </xf>
    <xf numFmtId="38" fontId="60" fillId="16" borderId="2" xfId="0" applyNumberFormat="1" applyFont="1" applyFill="1" applyBorder="1" applyAlignment="1" applyProtection="1">
      <alignment horizontal="right" vertical="center"/>
    </xf>
    <xf numFmtId="0" fontId="69" fillId="16" borderId="27" xfId="0" applyFont="1" applyFill="1" applyBorder="1" applyAlignment="1">
      <alignment horizontal="left" vertical="center" wrapText="1" indent="1"/>
    </xf>
    <xf numFmtId="38" fontId="60" fillId="16" borderId="27" xfId="0" applyNumberFormat="1" applyFont="1" applyFill="1" applyBorder="1" applyAlignment="1" applyProtection="1">
      <alignment horizontal="right" vertical="center"/>
    </xf>
    <xf numFmtId="38" fontId="60" fillId="16" borderId="2" xfId="9" applyNumberFormat="1" applyFont="1" applyFill="1" applyBorder="1" applyAlignment="1" applyProtection="1">
      <alignment horizontal="right"/>
    </xf>
    <xf numFmtId="49" fontId="67" fillId="16" borderId="41" xfId="0" applyNumberFormat="1" applyFont="1" applyFill="1" applyBorder="1" applyAlignment="1" applyProtection="1">
      <alignment horizontal="center" vertical="center"/>
    </xf>
    <xf numFmtId="38" fontId="60" fillId="16" borderId="41" xfId="0" applyNumberFormat="1" applyFont="1" applyFill="1" applyBorder="1" applyAlignment="1" applyProtection="1">
      <alignment vertical="center"/>
    </xf>
    <xf numFmtId="49" fontId="67" fillId="16" borderId="7" xfId="0" applyNumberFormat="1" applyFont="1" applyFill="1" applyBorder="1" applyAlignment="1" applyProtection="1">
      <alignment horizontal="center" vertical="center"/>
    </xf>
    <xf numFmtId="38" fontId="60" fillId="16" borderId="41" xfId="0" applyNumberFormat="1" applyFont="1" applyFill="1" applyBorder="1" applyAlignment="1" applyProtection="1">
      <alignment horizontal="right" vertical="center"/>
    </xf>
    <xf numFmtId="49" fontId="67" fillId="16" borderId="7" xfId="0" applyNumberFormat="1" applyFont="1" applyFill="1" applyBorder="1" applyAlignment="1" applyProtection="1">
      <alignment horizontal="left" vertical="center" indent="2"/>
    </xf>
    <xf numFmtId="0" fontId="62" fillId="16" borderId="7" xfId="0" applyFont="1" applyFill="1" applyBorder="1" applyAlignment="1">
      <alignment horizontal="left" indent="2"/>
    </xf>
    <xf numFmtId="38" fontId="60" fillId="16" borderId="60" xfId="0" applyNumberFormat="1" applyFont="1" applyFill="1" applyBorder="1" applyAlignment="1" applyProtection="1"/>
    <xf numFmtId="38" fontId="60" fillId="16" borderId="41" xfId="0" applyNumberFormat="1" applyFont="1" applyFill="1" applyBorder="1" applyAlignment="1" applyProtection="1">
      <alignment horizontal="right"/>
    </xf>
    <xf numFmtId="0" fontId="69" fillId="16" borderId="54" xfId="0" applyFont="1" applyFill="1" applyBorder="1" applyAlignment="1" applyProtection="1">
      <alignment horizontal="left" vertical="center" indent="2"/>
    </xf>
    <xf numFmtId="0" fontId="69" fillId="16" borderId="41" xfId="0" applyFont="1" applyFill="1" applyBorder="1" applyAlignment="1" applyProtection="1">
      <alignment horizontal="center" vertical="center"/>
    </xf>
    <xf numFmtId="0" fontId="69" fillId="16" borderId="41" xfId="0" applyFont="1" applyFill="1" applyBorder="1" applyAlignment="1" applyProtection="1">
      <alignment horizontal="left" vertical="center" indent="1"/>
    </xf>
    <xf numFmtId="0" fontId="62" fillId="16" borderId="41" xfId="0" applyFont="1" applyFill="1" applyBorder="1" applyAlignment="1" applyProtection="1">
      <alignment vertical="center"/>
    </xf>
    <xf numFmtId="38" fontId="60" fillId="16" borderId="22" xfId="0" applyNumberFormat="1" applyFont="1" applyFill="1" applyBorder="1" applyAlignment="1" applyProtection="1">
      <alignment horizontal="right" vertical="center"/>
    </xf>
    <xf numFmtId="0" fontId="67" fillId="16" borderId="0" xfId="10" applyFont="1" applyFill="1" applyAlignment="1">
      <alignment vertical="center"/>
    </xf>
    <xf numFmtId="0" fontId="67" fillId="16" borderId="0" xfId="10" applyFont="1" applyFill="1" applyAlignment="1">
      <alignment horizontal="center" vertical="center"/>
    </xf>
    <xf numFmtId="0" fontId="67" fillId="16" borderId="0" xfId="10" applyFont="1" applyFill="1" applyAlignment="1">
      <alignment horizontal="right" vertical="center"/>
    </xf>
    <xf numFmtId="0" fontId="69" fillId="16" borderId="0" xfId="10" applyFont="1" applyFill="1" applyAlignment="1">
      <alignment horizontal="right" vertical="center" indent="3"/>
    </xf>
    <xf numFmtId="0" fontId="67" fillId="16" borderId="0" xfId="10" applyFont="1" applyFill="1" applyBorder="1" applyAlignment="1">
      <alignment horizontal="right" vertical="center"/>
    </xf>
    <xf numFmtId="3" fontId="69" fillId="16" borderId="57" xfId="10" applyNumberFormat="1" applyFont="1" applyFill="1" applyBorder="1" applyAlignment="1" applyProtection="1">
      <alignment vertical="center"/>
    </xf>
    <xf numFmtId="0" fontId="67" fillId="16" borderId="0" xfId="10" applyFont="1" applyFill="1" applyAlignment="1">
      <alignment horizontal="left" vertical="center"/>
    </xf>
    <xf numFmtId="0" fontId="69" fillId="16" borderId="0" xfId="10" applyFont="1" applyFill="1" applyAlignment="1">
      <alignment horizontal="right" vertical="center"/>
    </xf>
    <xf numFmtId="38" fontId="69" fillId="16" borderId="47" xfId="10" applyNumberFormat="1" applyFont="1" applyFill="1" applyBorder="1" applyAlignment="1">
      <alignment horizontal="right"/>
    </xf>
    <xf numFmtId="0" fontId="67" fillId="16" borderId="0" xfId="10" quotePrefix="1" applyFont="1" applyFill="1" applyAlignment="1">
      <alignment horizontal="left" vertical="center"/>
    </xf>
    <xf numFmtId="38" fontId="67" fillId="16" borderId="58" xfId="10" applyNumberFormat="1" applyFont="1" applyFill="1" applyBorder="1" applyAlignment="1" applyProtection="1">
      <alignment horizontal="right"/>
    </xf>
    <xf numFmtId="0" fontId="67" fillId="16" borderId="0" xfId="11" quotePrefix="1" applyFont="1" applyFill="1" applyAlignment="1">
      <alignment horizontal="left" vertical="center"/>
    </xf>
    <xf numFmtId="0" fontId="69" fillId="16" borderId="0" xfId="10" quotePrefix="1" applyFont="1" applyFill="1" applyAlignment="1">
      <alignment horizontal="left" vertical="center"/>
    </xf>
    <xf numFmtId="40" fontId="69" fillId="16" borderId="47" xfId="10" applyNumberFormat="1" applyFont="1" applyFill="1" applyBorder="1" applyAlignment="1" applyProtection="1">
      <alignment horizontal="right"/>
    </xf>
    <xf numFmtId="0" fontId="67" fillId="16" borderId="0" xfId="11" applyFont="1" applyFill="1" applyAlignment="1">
      <alignment horizontal="left" vertical="center"/>
    </xf>
    <xf numFmtId="0" fontId="67" fillId="16" borderId="0" xfId="11" applyFont="1" applyFill="1" applyAlignment="1">
      <alignment horizontal="right" vertical="center"/>
    </xf>
    <xf numFmtId="0" fontId="69" fillId="16" borderId="0" xfId="11" applyFont="1" applyFill="1" applyAlignment="1">
      <alignment horizontal="right" vertical="center"/>
    </xf>
    <xf numFmtId="0" fontId="67" fillId="16" borderId="0" xfId="11" applyFont="1" applyFill="1" applyBorder="1" applyAlignment="1">
      <alignment horizontal="right" vertical="center"/>
    </xf>
    <xf numFmtId="38" fontId="69" fillId="16" borderId="9" xfId="11" applyNumberFormat="1" applyFont="1" applyFill="1" applyBorder="1" applyAlignment="1" applyProtection="1">
      <alignment horizontal="right"/>
    </xf>
    <xf numFmtId="38" fontId="67" fillId="16" borderId="6" xfId="11" applyNumberFormat="1" applyFont="1" applyFill="1" applyBorder="1" applyAlignment="1" applyProtection="1">
      <alignment horizontal="right"/>
    </xf>
    <xf numFmtId="0" fontId="67" fillId="16" borderId="0" xfId="11" applyFont="1" applyFill="1" applyAlignment="1">
      <alignment vertical="center"/>
    </xf>
    <xf numFmtId="40" fontId="67" fillId="16" borderId="9" xfId="11" applyNumberFormat="1" applyFont="1" applyFill="1" applyBorder="1" applyAlignment="1" applyProtection="1">
      <alignment horizontal="right"/>
    </xf>
    <xf numFmtId="40" fontId="69" fillId="16" borderId="57" xfId="11" applyNumberFormat="1" applyFont="1" applyFill="1" applyBorder="1" applyAlignment="1" applyProtection="1">
      <alignment horizontal="right"/>
    </xf>
    <xf numFmtId="38" fontId="12" fillId="16" borderId="157" xfId="17" applyNumberFormat="1" applyFill="1" applyBorder="1" applyAlignment="1" applyProtection="1">
      <alignment vertical="top"/>
    </xf>
    <xf numFmtId="38" fontId="12" fillId="16" borderId="158" xfId="17" applyNumberFormat="1" applyFill="1" applyBorder="1" applyAlignment="1" applyProtection="1">
      <alignment horizontal="right" vertical="top"/>
    </xf>
    <xf numFmtId="38" fontId="12" fillId="16" borderId="158" xfId="17" applyNumberFormat="1" applyFill="1" applyBorder="1" applyAlignment="1" applyProtection="1">
      <alignment vertical="top"/>
    </xf>
    <xf numFmtId="0" fontId="12" fillId="16" borderId="158" xfId="17" applyFill="1" applyBorder="1" applyAlignment="1" applyProtection="1">
      <alignment horizontal="left" vertical="top" wrapText="1"/>
    </xf>
    <xf numFmtId="49" fontId="12" fillId="16" borderId="158" xfId="17" applyNumberFormat="1" applyFill="1" applyBorder="1" applyAlignment="1" applyProtection="1">
      <alignment vertical="top"/>
    </xf>
    <xf numFmtId="0" fontId="12" fillId="16" borderId="158" xfId="17" applyFill="1" applyBorder="1" applyAlignment="1" applyProtection="1">
      <alignment vertical="top"/>
    </xf>
    <xf numFmtId="0" fontId="60" fillId="16" borderId="126" xfId="0" applyFont="1" applyFill="1" applyBorder="1"/>
    <xf numFmtId="37" fontId="60" fillId="16" borderId="126" xfId="0" applyNumberFormat="1" applyFont="1" applyFill="1" applyBorder="1"/>
    <xf numFmtId="37" fontId="60" fillId="16" borderId="128" xfId="0" applyNumberFormat="1" applyFont="1" applyFill="1" applyBorder="1"/>
    <xf numFmtId="0" fontId="60" fillId="16" borderId="14" xfId="0" applyFont="1" applyFill="1" applyBorder="1"/>
    <xf numFmtId="0" fontId="60" fillId="16" borderId="21" xfId="0" applyFont="1" applyFill="1" applyBorder="1"/>
    <xf numFmtId="37" fontId="60" fillId="16" borderId="14" xfId="0" applyNumberFormat="1" applyFont="1" applyFill="1" applyBorder="1"/>
    <xf numFmtId="37" fontId="60" fillId="16" borderId="21" xfId="0" applyNumberFormat="1" applyFont="1" applyFill="1" applyBorder="1"/>
    <xf numFmtId="38" fontId="60" fillId="16" borderId="14" xfId="0" applyNumberFormat="1" applyFont="1" applyFill="1" applyBorder="1"/>
    <xf numFmtId="0" fontId="67" fillId="16" borderId="0" xfId="0" applyFont="1" applyFill="1" applyBorder="1" applyAlignment="1">
      <alignment horizontal="right"/>
    </xf>
    <xf numFmtId="38" fontId="60" fillId="16" borderId="18" xfId="0" applyNumberFormat="1" applyFont="1" applyFill="1" applyBorder="1"/>
    <xf numFmtId="0" fontId="60" fillId="16" borderId="13" xfId="0" applyFont="1" applyFill="1" applyBorder="1" applyAlignment="1">
      <alignment horizontal="right"/>
    </xf>
    <xf numFmtId="10" fontId="59" fillId="16" borderId="14" xfId="0" applyNumberFormat="1" applyFont="1" applyFill="1" applyBorder="1" applyAlignment="1">
      <alignment horizontal="left" indent="2"/>
    </xf>
    <xf numFmtId="38" fontId="60" fillId="16" borderId="2" xfId="3" applyNumberFormat="1" applyFont="1" applyFill="1" applyBorder="1" applyAlignment="1">
      <alignment vertical="center"/>
    </xf>
    <xf numFmtId="38" fontId="60" fillId="16" borderId="2" xfId="3" applyNumberFormat="1" applyFont="1" applyFill="1" applyBorder="1" applyAlignment="1" applyProtection="1">
      <alignment vertical="center"/>
    </xf>
    <xf numFmtId="38" fontId="60" fillId="16" borderId="27" xfId="3" applyNumberFormat="1" applyFont="1" applyFill="1" applyBorder="1" applyAlignment="1">
      <alignment vertical="center"/>
    </xf>
    <xf numFmtId="9" fontId="60" fillId="16" borderId="4" xfId="3" applyNumberFormat="1" applyFont="1" applyFill="1" applyBorder="1" applyAlignment="1">
      <alignment horizontal="center" vertical="center"/>
    </xf>
    <xf numFmtId="38" fontId="60" fillId="16" borderId="22" xfId="3" applyNumberFormat="1" applyFont="1" applyFill="1" applyBorder="1" applyAlignment="1">
      <alignment horizontal="right" vertical="center"/>
    </xf>
    <xf numFmtId="38" fontId="60" fillId="16" borderId="41" xfId="3" applyNumberFormat="1" applyFont="1" applyFill="1" applyBorder="1" applyAlignment="1">
      <alignment horizontal="right" vertical="center"/>
    </xf>
    <xf numFmtId="38" fontId="60" fillId="16" borderId="75" xfId="3" applyNumberFormat="1" applyFont="1" applyFill="1" applyBorder="1" applyAlignment="1">
      <alignment horizontal="right" vertical="center"/>
    </xf>
    <xf numFmtId="38" fontId="59" fillId="16" borderId="75" xfId="3" applyNumberFormat="1" applyFont="1" applyFill="1" applyBorder="1" applyAlignment="1">
      <alignment horizontal="right" vertical="center"/>
    </xf>
    <xf numFmtId="38" fontId="60" fillId="16" borderId="60" xfId="3" applyNumberFormat="1" applyFont="1" applyFill="1" applyBorder="1" applyAlignment="1">
      <alignment horizontal="right" vertical="center"/>
    </xf>
    <xf numFmtId="38" fontId="59" fillId="16" borderId="60" xfId="3" applyNumberFormat="1" applyFont="1" applyFill="1" applyBorder="1" applyAlignment="1">
      <alignment horizontal="right" vertical="center"/>
    </xf>
    <xf numFmtId="38" fontId="60" fillId="16" borderId="127" xfId="0" applyNumberFormat="1" applyFont="1" applyFill="1" applyBorder="1" applyAlignment="1" applyProtection="1">
      <alignment horizontal="right"/>
    </xf>
    <xf numFmtId="0" fontId="69" fillId="15" borderId="17" xfId="0" applyFont="1" applyFill="1" applyBorder="1" applyAlignment="1">
      <alignment horizontal="left" vertical="center" wrapText="1"/>
    </xf>
    <xf numFmtId="49" fontId="69" fillId="15" borderId="26" xfId="0" applyNumberFormat="1" applyFont="1" applyFill="1" applyBorder="1" applyAlignment="1">
      <alignment horizontal="center" vertical="center"/>
    </xf>
    <xf numFmtId="38" fontId="60" fillId="15" borderId="26" xfId="0" applyNumberFormat="1" applyFont="1" applyFill="1" applyBorder="1" applyAlignment="1">
      <alignment horizontal="right"/>
    </xf>
    <xf numFmtId="38" fontId="60" fillId="15" borderId="3" xfId="0" applyNumberFormat="1" applyFont="1" applyFill="1" applyBorder="1" applyAlignment="1">
      <alignment horizontal="right"/>
    </xf>
    <xf numFmtId="0" fontId="69" fillId="0" borderId="13" xfId="0" applyFont="1" applyFill="1" applyBorder="1" applyAlignment="1">
      <alignment horizontal="left" vertical="center" wrapText="1"/>
    </xf>
    <xf numFmtId="49" fontId="69" fillId="0" borderId="2" xfId="0" applyNumberFormat="1" applyFont="1" applyFill="1" applyBorder="1" applyAlignment="1">
      <alignment horizontal="center" vertical="center"/>
    </xf>
    <xf numFmtId="0" fontId="69" fillId="16" borderId="13" xfId="0" applyFont="1" applyFill="1" applyBorder="1" applyAlignment="1">
      <alignment horizontal="left" vertical="center" wrapText="1"/>
    </xf>
    <xf numFmtId="49" fontId="69" fillId="16" borderId="2" xfId="0" applyNumberFormat="1" applyFont="1" applyFill="1" applyBorder="1" applyAlignment="1">
      <alignment horizontal="center" vertical="center"/>
    </xf>
    <xf numFmtId="3" fontId="67" fillId="0" borderId="13" xfId="0" applyNumberFormat="1" applyFont="1" applyFill="1" applyBorder="1" applyAlignment="1">
      <alignment horizontal="left" vertical="center" wrapText="1" indent="1"/>
    </xf>
    <xf numFmtId="0" fontId="69" fillId="0" borderId="49" xfId="0" applyFont="1" applyFill="1" applyBorder="1" applyAlignment="1">
      <alignment horizontal="left" vertical="center" wrapText="1" indent="1"/>
    </xf>
    <xf numFmtId="0" fontId="69" fillId="0" borderId="13" xfId="0" applyFont="1" applyFill="1" applyBorder="1" applyAlignment="1">
      <alignment horizontal="left" vertical="center" wrapText="1" indent="1"/>
    </xf>
    <xf numFmtId="38" fontId="60" fillId="26" borderId="26" xfId="0" applyNumberFormat="1" applyFont="1" applyFill="1" applyBorder="1" applyAlignment="1">
      <alignment horizontal="right"/>
    </xf>
    <xf numFmtId="3" fontId="67" fillId="0" borderId="12" xfId="0" applyNumberFormat="1" applyFont="1" applyBorder="1" applyAlignment="1">
      <alignment horizontal="left" vertical="top" wrapText="1" indent="1"/>
    </xf>
    <xf numFmtId="38" fontId="60" fillId="16" borderId="19" xfId="0" applyNumberFormat="1" applyFont="1" applyFill="1" applyBorder="1" applyAlignment="1" applyProtection="1">
      <alignment horizontal="right"/>
    </xf>
    <xf numFmtId="49" fontId="38" fillId="0" borderId="0" xfId="2" applyNumberFormat="1" applyBorder="1" applyAlignment="1" applyProtection="1">
      <alignment horizontal="center"/>
    </xf>
    <xf numFmtId="49" fontId="9" fillId="0" borderId="157" xfId="17" applyNumberFormat="1" applyFont="1" applyBorder="1" applyAlignment="1" applyProtection="1">
      <alignment horizontal="center" vertical="center"/>
      <protection locked="0"/>
    </xf>
    <xf numFmtId="14" fontId="62" fillId="0" borderId="0" xfId="0" applyNumberFormat="1" applyFont="1" applyBorder="1" applyAlignment="1" applyProtection="1">
      <alignment vertical="center"/>
      <protection locked="0"/>
    </xf>
    <xf numFmtId="0" fontId="78" fillId="0" borderId="0" xfId="3" applyFont="1" applyBorder="1" applyAlignment="1" applyProtection="1">
      <alignment horizontal="center" vertical="top"/>
    </xf>
    <xf numFmtId="0" fontId="62" fillId="0" borderId="161" xfId="3" applyFont="1" applyBorder="1" applyProtection="1"/>
    <xf numFmtId="49" fontId="67" fillId="0" borderId="14" xfId="0" applyNumberFormat="1" applyFont="1" applyFill="1" applyBorder="1" applyAlignment="1" applyProtection="1">
      <alignment horizontal="center" vertical="center"/>
    </xf>
    <xf numFmtId="38" fontId="60" fillId="15" borderId="3" xfId="0" applyNumberFormat="1" applyFont="1" applyFill="1" applyBorder="1" applyAlignment="1" applyProtection="1">
      <alignment horizontal="right"/>
    </xf>
    <xf numFmtId="38" fontId="60" fillId="15" borderId="26" xfId="0" applyNumberFormat="1" applyFont="1" applyFill="1" applyBorder="1" applyAlignment="1" applyProtection="1">
      <alignment horizontal="right"/>
    </xf>
    <xf numFmtId="38" fontId="12" fillId="0" borderId="157" xfId="17" applyNumberFormat="1" applyBorder="1" applyAlignment="1" applyProtection="1">
      <alignment horizontal="right" vertical="top"/>
      <protection locked="0"/>
    </xf>
    <xf numFmtId="0" fontId="67" fillId="0" borderId="0" xfId="3" applyFont="1" applyBorder="1" applyAlignment="1" applyProtection="1">
      <alignment horizontal="left" vertical="top" wrapText="1"/>
    </xf>
    <xf numFmtId="0" fontId="59" fillId="0" borderId="0" xfId="3" applyFont="1" applyAlignment="1" applyProtection="1">
      <alignment horizontal="center"/>
    </xf>
    <xf numFmtId="0" fontId="105" fillId="0" borderId="0" xfId="18" applyFont="1"/>
    <xf numFmtId="0" fontId="106" fillId="23" borderId="0" xfId="18" applyFont="1" applyFill="1" applyAlignment="1">
      <alignment horizontal="centerContinuous" vertical="center"/>
    </xf>
    <xf numFmtId="0" fontId="105" fillId="23" borderId="0" xfId="18" applyFont="1" applyFill="1" applyAlignment="1">
      <alignment horizontal="centerContinuous"/>
    </xf>
    <xf numFmtId="0" fontId="93" fillId="0" borderId="137" xfId="18" applyFont="1" applyFill="1" applyBorder="1" applyAlignment="1">
      <alignment horizontal="center" vertical="top" wrapText="1"/>
    </xf>
    <xf numFmtId="0" fontId="93" fillId="0" borderId="0" xfId="18" applyFont="1" applyFill="1" applyBorder="1" applyAlignment="1">
      <alignment horizontal="center" vertical="top" wrapText="1"/>
    </xf>
    <xf numFmtId="0" fontId="9" fillId="0" borderId="0" xfId="18" applyFont="1" applyAlignment="1">
      <alignment wrapText="1"/>
    </xf>
    <xf numFmtId="0" fontId="137" fillId="0" borderId="162" xfId="18" applyFont="1" applyFill="1" applyBorder="1" applyAlignment="1" applyProtection="1">
      <alignment horizontal="center" vertical="center"/>
      <protection locked="0"/>
    </xf>
    <xf numFmtId="0" fontId="108" fillId="0" borderId="0" xfId="18" applyNumberFormat="1" applyFont="1"/>
    <xf numFmtId="0" fontId="83" fillId="0" borderId="107" xfId="18" applyFont="1" applyBorder="1" applyAlignment="1">
      <alignment horizontal="left" vertical="center" wrapText="1"/>
    </xf>
    <xf numFmtId="0" fontId="83" fillId="0" borderId="164" xfId="18" applyFont="1" applyBorder="1" applyAlignment="1">
      <alignment horizontal="left" vertical="center" wrapText="1"/>
    </xf>
    <xf numFmtId="49" fontId="131" fillId="0" borderId="106" xfId="18" applyNumberFormat="1" applyFont="1" applyBorder="1" applyAlignment="1" applyProtection="1">
      <alignment horizontal="center" vertical="center"/>
      <protection locked="0"/>
    </xf>
    <xf numFmtId="0" fontId="131" fillId="0" borderId="106" xfId="18" applyFont="1" applyFill="1" applyBorder="1" applyAlignment="1" applyProtection="1">
      <alignment horizontal="center" vertical="center" wrapText="1"/>
      <protection locked="0"/>
    </xf>
    <xf numFmtId="0" fontId="105" fillId="0" borderId="106" xfId="18" applyFont="1" applyFill="1" applyBorder="1"/>
    <xf numFmtId="0" fontId="109" fillId="0" borderId="159" xfId="18" applyFont="1" applyBorder="1" applyAlignment="1">
      <alignment horizontal="left" vertical="center" wrapText="1"/>
    </xf>
    <xf numFmtId="0" fontId="109" fillId="0" borderId="160" xfId="18" applyFont="1" applyBorder="1" applyAlignment="1">
      <alignment horizontal="left" vertical="center" wrapText="1"/>
    </xf>
    <xf numFmtId="49" fontId="109" fillId="17" borderId="106" xfId="18" applyNumberFormat="1" applyFont="1" applyFill="1" applyBorder="1" applyAlignment="1">
      <alignment horizontal="center" vertical="center"/>
    </xf>
    <xf numFmtId="0" fontId="83" fillId="0" borderId="107" xfId="18" applyFont="1" applyFill="1" applyBorder="1" applyAlignment="1">
      <alignment horizontal="left" vertical="center" wrapText="1"/>
    </xf>
    <xf numFmtId="0" fontId="83" fillId="0" borderId="132" xfId="18" applyFont="1" applyFill="1" applyBorder="1" applyAlignment="1">
      <alignment horizontal="left" vertical="center" wrapText="1"/>
    </xf>
    <xf numFmtId="49" fontId="138" fillId="0" borderId="105" xfId="18" applyNumberFormat="1" applyFont="1" applyBorder="1" applyAlignment="1" applyProtection="1">
      <alignment horizontal="center" vertical="center"/>
      <protection locked="0"/>
    </xf>
    <xf numFmtId="49" fontId="138" fillId="0" borderId="109" xfId="18" applyNumberFormat="1" applyFont="1" applyFill="1" applyBorder="1" applyAlignment="1" applyProtection="1">
      <alignment horizontal="center" vertical="center"/>
      <protection locked="0"/>
    </xf>
    <xf numFmtId="0" fontId="105" fillId="0" borderId="105" xfId="18" applyFont="1" applyBorder="1" applyProtection="1">
      <protection locked="0"/>
    </xf>
    <xf numFmtId="49" fontId="138" fillId="0" borderId="107" xfId="18" applyNumberFormat="1" applyFont="1" applyFill="1" applyBorder="1" applyAlignment="1" applyProtection="1">
      <alignment horizontal="center" vertical="center"/>
      <protection locked="0"/>
    </xf>
    <xf numFmtId="0" fontId="105" fillId="0" borderId="0" xfId="18" applyFont="1" applyProtection="1"/>
    <xf numFmtId="0" fontId="9" fillId="0" borderId="0" xfId="18" applyFont="1"/>
    <xf numFmtId="0" fontId="53" fillId="0" borderId="140" xfId="18" applyFont="1" applyBorder="1" applyAlignment="1">
      <alignment vertical="top"/>
    </xf>
    <xf numFmtId="0" fontId="53" fillId="0" borderId="141" xfId="18" applyFont="1" applyBorder="1" applyAlignment="1">
      <alignment vertical="top"/>
    </xf>
    <xf numFmtId="0" fontId="54" fillId="15" borderId="76" xfId="18" applyFont="1" applyFill="1" applyBorder="1" applyAlignment="1">
      <alignment vertical="top"/>
    </xf>
    <xf numFmtId="0" fontId="53" fillId="0" borderId="140" xfId="18" applyFont="1" applyBorder="1" applyAlignment="1">
      <alignment vertical="top" wrapText="1"/>
    </xf>
    <xf numFmtId="0" fontId="53" fillId="0" borderId="141" xfId="18" applyFont="1" applyBorder="1" applyAlignment="1">
      <alignment vertical="top" wrapText="1"/>
    </xf>
    <xf numFmtId="0" fontId="105" fillId="0" borderId="0" xfId="18" applyFont="1" applyAlignment="1">
      <alignment horizontal="left" vertical="center" wrapText="1"/>
    </xf>
    <xf numFmtId="0" fontId="105" fillId="0" borderId="0" xfId="18" applyFont="1" applyFill="1" applyBorder="1"/>
    <xf numFmtId="0" fontId="108" fillId="0" borderId="0" xfId="18" applyFont="1"/>
    <xf numFmtId="0" fontId="139" fillId="0" borderId="0" xfId="18" applyFont="1"/>
    <xf numFmtId="0" fontId="70" fillId="12" borderId="46" xfId="0" applyFont="1" applyFill="1" applyBorder="1" applyAlignment="1" applyProtection="1">
      <alignment horizontal="left" vertical="center"/>
    </xf>
    <xf numFmtId="0" fontId="69" fillId="12" borderId="6" xfId="0" applyFont="1" applyFill="1" applyBorder="1" applyAlignment="1" applyProtection="1">
      <alignment horizontal="left" vertical="center"/>
    </xf>
    <xf numFmtId="0" fontId="67" fillId="12" borderId="7" xfId="0" applyFont="1" applyFill="1" applyBorder="1" applyAlignment="1" applyProtection="1">
      <alignment horizontal="left" vertical="center" indent="2"/>
    </xf>
    <xf numFmtId="0" fontId="70" fillId="12" borderId="2" xfId="0" applyFont="1" applyFill="1" applyBorder="1" applyAlignment="1">
      <alignment horizontal="center" vertical="center"/>
    </xf>
    <xf numFmtId="49" fontId="69" fillId="0" borderId="2" xfId="0" applyNumberFormat="1" applyFont="1" applyFill="1" applyBorder="1" applyAlignment="1" applyProtection="1">
      <alignment horizontal="center" vertical="top" wrapText="1"/>
    </xf>
    <xf numFmtId="49" fontId="69" fillId="0" borderId="2" xfId="9" applyNumberFormat="1" applyFont="1" applyFill="1" applyBorder="1" applyAlignment="1">
      <alignment horizontal="center" vertical="top" wrapText="1"/>
    </xf>
    <xf numFmtId="49" fontId="69" fillId="5" borderId="2" xfId="9" applyNumberFormat="1" applyFont="1" applyFill="1" applyBorder="1" applyAlignment="1" applyProtection="1">
      <alignment horizontal="center" vertical="top" wrapText="1"/>
    </xf>
    <xf numFmtId="0" fontId="105" fillId="23" borderId="0" xfId="18" applyFont="1" applyFill="1" applyAlignment="1">
      <alignment horizontal="centerContinuous" vertical="center"/>
    </xf>
    <xf numFmtId="0" fontId="109" fillId="23" borderId="138" xfId="18" applyFont="1" applyFill="1" applyBorder="1" applyAlignment="1">
      <alignment horizontal="center" vertical="center" wrapText="1"/>
    </xf>
    <xf numFmtId="0" fontId="109" fillId="23" borderId="163" xfId="18" applyFont="1" applyFill="1" applyBorder="1" applyAlignment="1">
      <alignment horizontal="center" vertical="center" wrapText="1"/>
    </xf>
    <xf numFmtId="0" fontId="109" fillId="17" borderId="139" xfId="18" applyFont="1" applyFill="1" applyBorder="1" applyAlignment="1">
      <alignment horizontal="center" vertical="center" wrapText="1"/>
    </xf>
    <xf numFmtId="49" fontId="109" fillId="17" borderId="107" xfId="18" applyNumberFormat="1" applyFont="1" applyFill="1" applyBorder="1" applyAlignment="1">
      <alignment horizontal="center" vertical="center" wrapText="1"/>
    </xf>
    <xf numFmtId="0" fontId="54" fillId="17" borderId="108" xfId="18" applyFont="1" applyFill="1" applyBorder="1" applyAlignment="1">
      <alignment horizontal="center"/>
    </xf>
    <xf numFmtId="0" fontId="107" fillId="0" borderId="139" xfId="18" applyFont="1" applyFill="1" applyBorder="1" applyAlignment="1" applyProtection="1">
      <alignment horizontal="right"/>
    </xf>
    <xf numFmtId="0" fontId="70" fillId="23" borderId="12" xfId="3" applyNumberFormat="1" applyFont="1" applyFill="1" applyBorder="1" applyAlignment="1">
      <alignment horizontal="left"/>
    </xf>
    <xf numFmtId="0" fontId="59" fillId="0" borderId="12" xfId="3" applyNumberFormat="1" applyFont="1" applyFill="1" applyBorder="1" applyAlignment="1">
      <alignment horizontal="centerContinuous" vertical="center"/>
    </xf>
    <xf numFmtId="0" fontId="59" fillId="0" borderId="3" xfId="3" applyNumberFormat="1" applyFont="1" applyFill="1" applyBorder="1" applyAlignment="1">
      <alignment horizontal="centerContinuous" vertical="center"/>
    </xf>
    <xf numFmtId="0" fontId="60" fillId="12" borderId="39" xfId="0" applyFont="1" applyFill="1" applyBorder="1"/>
    <xf numFmtId="0" fontId="60" fillId="12" borderId="23" xfId="0" applyFont="1" applyFill="1" applyBorder="1" applyAlignment="1">
      <alignment horizontal="left" vertical="top"/>
    </xf>
    <xf numFmtId="0" fontId="60" fillId="12" borderId="23" xfId="0" applyFont="1" applyFill="1" applyBorder="1" applyAlignment="1">
      <alignment vertical="top" wrapText="1"/>
    </xf>
    <xf numFmtId="0" fontId="69" fillId="12" borderId="62" xfId="0" applyFont="1" applyFill="1" applyBorder="1" applyAlignment="1">
      <alignment vertical="top"/>
    </xf>
    <xf numFmtId="6" fontId="60" fillId="0" borderId="78" xfId="3" applyNumberFormat="1" applyFont="1" applyBorder="1" applyAlignment="1" applyProtection="1">
      <alignment horizontal="center"/>
      <protection locked="0"/>
    </xf>
    <xf numFmtId="0" fontId="62" fillId="0" borderId="0" xfId="3" applyFont="1" applyFill="1" applyBorder="1" applyAlignment="1" applyProtection="1">
      <alignment horizontal="center" vertical="center"/>
    </xf>
    <xf numFmtId="3" fontId="60" fillId="0" borderId="0" xfId="3" applyNumberFormat="1" applyFont="1" applyBorder="1" applyAlignment="1" applyProtection="1">
      <alignment horizontal="right" indent="1"/>
    </xf>
    <xf numFmtId="5" fontId="60" fillId="0" borderId="0" xfId="3" applyNumberFormat="1" applyFont="1" applyBorder="1" applyAlignment="1" applyProtection="1"/>
    <xf numFmtId="5" fontId="60" fillId="0" borderId="0" xfId="3" applyNumberFormat="1" applyFont="1" applyBorder="1" applyAlignment="1" applyProtection="1">
      <alignment horizontal="center"/>
    </xf>
    <xf numFmtId="38" fontId="67" fillId="0" borderId="147" xfId="11" applyNumberFormat="1" applyFont="1" applyFill="1" applyBorder="1" applyAlignment="1" applyProtection="1">
      <alignment horizontal="right"/>
      <protection locked="0"/>
    </xf>
    <xf numFmtId="38" fontId="67" fillId="16" borderId="9" xfId="11" applyNumberFormat="1" applyFont="1" applyFill="1" applyBorder="1" applyAlignment="1" applyProtection="1">
      <alignment horizontal="right"/>
    </xf>
    <xf numFmtId="3" fontId="67" fillId="16" borderId="9" xfId="10" applyNumberFormat="1" applyFont="1" applyFill="1" applyBorder="1" applyAlignment="1" applyProtection="1">
      <alignment vertical="center"/>
    </xf>
    <xf numFmtId="3" fontId="67" fillId="16" borderId="6" xfId="10" applyNumberFormat="1" applyFont="1" applyFill="1" applyBorder="1" applyAlignment="1" applyProtection="1">
      <alignment vertical="center"/>
    </xf>
    <xf numFmtId="38" fontId="67" fillId="16" borderId="9" xfId="10" applyNumberFormat="1" applyFont="1" applyFill="1" applyBorder="1" applyAlignment="1" applyProtection="1">
      <alignment horizontal="right" vertical="center"/>
    </xf>
    <xf numFmtId="38" fontId="67" fillId="16" borderId="0" xfId="10" applyNumberFormat="1" applyFont="1" applyFill="1" applyAlignment="1">
      <alignment vertical="top"/>
    </xf>
    <xf numFmtId="38" fontId="67" fillId="16" borderId="6" xfId="10" applyNumberFormat="1" applyFont="1" applyFill="1" applyBorder="1" applyAlignment="1" applyProtection="1">
      <alignment horizontal="right" vertical="center"/>
    </xf>
    <xf numFmtId="38" fontId="67" fillId="16" borderId="6" xfId="10" applyNumberFormat="1" applyFont="1" applyFill="1" applyBorder="1" applyAlignment="1" applyProtection="1">
      <alignment horizontal="right"/>
    </xf>
    <xf numFmtId="38" fontId="67" fillId="16" borderId="0" xfId="10" applyNumberFormat="1" applyFont="1" applyFill="1" applyAlignment="1">
      <alignment horizontal="right"/>
    </xf>
    <xf numFmtId="38" fontId="67" fillId="16" borderId="9" xfId="10" applyNumberFormat="1" applyFont="1" applyFill="1" applyBorder="1" applyAlignment="1" applyProtection="1">
      <alignment horizontal="right"/>
    </xf>
    <xf numFmtId="38" fontId="67" fillId="16" borderId="6" xfId="10" applyNumberFormat="1" applyFont="1" applyFill="1" applyBorder="1" applyAlignment="1">
      <alignment horizontal="right"/>
    </xf>
    <xf numFmtId="38" fontId="67" fillId="16" borderId="147" xfId="10" applyNumberFormat="1" applyFont="1" applyFill="1" applyBorder="1" applyAlignment="1" applyProtection="1">
      <alignment horizontal="right"/>
    </xf>
    <xf numFmtId="0" fontId="69" fillId="0" borderId="0" xfId="11" quotePrefix="1" applyFont="1" applyAlignment="1">
      <alignment horizontal="left" vertical="top"/>
    </xf>
    <xf numFmtId="0" fontId="69" fillId="0" borderId="0" xfId="11" applyFont="1" applyAlignment="1">
      <alignment horizontal="left" vertical="top"/>
    </xf>
    <xf numFmtId="0" fontId="69" fillId="0" borderId="0" xfId="11" applyFont="1" applyAlignment="1">
      <alignment horizontal="center" vertical="top"/>
    </xf>
    <xf numFmtId="0" fontId="69" fillId="0" borderId="0" xfId="11" applyFont="1" applyAlignment="1">
      <alignment horizontal="left" vertical="top" wrapText="1"/>
    </xf>
    <xf numFmtId="0" fontId="69" fillId="0" borderId="0" xfId="10" applyFont="1" applyAlignment="1">
      <alignment vertical="center"/>
    </xf>
    <xf numFmtId="0" fontId="69" fillId="0" borderId="0" xfId="11" applyFont="1" applyAlignment="1">
      <alignment vertical="center"/>
    </xf>
    <xf numFmtId="0" fontId="69" fillId="0" borderId="0" xfId="11" applyFont="1" applyAlignment="1">
      <alignment horizontal="right" vertical="center"/>
    </xf>
    <xf numFmtId="0" fontId="69" fillId="0" borderId="0" xfId="0" applyFont="1" applyBorder="1" applyAlignment="1" applyProtection="1">
      <alignment horizontal="left" vertical="center"/>
    </xf>
    <xf numFmtId="0" fontId="92" fillId="0" borderId="0" xfId="2" applyFont="1" applyAlignment="1" applyProtection="1">
      <alignment horizontal="right" vertical="center"/>
    </xf>
    <xf numFmtId="0" fontId="38" fillId="0" borderId="0" xfId="2" applyAlignment="1" applyProtection="1">
      <alignment vertical="center"/>
    </xf>
    <xf numFmtId="0" fontId="69" fillId="17" borderId="21" xfId="0" applyFont="1" applyFill="1" applyBorder="1" applyAlignment="1" applyProtection="1">
      <alignment vertical="center"/>
    </xf>
    <xf numFmtId="0" fontId="69" fillId="17" borderId="2" xfId="0" applyFont="1" applyFill="1" applyBorder="1" applyAlignment="1" applyProtection="1">
      <alignment vertical="center"/>
    </xf>
    <xf numFmtId="0" fontId="67" fillId="0" borderId="21" xfId="0" applyFont="1" applyBorder="1" applyAlignment="1" applyProtection="1">
      <alignment horizontal="left" vertical="center" indent="1"/>
    </xf>
    <xf numFmtId="0" fontId="129" fillId="0" borderId="21" xfId="0" applyFont="1" applyBorder="1" applyAlignment="1" applyProtection="1">
      <alignment horizontal="left" vertical="center" indent="1"/>
    </xf>
    <xf numFmtId="38" fontId="8" fillId="16" borderId="157" xfId="17" applyNumberFormat="1" applyFont="1" applyFill="1" applyBorder="1" applyAlignment="1" applyProtection="1">
      <alignment horizontal="right" vertical="top"/>
    </xf>
    <xf numFmtId="38" fontId="8" fillId="16" borderId="158" xfId="17" applyNumberFormat="1" applyFont="1" applyFill="1" applyBorder="1" applyAlignment="1" applyProtection="1">
      <alignment horizontal="right" vertical="top"/>
    </xf>
    <xf numFmtId="49" fontId="8" fillId="0" borderId="157" xfId="17" applyNumberFormat="1" applyFont="1" applyBorder="1" applyAlignment="1" applyProtection="1">
      <alignment horizontal="center" vertical="top"/>
      <protection locked="0"/>
    </xf>
    <xf numFmtId="49" fontId="8" fillId="0" borderId="157" xfId="17" applyNumberFormat="1" applyFont="1" applyBorder="1" applyAlignment="1" applyProtection="1">
      <alignment horizontal="center" vertical="center"/>
      <protection locked="0"/>
    </xf>
    <xf numFmtId="0" fontId="62" fillId="0" borderId="77" xfId="3" applyNumberFormat="1" applyFont="1" applyBorder="1" applyAlignment="1" applyProtection="1">
      <alignment horizontal="center"/>
      <protection locked="0"/>
    </xf>
    <xf numFmtId="38" fontId="60" fillId="0" borderId="14" xfId="0" applyNumberFormat="1" applyFont="1" applyBorder="1" applyAlignment="1" applyProtection="1">
      <alignment horizontal="right"/>
      <protection locked="0"/>
    </xf>
    <xf numFmtId="38" fontId="60" fillId="0" borderId="2"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3" xfId="0" applyNumberFormat="1" applyFont="1" applyBorder="1" applyAlignment="1" applyProtection="1">
      <alignment horizontal="right"/>
      <protection locked="0"/>
    </xf>
    <xf numFmtId="38" fontId="60" fillId="0" borderId="3" xfId="0" applyNumberFormat="1" applyFont="1" applyFill="1" applyBorder="1" applyAlignment="1" applyProtection="1">
      <alignment horizontal="right"/>
      <protection locked="0"/>
    </xf>
    <xf numFmtId="38" fontId="60" fillId="0" borderId="14" xfId="0" applyNumberFormat="1" applyFont="1" applyFill="1" applyBorder="1" applyAlignment="1" applyProtection="1">
      <alignment horizontal="right"/>
      <protection locked="0"/>
    </xf>
    <xf numFmtId="38" fontId="60" fillId="0" borderId="127" xfId="0" applyNumberFormat="1" applyFont="1" applyFill="1" applyBorder="1" applyAlignment="1" applyProtection="1">
      <alignment horizontal="right"/>
      <protection locked="0"/>
    </xf>
    <xf numFmtId="38" fontId="60" fillId="0" borderId="26" xfId="0" applyNumberFormat="1" applyFont="1" applyFill="1" applyBorder="1" applyAlignment="1" applyProtection="1">
      <alignment horizontal="right"/>
      <protection locked="0"/>
    </xf>
    <xf numFmtId="38" fontId="60" fillId="0" borderId="127" xfId="0" applyNumberFormat="1" applyFont="1" applyBorder="1" applyAlignment="1" applyProtection="1">
      <alignment horizontal="right"/>
      <protection locked="0"/>
    </xf>
    <xf numFmtId="38" fontId="60" fillId="0" borderId="12" xfId="0" applyNumberFormat="1" applyFont="1" applyFill="1" applyBorder="1" applyAlignment="1" applyProtection="1">
      <alignment horizontal="right"/>
      <protection locked="0"/>
    </xf>
    <xf numFmtId="38" fontId="60" fillId="0" borderId="13" xfId="0" applyNumberFormat="1" applyFont="1" applyFill="1" applyBorder="1" applyAlignment="1" applyProtection="1">
      <alignment horizontal="right"/>
      <protection locked="0"/>
    </xf>
    <xf numFmtId="38" fontId="60" fillId="0" borderId="26"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3" xfId="0" applyNumberFormat="1" applyFont="1" applyFill="1" applyBorder="1" applyAlignment="1" applyProtection="1">
      <alignment horizontal="right"/>
      <protection locked="0"/>
    </xf>
    <xf numFmtId="38" fontId="60" fillId="0" borderId="27" xfId="0" applyNumberFormat="1" applyFont="1" applyFill="1" applyBorder="1" applyAlignment="1" applyProtection="1">
      <alignment horizontal="right"/>
      <protection locked="0"/>
    </xf>
    <xf numFmtId="38" fontId="60" fillId="0" borderId="33" xfId="0" applyNumberFormat="1" applyFont="1" applyFill="1" applyBorder="1" applyAlignment="1" applyProtection="1">
      <alignment horizontal="right"/>
      <protection locked="0"/>
    </xf>
    <xf numFmtId="38" fontId="60" fillId="0" borderId="2"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27" xfId="0" applyNumberFormat="1" applyFont="1" applyFill="1" applyBorder="1" applyAlignment="1" applyProtection="1">
      <alignment horizontal="right"/>
      <protection locked="0"/>
    </xf>
    <xf numFmtId="38" fontId="60" fillId="0" borderId="32" xfId="0" applyNumberFormat="1" applyFont="1" applyFill="1" applyBorder="1" applyAlignment="1" applyProtection="1">
      <alignment horizontal="right"/>
      <protection locked="0"/>
    </xf>
    <xf numFmtId="38" fontId="60" fillId="0" borderId="29" xfId="0" applyNumberFormat="1" applyFont="1" applyFill="1" applyBorder="1" applyAlignment="1" applyProtection="1">
      <alignment horizontal="right"/>
      <protection locked="0"/>
    </xf>
    <xf numFmtId="38" fontId="60" fillId="0" borderId="13" xfId="0" applyNumberFormat="1" applyFont="1" applyBorder="1" applyAlignment="1" applyProtection="1">
      <alignment horizontal="right"/>
      <protection locked="0"/>
    </xf>
    <xf numFmtId="38" fontId="60" fillId="0" borderId="2"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0" xfId="0" applyNumberFormat="1" applyFont="1" applyAlignment="1" applyProtection="1">
      <alignment horizontal="right"/>
      <protection locked="0"/>
    </xf>
    <xf numFmtId="38" fontId="60" fillId="0" borderId="2"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3" xfId="0" applyNumberFormat="1" applyFont="1" applyFill="1" applyBorder="1" applyAlignment="1" applyProtection="1">
      <alignment horizontal="right"/>
      <protection locked="0"/>
    </xf>
    <xf numFmtId="38" fontId="60" fillId="0" borderId="26" xfId="0" applyNumberFormat="1" applyFont="1" applyFill="1" applyBorder="1" applyAlignment="1" applyProtection="1">
      <alignment horizontal="right"/>
      <protection locked="0"/>
    </xf>
    <xf numFmtId="38" fontId="60" fillId="0" borderId="13" xfId="0" applyNumberFormat="1" applyFont="1" applyFill="1" applyBorder="1" applyAlignment="1" applyProtection="1">
      <alignment horizontal="right"/>
      <protection locked="0"/>
    </xf>
    <xf numFmtId="38" fontId="60" fillId="0" borderId="13" xfId="0" applyNumberFormat="1" applyFont="1" applyBorder="1" applyAlignment="1" applyProtection="1">
      <alignment horizontal="right"/>
      <protection locked="0"/>
    </xf>
    <xf numFmtId="38" fontId="60" fillId="0" borderId="2"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13" xfId="0" applyNumberFormat="1" applyFont="1" applyFill="1" applyBorder="1" applyAlignment="1" applyProtection="1">
      <alignment horizontal="right"/>
      <protection locked="0"/>
    </xf>
    <xf numFmtId="38" fontId="60" fillId="0" borderId="13" xfId="0" applyNumberFormat="1" applyFont="1" applyBorder="1" applyAlignment="1" applyProtection="1">
      <alignment horizontal="right"/>
      <protection locked="0"/>
    </xf>
    <xf numFmtId="38" fontId="60" fillId="0" borderId="2"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3" xfId="0" applyNumberFormat="1" applyFont="1" applyFill="1" applyBorder="1" applyAlignment="1" applyProtection="1">
      <alignment horizontal="right"/>
      <protection locked="0"/>
    </xf>
    <xf numFmtId="38" fontId="60" fillId="0" borderId="127" xfId="0" applyNumberFormat="1" applyFont="1" applyBorder="1" applyAlignment="1" applyProtection="1">
      <alignment horizontal="right"/>
      <protection locked="0"/>
    </xf>
    <xf numFmtId="38" fontId="60" fillId="0" borderId="13" xfId="0" applyNumberFormat="1" applyFont="1" applyFill="1" applyBorder="1" applyAlignment="1" applyProtection="1">
      <alignment horizontal="right"/>
      <protection locked="0"/>
    </xf>
    <xf numFmtId="38" fontId="60" fillId="0" borderId="27" xfId="0" applyNumberFormat="1" applyFont="1" applyFill="1" applyBorder="1" applyAlignment="1" applyProtection="1">
      <alignment horizontal="right"/>
      <protection locked="0"/>
    </xf>
    <xf numFmtId="38" fontId="60" fillId="0" borderId="33" xfId="0" applyNumberFormat="1" applyFont="1" applyFill="1" applyBorder="1" applyAlignment="1" applyProtection="1">
      <alignment horizontal="right"/>
      <protection locked="0"/>
    </xf>
    <xf numFmtId="38" fontId="60" fillId="0" borderId="32" xfId="0" applyNumberFormat="1" applyFont="1" applyFill="1" applyBorder="1" applyAlignment="1" applyProtection="1">
      <alignment horizontal="right"/>
      <protection locked="0"/>
    </xf>
    <xf numFmtId="38" fontId="60" fillId="0" borderId="0" xfId="0" applyNumberFormat="1" applyFont="1" applyAlignment="1" applyProtection="1">
      <alignment horizontal="right"/>
      <protection locked="0"/>
    </xf>
    <xf numFmtId="38" fontId="60" fillId="0" borderId="13" xfId="0" applyNumberFormat="1" applyFont="1" applyBorder="1" applyAlignment="1" applyProtection="1">
      <alignment horizontal="right"/>
      <protection locked="0"/>
    </xf>
    <xf numFmtId="38" fontId="60" fillId="0" borderId="32" xfId="0" applyNumberFormat="1" applyFont="1" applyBorder="1" applyAlignment="1" applyProtection="1">
      <alignment horizontal="right"/>
      <protection locked="0"/>
    </xf>
    <xf numFmtId="38" fontId="60" fillId="0" borderId="37" xfId="0" applyNumberFormat="1" applyFont="1" applyBorder="1" applyAlignment="1" applyProtection="1">
      <alignment horizontal="right"/>
      <protection locked="0"/>
    </xf>
    <xf numFmtId="38" fontId="60" fillId="0" borderId="33" xfId="0" applyNumberFormat="1" applyFont="1" applyBorder="1" applyAlignment="1" applyProtection="1">
      <alignment horizontal="right"/>
      <protection locked="0"/>
    </xf>
    <xf numFmtId="38" fontId="60" fillId="0" borderId="36" xfId="0" applyNumberFormat="1" applyFont="1" applyFill="1" applyBorder="1" applyAlignment="1" applyProtection="1">
      <alignment horizontal="right"/>
      <protection locked="0"/>
    </xf>
    <xf numFmtId="38" fontId="60" fillId="0" borderId="27" xfId="0" applyNumberFormat="1" applyFont="1" applyBorder="1" applyAlignment="1" applyProtection="1">
      <alignment horizontal="right"/>
      <protection locked="0"/>
    </xf>
    <xf numFmtId="38" fontId="60" fillId="0" borderId="55" xfId="0" applyNumberFormat="1" applyFont="1" applyBorder="1" applyAlignment="1" applyProtection="1">
      <alignment horizontal="right" vertical="center"/>
      <protection locked="0"/>
    </xf>
    <xf numFmtId="38" fontId="60" fillId="0" borderId="32" xfId="0" applyNumberFormat="1" applyFont="1" applyBorder="1" applyAlignment="1" applyProtection="1">
      <alignment horizontal="right" vertical="center"/>
      <protection locked="0"/>
    </xf>
    <xf numFmtId="38" fontId="60" fillId="0" borderId="27" xfId="0" applyNumberFormat="1" applyFont="1" applyFill="1" applyBorder="1" applyAlignment="1" applyProtection="1">
      <alignment horizontal="right" vertical="center"/>
      <protection locked="0"/>
    </xf>
    <xf numFmtId="38" fontId="60" fillId="0" borderId="32" xfId="0" applyNumberFormat="1" applyFont="1" applyFill="1" applyBorder="1" applyAlignment="1" applyProtection="1">
      <alignment horizontal="right" vertical="center"/>
      <protection locked="0"/>
    </xf>
    <xf numFmtId="38" fontId="60" fillId="0" borderId="2" xfId="0" applyNumberFormat="1" applyFont="1" applyFill="1" applyBorder="1" applyAlignment="1" applyProtection="1">
      <alignment horizontal="right" vertical="center"/>
      <protection locked="0"/>
    </xf>
    <xf numFmtId="38" fontId="60" fillId="0" borderId="124" xfId="0" applyNumberFormat="1" applyFont="1" applyFill="1" applyBorder="1" applyAlignment="1" applyProtection="1">
      <alignment horizontal="right"/>
      <protection locked="0"/>
    </xf>
    <xf numFmtId="38" fontId="60" fillId="0" borderId="123" xfId="0" applyNumberFormat="1" applyFont="1" applyFill="1" applyBorder="1" applyAlignment="1" applyProtection="1">
      <alignment horizontal="right"/>
      <protection locked="0"/>
    </xf>
    <xf numFmtId="38" fontId="60" fillId="0" borderId="2"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3" xfId="0" applyNumberFormat="1" applyFont="1" applyBorder="1" applyAlignment="1" applyProtection="1">
      <alignment horizontal="right"/>
      <protection locked="0"/>
    </xf>
    <xf numFmtId="38" fontId="60" fillId="0" borderId="3" xfId="0" applyNumberFormat="1" applyFont="1" applyFill="1" applyBorder="1" applyAlignment="1" applyProtection="1">
      <alignment horizontal="right"/>
      <protection locked="0"/>
    </xf>
    <xf numFmtId="38" fontId="60" fillId="0" borderId="127" xfId="0" applyNumberFormat="1" applyFont="1" applyFill="1" applyBorder="1" applyAlignment="1" applyProtection="1">
      <alignment horizontal="right"/>
      <protection locked="0"/>
    </xf>
    <xf numFmtId="38" fontId="60" fillId="0" borderId="26" xfId="0" applyNumberFormat="1" applyFont="1" applyFill="1" applyBorder="1" applyAlignment="1" applyProtection="1">
      <alignment horizontal="right"/>
      <protection locked="0"/>
    </xf>
    <xf numFmtId="38" fontId="60" fillId="0" borderId="127" xfId="0" applyNumberFormat="1" applyFont="1" applyBorder="1" applyAlignment="1" applyProtection="1">
      <alignment horizontal="right"/>
      <protection locked="0"/>
    </xf>
    <xf numFmtId="38" fontId="60" fillId="0" borderId="27" xfId="0" applyNumberFormat="1" applyFont="1" applyFill="1" applyBorder="1" applyAlignment="1" applyProtection="1">
      <alignment horizontal="right"/>
      <protection locked="0"/>
    </xf>
    <xf numFmtId="38" fontId="60" fillId="0" borderId="33" xfId="0" applyNumberFormat="1" applyFont="1" applyFill="1" applyBorder="1" applyAlignment="1" applyProtection="1">
      <alignment horizontal="right"/>
      <protection locked="0"/>
    </xf>
    <xf numFmtId="38" fontId="60" fillId="0" borderId="32" xfId="0" applyNumberFormat="1" applyFont="1" applyFill="1" applyBorder="1" applyAlignment="1" applyProtection="1">
      <alignment horizontal="right"/>
      <protection locked="0"/>
    </xf>
    <xf numFmtId="38" fontId="60" fillId="0" borderId="29" xfId="0" applyNumberFormat="1" applyFont="1" applyFill="1" applyBorder="1" applyAlignment="1" applyProtection="1">
      <alignment horizontal="right"/>
      <protection locked="0"/>
    </xf>
    <xf numFmtId="38" fontId="60" fillId="0" borderId="32" xfId="0" applyNumberFormat="1" applyFont="1" applyBorder="1" applyAlignment="1" applyProtection="1">
      <alignment horizontal="right"/>
      <protection locked="0"/>
    </xf>
    <xf numFmtId="38" fontId="60" fillId="0" borderId="37" xfId="0" applyNumberFormat="1" applyFont="1" applyBorder="1" applyAlignment="1" applyProtection="1">
      <alignment horizontal="right"/>
      <protection locked="0"/>
    </xf>
    <xf numFmtId="38" fontId="60" fillId="0" borderId="33" xfId="0" applyNumberFormat="1" applyFont="1" applyBorder="1" applyAlignment="1" applyProtection="1">
      <alignment horizontal="right"/>
      <protection locked="0"/>
    </xf>
    <xf numFmtId="38" fontId="60" fillId="0" borderId="27" xfId="0" applyNumberFormat="1" applyFont="1" applyBorder="1" applyAlignment="1" applyProtection="1">
      <alignment horizontal="right"/>
      <protection locked="0"/>
    </xf>
    <xf numFmtId="38" fontId="60" fillId="0" borderId="111" xfId="0" applyNumberFormat="1" applyFont="1" applyFill="1" applyBorder="1" applyAlignment="1" applyProtection="1">
      <alignment horizontal="right"/>
      <protection locked="0"/>
    </xf>
    <xf numFmtId="38" fontId="60" fillId="0" borderId="29"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26" xfId="0" applyNumberFormat="1" applyFont="1" applyFill="1" applyBorder="1" applyAlignment="1" applyProtection="1">
      <alignment horizontal="right"/>
      <protection locked="0"/>
    </xf>
    <xf numFmtId="38" fontId="60" fillId="0" borderId="37" xfId="0" applyNumberFormat="1" applyFont="1" applyBorder="1" applyAlignment="1" applyProtection="1">
      <alignment horizontal="right"/>
      <protection locked="0"/>
    </xf>
    <xf numFmtId="38" fontId="60" fillId="0" borderId="33" xfId="0" applyNumberFormat="1" applyFont="1" applyBorder="1" applyAlignment="1" applyProtection="1">
      <alignment horizontal="right"/>
      <protection locked="0"/>
    </xf>
    <xf numFmtId="38" fontId="60" fillId="0" borderId="2" xfId="8" applyNumberFormat="1" applyFont="1" applyFill="1" applyBorder="1" applyAlignment="1" applyProtection="1">
      <alignment horizontal="right"/>
      <protection locked="0"/>
    </xf>
    <xf numFmtId="38" fontId="60" fillId="0" borderId="2" xfId="0" applyNumberFormat="1" applyFont="1" applyBorder="1" applyAlignment="1" applyProtection="1">
      <alignment horizontal="right"/>
      <protection locked="0"/>
    </xf>
    <xf numFmtId="38" fontId="60" fillId="0" borderId="2" xfId="0" applyNumberFormat="1" applyFont="1" applyFill="1" applyBorder="1" applyAlignment="1" applyProtection="1">
      <alignment horizontal="right"/>
      <protection locked="0"/>
    </xf>
    <xf numFmtId="38" fontId="60" fillId="0" borderId="3" xfId="0" applyNumberFormat="1" applyFont="1" applyBorder="1" applyAlignment="1" applyProtection="1">
      <alignment horizontal="right"/>
      <protection locked="0"/>
    </xf>
    <xf numFmtId="38" fontId="60" fillId="0" borderId="3" xfId="0" applyNumberFormat="1" applyFont="1" applyFill="1" applyBorder="1" applyAlignment="1" applyProtection="1">
      <alignment horizontal="right"/>
      <protection locked="0"/>
    </xf>
    <xf numFmtId="38" fontId="60" fillId="0" borderId="127" xfId="0" applyNumberFormat="1" applyFont="1" applyFill="1" applyBorder="1" applyAlignment="1" applyProtection="1">
      <alignment horizontal="right"/>
      <protection locked="0"/>
    </xf>
    <xf numFmtId="38" fontId="60" fillId="0" borderId="26" xfId="0" applyNumberFormat="1" applyFont="1" applyFill="1" applyBorder="1" applyAlignment="1" applyProtection="1">
      <alignment horizontal="right"/>
      <protection locked="0"/>
    </xf>
    <xf numFmtId="38" fontId="60" fillId="0" borderId="127" xfId="0" applyNumberFormat="1" applyFont="1" applyBorder="1" applyAlignment="1" applyProtection="1">
      <alignment horizontal="right"/>
      <protection locked="0"/>
    </xf>
    <xf numFmtId="38" fontId="60" fillId="0" borderId="26" xfId="0" applyNumberFormat="1" applyFont="1" applyBorder="1" applyAlignment="1" applyProtection="1">
      <alignment horizontal="right"/>
      <protection locked="0"/>
    </xf>
    <xf numFmtId="38" fontId="60" fillId="0" borderId="27" xfId="0" applyNumberFormat="1" applyFont="1" applyFill="1" applyBorder="1" applyAlignment="1" applyProtection="1">
      <alignment horizontal="right"/>
      <protection locked="0"/>
    </xf>
    <xf numFmtId="38" fontId="60" fillId="0" borderId="33" xfId="0" applyNumberFormat="1" applyFont="1" applyFill="1" applyBorder="1" applyAlignment="1" applyProtection="1">
      <alignment horizontal="right"/>
      <protection locked="0"/>
    </xf>
    <xf numFmtId="38" fontId="60" fillId="0" borderId="32" xfId="0" applyNumberFormat="1" applyFont="1" applyFill="1" applyBorder="1" applyAlignment="1" applyProtection="1">
      <alignment horizontal="right"/>
      <protection locked="0"/>
    </xf>
    <xf numFmtId="38" fontId="60" fillId="0" borderId="29" xfId="0" applyNumberFormat="1" applyFont="1" applyFill="1" applyBorder="1" applyAlignment="1" applyProtection="1">
      <alignment horizontal="right"/>
      <protection locked="0"/>
    </xf>
    <xf numFmtId="38" fontId="60" fillId="0" borderId="32" xfId="0" applyNumberFormat="1" applyFont="1" applyBorder="1" applyAlignment="1" applyProtection="1">
      <alignment horizontal="right"/>
      <protection locked="0"/>
    </xf>
    <xf numFmtId="38" fontId="60" fillId="0" borderId="33" xfId="0" applyNumberFormat="1" applyFont="1" applyBorder="1" applyAlignment="1" applyProtection="1">
      <alignment horizontal="right"/>
      <protection locked="0"/>
    </xf>
    <xf numFmtId="38" fontId="60" fillId="0" borderId="27" xfId="0" applyNumberFormat="1" applyFont="1" applyBorder="1" applyAlignment="1" applyProtection="1">
      <alignment horizontal="right"/>
      <protection locked="0"/>
    </xf>
    <xf numFmtId="38" fontId="60" fillId="0" borderId="29" xfId="0" applyNumberFormat="1" applyFont="1" applyBorder="1" applyAlignment="1" applyProtection="1">
      <alignment horizontal="right"/>
      <protection locked="0"/>
    </xf>
    <xf numFmtId="38" fontId="60" fillId="0" borderId="2" xfId="6" applyNumberFormat="1" applyFont="1" applyBorder="1" applyProtection="1">
      <protection locked="0"/>
    </xf>
    <xf numFmtId="0" fontId="4" fillId="0" borderId="157" xfId="17" applyFont="1" applyBorder="1" applyAlignment="1" applyProtection="1">
      <alignment horizontal="left" vertical="top" wrapText="1"/>
      <protection locked="0"/>
    </xf>
    <xf numFmtId="49" fontId="4" fillId="0" borderId="157" xfId="17" applyNumberFormat="1" applyFont="1" applyBorder="1" applyAlignment="1" applyProtection="1">
      <alignment horizontal="center" vertical="top"/>
      <protection locked="0"/>
    </xf>
    <xf numFmtId="0" fontId="4" fillId="0" borderId="157" xfId="17" applyFont="1" applyBorder="1" applyAlignment="1" applyProtection="1">
      <alignment vertical="top"/>
      <protection locked="0"/>
    </xf>
    <xf numFmtId="0" fontId="3" fillId="0" borderId="157" xfId="17" applyFont="1" applyBorder="1" applyAlignment="1" applyProtection="1">
      <alignment horizontal="left" vertical="top" wrapText="1"/>
      <protection locked="0"/>
    </xf>
    <xf numFmtId="0" fontId="3" fillId="0" borderId="157" xfId="17" applyFont="1" applyBorder="1" applyAlignment="1" applyProtection="1">
      <alignment vertical="top"/>
      <protection locked="0"/>
    </xf>
    <xf numFmtId="49" fontId="2" fillId="0" borderId="157" xfId="17" applyNumberFormat="1" applyFont="1" applyBorder="1" applyAlignment="1" applyProtection="1">
      <alignment horizontal="center" vertical="top"/>
      <protection locked="0"/>
    </xf>
    <xf numFmtId="49" fontId="1" fillId="0" borderId="157" xfId="17" applyNumberFormat="1" applyFont="1" applyBorder="1" applyAlignment="1" applyProtection="1">
      <alignment horizontal="center" vertical="top"/>
      <protection locked="0"/>
    </xf>
    <xf numFmtId="0" fontId="18" fillId="0" borderId="19" xfId="12" applyNumberFormat="1" applyFont="1" applyFill="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8" fillId="0" borderId="19" xfId="12" applyNumberFormat="1" applyFont="1" applyBorder="1" applyAlignment="1" applyProtection="1">
      <alignment horizontal="left" vertical="center"/>
      <protection locked="0"/>
    </xf>
    <xf numFmtId="180" fontId="18" fillId="0" borderId="20" xfId="0" applyNumberFormat="1" applyFont="1" applyBorder="1" applyAlignment="1" applyProtection="1">
      <alignment horizontal="left" vertical="center"/>
      <protection locked="0"/>
    </xf>
    <xf numFmtId="180" fontId="18" fillId="0" borderId="11" xfId="0" applyNumberFormat="1" applyFont="1" applyBorder="1" applyAlignment="1" applyProtection="1">
      <alignment horizontal="left" vertical="center"/>
      <protection locked="0"/>
    </xf>
    <xf numFmtId="0" fontId="16" fillId="0" borderId="12" xfId="12" applyNumberFormat="1" applyFont="1" applyBorder="1" applyAlignment="1" applyProtection="1">
      <alignment horizontal="left" vertical="center"/>
    </xf>
    <xf numFmtId="0" fontId="19" fillId="0" borderId="16" xfId="0" applyNumberFormat="1" applyFont="1" applyBorder="1" applyAlignment="1">
      <alignment horizontal="left" vertical="center"/>
    </xf>
    <xf numFmtId="0" fontId="19"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9"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8" fillId="0" borderId="19" xfId="2" applyNumberFormat="1" applyBorder="1" applyAlignment="1" applyProtection="1">
      <alignment horizontal="left" vertical="center" indent="1"/>
      <protection locked="0"/>
    </xf>
    <xf numFmtId="0" fontId="49" fillId="0" borderId="20" xfId="2" applyNumberFormat="1" applyFont="1" applyBorder="1" applyAlignment="1" applyProtection="1">
      <alignment horizontal="left" vertical="center" indent="1"/>
      <protection locked="0"/>
    </xf>
    <xf numFmtId="0" fontId="49" fillId="0" borderId="20" xfId="2" applyFont="1" applyBorder="1" applyAlignment="1" applyProtection="1">
      <alignment horizontal="left" vertical="center" indent="1"/>
      <protection locked="0"/>
    </xf>
    <xf numFmtId="0" fontId="26" fillId="0" borderId="20" xfId="0" applyFont="1" applyBorder="1" applyAlignment="1" applyProtection="1">
      <alignment horizontal="left" vertical="center" indent="1"/>
      <protection locked="0"/>
    </xf>
    <xf numFmtId="0" fontId="26" fillId="0" borderId="11" xfId="0" applyFont="1" applyBorder="1" applyAlignment="1" applyProtection="1">
      <alignment horizontal="left" vertical="center" indent="1"/>
      <protection locked="0"/>
    </xf>
    <xf numFmtId="180" fontId="18" fillId="0" borderId="19" xfId="0" applyNumberFormat="1" applyFont="1" applyBorder="1" applyAlignment="1" applyProtection="1">
      <alignment horizontal="left" vertical="center" indent="1"/>
      <protection locked="0"/>
    </xf>
    <xf numFmtId="180" fontId="18" fillId="0" borderId="20" xfId="0" applyNumberFormat="1" applyFont="1" applyBorder="1" applyAlignment="1" applyProtection="1">
      <alignment horizontal="left" vertical="center" indent="1"/>
      <protection locked="0"/>
    </xf>
    <xf numFmtId="180" fontId="18" fillId="0" borderId="11" xfId="0" applyNumberFormat="1" applyFont="1" applyBorder="1" applyAlignment="1" applyProtection="1">
      <alignment horizontal="left" vertical="center" indent="1"/>
      <protection locked="0"/>
    </xf>
    <xf numFmtId="0" fontId="18" fillId="0" borderId="20" xfId="0" applyNumberFormat="1" applyFont="1" applyBorder="1" applyAlignment="1" applyProtection="1">
      <alignment horizontal="left" vertical="center" indent="1"/>
      <protection locked="0"/>
    </xf>
    <xf numFmtId="0" fontId="140" fillId="0" borderId="0" xfId="12" applyFont="1" applyBorder="1" applyAlignment="1" applyProtection="1">
      <alignment horizontal="center" vertical="center" wrapText="1"/>
    </xf>
    <xf numFmtId="0" fontId="140" fillId="0" borderId="18" xfId="12" applyFont="1" applyBorder="1" applyAlignment="1" applyProtection="1">
      <alignment horizontal="center" vertical="center" wrapText="1"/>
    </xf>
    <xf numFmtId="0" fontId="140" fillId="0" borderId="128" xfId="12" applyFont="1" applyBorder="1" applyAlignment="1" applyProtection="1">
      <alignment horizontal="center" vertical="center" wrapText="1"/>
    </xf>
    <xf numFmtId="0" fontId="140" fillId="0" borderId="126" xfId="12" applyFont="1" applyBorder="1" applyAlignment="1" applyProtection="1">
      <alignment horizontal="center" vertical="center" wrapText="1"/>
    </xf>
    <xf numFmtId="0" fontId="19" fillId="0" borderId="20" xfId="12" applyFont="1" applyBorder="1" applyAlignment="1" applyProtection="1">
      <alignment vertical="center"/>
    </xf>
    <xf numFmtId="180" fontId="18" fillId="0" borderId="19" xfId="12" applyNumberFormat="1" applyFont="1" applyBorder="1" applyAlignment="1" applyProtection="1">
      <alignment horizontal="left" vertical="center" indent="1"/>
      <protection locked="0"/>
    </xf>
    <xf numFmtId="0" fontId="18" fillId="0" borderId="0" xfId="12" applyFont="1" applyBorder="1" applyAlignment="1" applyProtection="1">
      <alignment vertical="center"/>
      <protection locked="0"/>
    </xf>
    <xf numFmtId="0" fontId="18" fillId="0" borderId="20" xfId="0" applyNumberFormat="1" applyFont="1" applyBorder="1" applyAlignment="1" applyProtection="1">
      <alignment horizontal="left" vertical="center"/>
      <protection locked="0"/>
    </xf>
    <xf numFmtId="0" fontId="18" fillId="0" borderId="2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19"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8" fillId="0" borderId="17" xfId="12" applyNumberFormat="1" applyFont="1" applyBorder="1" applyAlignment="1" applyProtection="1">
      <alignment horizontal="left" vertical="center" indent="1"/>
      <protection locked="0"/>
    </xf>
    <xf numFmtId="0" fontId="18" fillId="0" borderId="0" xfId="0" applyNumberFormat="1" applyFont="1" applyBorder="1" applyAlignment="1" applyProtection="1">
      <alignment horizontal="left" vertical="center" indent="1"/>
      <protection locked="0"/>
    </xf>
    <xf numFmtId="180" fontId="18" fillId="0" borderId="19" xfId="0" applyNumberFormat="1" applyFont="1" applyBorder="1" applyAlignment="1" applyProtection="1">
      <alignment horizontal="left" vertical="center"/>
      <protection locked="0"/>
    </xf>
    <xf numFmtId="0" fontId="49" fillId="0" borderId="19" xfId="2" applyNumberFormat="1" applyFont="1" applyBorder="1" applyAlignment="1" applyProtection="1">
      <alignment horizontal="left" vertical="center"/>
      <protection locked="0"/>
    </xf>
    <xf numFmtId="0" fontId="49" fillId="0" borderId="20" xfId="2" applyFont="1" applyBorder="1" applyAlignment="1" applyProtection="1">
      <alignment horizontal="left" vertical="center"/>
      <protection locked="0"/>
    </xf>
    <xf numFmtId="0" fontId="49" fillId="0" borderId="11" xfId="2" applyFont="1" applyBorder="1" applyAlignment="1" applyProtection="1">
      <alignment horizontal="left" vertical="center"/>
      <protection locked="0"/>
    </xf>
    <xf numFmtId="49" fontId="21" fillId="0" borderId="0" xfId="12" applyNumberFormat="1" applyFont="1" applyBorder="1" applyAlignment="1" applyProtection="1">
      <alignment horizontal="center" vertical="center"/>
    </xf>
    <xf numFmtId="0" fontId="21" fillId="0" borderId="0" xfId="0" applyFont="1" applyBorder="1" applyAlignment="1">
      <alignment horizontal="center" vertical="center"/>
    </xf>
    <xf numFmtId="0" fontId="21" fillId="0" borderId="0" xfId="12" applyFont="1" applyBorder="1" applyAlignment="1" applyProtection="1">
      <alignment horizontal="center" vertical="center"/>
    </xf>
    <xf numFmtId="171" fontId="18"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9" fillId="0" borderId="12" xfId="12" applyFont="1" applyBorder="1" applyAlignment="1" applyProtection="1">
      <alignment horizontal="center"/>
    </xf>
    <xf numFmtId="0" fontId="19" fillId="0" borderId="16" xfId="0" applyFont="1" applyBorder="1" applyAlignment="1">
      <alignment horizontal="center"/>
    </xf>
    <xf numFmtId="0" fontId="19" fillId="0" borderId="10" xfId="0" applyFont="1" applyBorder="1" applyAlignment="1">
      <alignment horizontal="center"/>
    </xf>
    <xf numFmtId="0" fontId="18" fillId="0" borderId="0" xfId="12" applyFont="1" applyBorder="1" applyAlignment="1" applyProtection="1">
      <alignment horizontal="center" vertical="center"/>
    </xf>
    <xf numFmtId="0" fontId="0" fillId="0" borderId="0" xfId="0" applyBorder="1" applyAlignment="1">
      <alignment horizontal="center" vertical="center"/>
    </xf>
    <xf numFmtId="49" fontId="18" fillId="0" borderId="0" xfId="12" applyNumberFormat="1" applyFont="1" applyBorder="1" applyAlignment="1" applyProtection="1">
      <alignment horizontal="center" vertical="center"/>
    </xf>
    <xf numFmtId="49" fontId="38" fillId="0" borderId="19" xfId="2" applyNumberFormat="1" applyFill="1" applyBorder="1" applyAlignment="1" applyProtection="1">
      <alignment horizontal="left" vertical="center" indent="1"/>
      <protection locked="0"/>
    </xf>
    <xf numFmtId="49" fontId="42" fillId="0" borderId="20" xfId="0" applyNumberFormat="1" applyFont="1" applyBorder="1" applyAlignment="1" applyProtection="1">
      <alignment horizontal="left" vertical="center" indent="1"/>
      <protection locked="0"/>
    </xf>
    <xf numFmtId="49" fontId="42" fillId="0" borderId="11" xfId="0" applyNumberFormat="1" applyFont="1" applyBorder="1" applyAlignment="1" applyProtection="1">
      <alignment horizontal="left" vertical="center" indent="1"/>
      <protection locked="0"/>
    </xf>
    <xf numFmtId="0" fontId="26"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8" fillId="0" borderId="17" xfId="2" applyNumberFormat="1" applyBorder="1" applyAlignment="1" applyProtection="1">
      <alignment horizontal="center" vertical="center"/>
    </xf>
    <xf numFmtId="0" fontId="38" fillId="0" borderId="0" xfId="2" applyBorder="1" applyAlignment="1" applyProtection="1">
      <alignment horizontal="center" vertical="center"/>
    </xf>
    <xf numFmtId="0" fontId="38" fillId="0" borderId="18" xfId="2" applyBorder="1" applyAlignment="1" applyProtection="1">
      <alignment horizontal="center" vertical="center"/>
    </xf>
    <xf numFmtId="0" fontId="39" fillId="0" borderId="17" xfId="12" applyFont="1" applyBorder="1" applyAlignment="1" applyProtection="1">
      <alignment horizontal="center"/>
    </xf>
    <xf numFmtId="0" fontId="18" fillId="0" borderId="18" xfId="0" applyFont="1" applyBorder="1" applyAlignment="1" applyProtection="1">
      <alignment horizontal="left" vertical="center" indent="1"/>
      <protection locked="0"/>
    </xf>
    <xf numFmtId="0" fontId="39"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9" fillId="0" borderId="17" xfId="12" applyNumberFormat="1" applyFont="1" applyBorder="1" applyAlignment="1" applyProtection="1">
      <alignment horizontal="center" vertical="center"/>
    </xf>
    <xf numFmtId="0" fontId="18" fillId="0" borderId="0" xfId="0" applyFont="1" applyBorder="1" applyAlignment="1">
      <alignment horizontal="center" vertical="center"/>
    </xf>
    <xf numFmtId="0" fontId="18" fillId="0" borderId="18" xfId="0" applyFont="1" applyBorder="1" applyAlignment="1">
      <alignment horizontal="center" vertical="center"/>
    </xf>
    <xf numFmtId="0" fontId="44" fillId="0" borderId="19" xfId="0" applyFont="1" applyBorder="1" applyAlignment="1">
      <alignment horizontal="center" vertical="top"/>
    </xf>
    <xf numFmtId="0" fontId="44" fillId="0" borderId="20" xfId="0" applyFont="1" applyBorder="1" applyAlignment="1">
      <alignment horizontal="center" vertical="top"/>
    </xf>
    <xf numFmtId="0" fontId="44" fillId="0" borderId="11" xfId="0" applyFont="1" applyBorder="1" applyAlignment="1">
      <alignment horizontal="center" vertical="top"/>
    </xf>
    <xf numFmtId="0" fontId="18" fillId="0" borderId="19" xfId="12" applyNumberFormat="1" applyFont="1" applyBorder="1" applyAlignment="1" applyProtection="1">
      <alignment horizontal="left" vertical="center" indent="1"/>
      <protection locked="0"/>
    </xf>
    <xf numFmtId="174" fontId="18" fillId="0" borderId="17" xfId="12" applyNumberFormat="1" applyFont="1" applyBorder="1" applyAlignment="1" applyProtection="1">
      <alignment horizontal="left" vertical="center" indent="1"/>
      <protection locked="0"/>
    </xf>
    <xf numFmtId="174" fontId="18" fillId="0" borderId="0" xfId="0" applyNumberFormat="1" applyFont="1" applyBorder="1" applyAlignment="1" applyProtection="1">
      <alignment horizontal="left" vertical="center" indent="1"/>
      <protection locked="0"/>
    </xf>
    <xf numFmtId="174" fontId="18" fillId="0" borderId="18" xfId="0" applyNumberFormat="1" applyFont="1" applyBorder="1" applyAlignment="1" applyProtection="1">
      <alignment horizontal="left" vertical="center" indent="1"/>
      <protection locked="0"/>
    </xf>
    <xf numFmtId="0" fontId="18" fillId="0" borderId="20" xfId="12" applyNumberFormat="1" applyFont="1" applyBorder="1" applyAlignment="1" applyProtection="1">
      <alignment horizontal="left" vertical="center" indent="1"/>
      <protection locked="0"/>
    </xf>
    <xf numFmtId="0" fontId="18" fillId="0" borderId="11" xfId="12" applyNumberFormat="1"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readingOrder="1"/>
      <protection locked="0"/>
    </xf>
    <xf numFmtId="0" fontId="18" fillId="0" borderId="20" xfId="0" applyNumberFormat="1" applyFont="1" applyBorder="1" applyAlignment="1" applyProtection="1">
      <alignment horizontal="left" vertical="center" readingOrder="1"/>
      <protection locked="0"/>
    </xf>
    <xf numFmtId="0" fontId="19" fillId="0" borderId="20" xfId="0" applyFont="1" applyBorder="1" applyAlignment="1" applyProtection="1">
      <alignment vertical="center" readingOrder="1"/>
      <protection locked="0"/>
    </xf>
    <xf numFmtId="0" fontId="19" fillId="0" borderId="11" xfId="0" applyFont="1" applyBorder="1" applyAlignment="1" applyProtection="1">
      <alignment vertical="center" readingOrder="1"/>
      <protection locked="0"/>
    </xf>
    <xf numFmtId="0" fontId="18" fillId="0" borderId="19" xfId="12" applyNumberFormat="1" applyFont="1" applyBorder="1" applyAlignment="1" applyProtection="1">
      <alignment horizontal="left" vertical="center"/>
      <protection locked="0"/>
    </xf>
    <xf numFmtId="0" fontId="19" fillId="0" borderId="20" xfId="0" applyFont="1" applyBorder="1" applyAlignment="1" applyProtection="1">
      <alignment vertical="center"/>
      <protection locked="0"/>
    </xf>
    <xf numFmtId="0" fontId="19" fillId="0" borderId="11" xfId="0" applyFont="1" applyBorder="1" applyAlignment="1" applyProtection="1">
      <alignment vertical="center"/>
      <protection locked="0"/>
    </xf>
    <xf numFmtId="0" fontId="18" fillId="0" borderId="136" xfId="12" applyFont="1" applyBorder="1" applyAlignment="1" applyProtection="1">
      <alignment horizontal="left" vertical="center" indent="1"/>
      <protection locked="0"/>
    </xf>
    <xf numFmtId="0" fontId="18" fillId="0" borderId="126" xfId="0" applyFont="1" applyBorder="1" applyAlignment="1" applyProtection="1">
      <alignment horizontal="left" vertical="center" indent="1"/>
      <protection locked="0"/>
    </xf>
    <xf numFmtId="0" fontId="18" fillId="0" borderId="19" xfId="0" applyFont="1" applyBorder="1" applyAlignment="1" applyProtection="1">
      <alignment horizontal="left" vertical="center" indent="1"/>
      <protection locked="0"/>
    </xf>
    <xf numFmtId="0" fontId="18" fillId="0" borderId="128" xfId="0" applyFont="1" applyBorder="1" applyAlignment="1" applyProtection="1">
      <alignment horizontal="left" vertical="center" indent="1"/>
      <protection locked="0"/>
    </xf>
    <xf numFmtId="0" fontId="25"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8" fillId="0" borderId="19" xfId="2" applyBorder="1" applyAlignment="1" applyProtection="1">
      <protection locked="0"/>
    </xf>
    <xf numFmtId="0" fontId="24" fillId="0" borderId="20" xfId="0" applyFont="1" applyBorder="1" applyProtection="1">
      <protection locked="0"/>
    </xf>
    <xf numFmtId="0" fontId="24" fillId="0" borderId="11" xfId="0" applyFont="1" applyBorder="1" applyProtection="1">
      <protection locked="0"/>
    </xf>
    <xf numFmtId="0" fontId="18" fillId="0" borderId="0" xfId="0" applyFont="1" applyBorder="1" applyAlignment="1" applyProtection="1">
      <alignment horizontal="left" vertical="center" indent="1"/>
      <protection locked="0"/>
    </xf>
    <xf numFmtId="180" fontId="18" fillId="0" borderId="17" xfId="12" applyNumberFormat="1" applyFont="1" applyBorder="1" applyAlignment="1" applyProtection="1">
      <alignment horizontal="left" vertical="center" indent="1"/>
      <protection locked="0"/>
    </xf>
    <xf numFmtId="180" fontId="18" fillId="0" borderId="0" xfId="0" applyNumberFormat="1" applyFont="1" applyBorder="1" applyAlignment="1" applyProtection="1">
      <alignment horizontal="left" vertical="center" indent="1"/>
      <protection locked="0"/>
    </xf>
    <xf numFmtId="0" fontId="49" fillId="0" borderId="20" xfId="2" applyNumberFormat="1" applyFont="1" applyBorder="1" applyAlignment="1" applyProtection="1">
      <alignment horizontal="left" vertical="center"/>
      <protection locked="0"/>
    </xf>
    <xf numFmtId="14" fontId="18" fillId="0" borderId="125" xfId="12" applyNumberFormat="1" applyFont="1" applyBorder="1" applyAlignment="1" applyProtection="1">
      <alignment horizontal="left" vertical="center" indent="1"/>
      <protection locked="0"/>
    </xf>
    <xf numFmtId="0" fontId="18" fillId="0" borderId="128" xfId="12" applyNumberFormat="1" applyFont="1" applyBorder="1" applyAlignment="1" applyProtection="1">
      <alignment horizontal="left" vertical="center" indent="1"/>
      <protection locked="0"/>
    </xf>
    <xf numFmtId="0" fontId="18" fillId="0" borderId="126" xfId="12" applyNumberFormat="1" applyFont="1" applyBorder="1" applyAlignment="1" applyProtection="1">
      <alignment horizontal="left" vertical="center" indent="1"/>
      <protection locked="0"/>
    </xf>
    <xf numFmtId="180" fontId="18" fillId="0" borderId="125" xfId="12" applyNumberFormat="1" applyFont="1" applyBorder="1" applyAlignment="1" applyProtection="1">
      <alignment horizontal="left" vertical="center" indent="1"/>
      <protection locked="0"/>
    </xf>
    <xf numFmtId="180" fontId="18" fillId="0" borderId="128" xfId="12" applyNumberFormat="1" applyFont="1" applyBorder="1" applyAlignment="1" applyProtection="1">
      <alignment horizontal="left" vertical="center" indent="1"/>
      <protection locked="0"/>
    </xf>
    <xf numFmtId="180" fontId="18" fillId="0" borderId="126" xfId="12" applyNumberFormat="1" applyFont="1" applyBorder="1" applyAlignment="1" applyProtection="1">
      <alignment horizontal="left" vertical="center" indent="1"/>
      <protection locked="0"/>
    </xf>
    <xf numFmtId="0" fontId="59" fillId="0" borderId="0" xfId="0" applyFont="1" applyBorder="1" applyAlignment="1">
      <alignment horizontal="center" vertical="center"/>
    </xf>
    <xf numFmtId="0" fontId="59" fillId="0" borderId="0" xfId="0" applyFont="1" applyBorder="1" applyAlignment="1">
      <alignment horizontal="center"/>
    </xf>
    <xf numFmtId="0" fontId="63" fillId="0" borderId="0" xfId="2" applyFont="1" applyBorder="1" applyAlignment="1" applyProtection="1">
      <alignment horizontal="center"/>
    </xf>
    <xf numFmtId="0" fontId="59" fillId="0" borderId="48" xfId="0" applyFont="1" applyBorder="1" applyAlignment="1">
      <alignment horizontal="center"/>
    </xf>
    <xf numFmtId="0" fontId="71" fillId="0" borderId="0" xfId="0" applyFont="1" applyBorder="1" applyAlignment="1" applyProtection="1">
      <alignment horizontal="center" vertical="center"/>
    </xf>
    <xf numFmtId="0" fontId="60" fillId="0" borderId="12" xfId="3" applyFont="1" applyBorder="1" applyAlignment="1" applyProtection="1">
      <alignment horizontal="left" vertical="top"/>
      <protection locked="0"/>
    </xf>
    <xf numFmtId="0" fontId="60" fillId="0" borderId="16" xfId="3" applyFont="1" applyBorder="1" applyAlignment="1" applyProtection="1">
      <alignment horizontal="left" vertical="top"/>
      <protection locked="0"/>
    </xf>
    <xf numFmtId="0" fontId="60" fillId="0" borderId="10" xfId="3" applyFont="1" applyBorder="1" applyAlignment="1" applyProtection="1">
      <alignment horizontal="left" vertical="top"/>
      <protection locked="0"/>
    </xf>
    <xf numFmtId="0" fontId="60" fillId="0" borderId="17" xfId="3" applyFont="1" applyBorder="1" applyAlignment="1" applyProtection="1">
      <alignment horizontal="left" vertical="top"/>
      <protection locked="0"/>
    </xf>
    <xf numFmtId="0" fontId="60" fillId="0" borderId="0" xfId="3" applyFont="1" applyBorder="1" applyAlignment="1" applyProtection="1">
      <alignment horizontal="left" vertical="top"/>
      <protection locked="0"/>
    </xf>
    <xf numFmtId="0" fontId="60" fillId="0" borderId="18" xfId="3" applyFont="1" applyBorder="1" applyAlignment="1" applyProtection="1">
      <alignment horizontal="left" vertical="top"/>
      <protection locked="0"/>
    </xf>
    <xf numFmtId="0" fontId="60" fillId="0" borderId="125" xfId="3" applyFont="1" applyBorder="1" applyAlignment="1" applyProtection="1">
      <alignment horizontal="left" vertical="top"/>
      <protection locked="0"/>
    </xf>
    <xf numFmtId="0" fontId="60" fillId="0" borderId="128" xfId="3" applyFont="1" applyBorder="1" applyAlignment="1" applyProtection="1">
      <alignment horizontal="left" vertical="top"/>
      <protection locked="0"/>
    </xf>
    <xf numFmtId="0" fontId="60" fillId="0" borderId="126" xfId="3" applyFont="1" applyBorder="1" applyAlignment="1" applyProtection="1">
      <alignment horizontal="left" vertical="top"/>
      <protection locked="0"/>
    </xf>
    <xf numFmtId="0" fontId="59" fillId="0" borderId="134" xfId="3" applyFont="1" applyBorder="1" applyAlignment="1" applyProtection="1">
      <alignment horizontal="center"/>
      <protection locked="0"/>
    </xf>
    <xf numFmtId="0" fontId="78" fillId="0" borderId="0" xfId="3" applyFont="1" applyBorder="1" applyAlignment="1">
      <alignment horizontal="left" vertical="top" wrapText="1"/>
    </xf>
    <xf numFmtId="0" fontId="85" fillId="0" borderId="0" xfId="3" applyFont="1" applyBorder="1" applyAlignment="1">
      <alignment horizontal="left" vertical="top" wrapText="1"/>
    </xf>
    <xf numFmtId="0" fontId="85" fillId="0" borderId="0" xfId="3" applyFont="1" applyAlignment="1">
      <alignment horizontal="left" vertical="top" wrapText="1"/>
    </xf>
    <xf numFmtId="0" fontId="71" fillId="0" borderId="0" xfId="0" applyFont="1" applyBorder="1" applyAlignment="1" applyProtection="1">
      <alignment horizontal="left" vertical="center"/>
    </xf>
    <xf numFmtId="0" fontId="71" fillId="0" borderId="0" xfId="0" applyFont="1" applyAlignment="1">
      <alignment horizontal="left" vertical="center"/>
    </xf>
    <xf numFmtId="0" fontId="70" fillId="0" borderId="0" xfId="0" applyFont="1" applyAlignment="1">
      <alignment horizontal="left" vertical="center"/>
    </xf>
    <xf numFmtId="0" fontId="80" fillId="0" borderId="0" xfId="0" applyFont="1" applyAlignment="1">
      <alignment horizontal="left" vertical="center"/>
    </xf>
    <xf numFmtId="0" fontId="62" fillId="0" borderId="0" xfId="0" applyFont="1" applyAlignment="1">
      <alignment horizontal="left" vertical="center"/>
    </xf>
    <xf numFmtId="0" fontId="59" fillId="18" borderId="0" xfId="0" applyFont="1" applyFill="1" applyBorder="1" applyAlignment="1" applyProtection="1">
      <alignment horizontal="center" vertical="center"/>
    </xf>
    <xf numFmtId="0" fontId="59" fillId="18" borderId="104" xfId="0" applyFont="1" applyFill="1" applyBorder="1" applyAlignment="1" applyProtection="1">
      <alignment horizontal="center" vertical="center"/>
    </xf>
    <xf numFmtId="0" fontId="60" fillId="0" borderId="12" xfId="0" applyFont="1" applyBorder="1" applyAlignment="1" applyProtection="1">
      <alignment horizontal="left" vertical="top" wrapText="1"/>
      <protection locked="0"/>
    </xf>
    <xf numFmtId="0" fontId="60" fillId="0" borderId="16" xfId="0" applyFont="1" applyBorder="1" applyAlignment="1" applyProtection="1">
      <alignment horizontal="left" vertical="top" wrapText="1"/>
      <protection locked="0"/>
    </xf>
    <xf numFmtId="0" fontId="60" fillId="0" borderId="10" xfId="0" applyFont="1" applyBorder="1" applyAlignment="1" applyProtection="1">
      <alignment horizontal="left" vertical="top" wrapText="1"/>
      <protection locked="0"/>
    </xf>
    <xf numFmtId="0" fontId="60" fillId="0" borderId="17" xfId="0" applyFont="1" applyBorder="1" applyAlignment="1" applyProtection="1">
      <alignment horizontal="left" vertical="top" wrapText="1"/>
      <protection locked="0"/>
    </xf>
    <xf numFmtId="0" fontId="60" fillId="0" borderId="0" xfId="0" applyFont="1" applyBorder="1" applyAlignment="1" applyProtection="1">
      <alignment horizontal="left" vertical="top" wrapText="1"/>
      <protection locked="0"/>
    </xf>
    <xf numFmtId="0" fontId="60" fillId="0" borderId="18" xfId="0" applyFont="1" applyBorder="1" applyAlignment="1" applyProtection="1">
      <alignment horizontal="left" vertical="top" wrapText="1"/>
      <protection locked="0"/>
    </xf>
    <xf numFmtId="0" fontId="60" fillId="0" borderId="125" xfId="0" applyFont="1" applyBorder="1" applyAlignment="1" applyProtection="1">
      <alignment horizontal="left" vertical="top" wrapText="1"/>
      <protection locked="0"/>
    </xf>
    <xf numFmtId="0" fontId="60" fillId="0" borderId="128" xfId="0" applyFont="1" applyBorder="1" applyAlignment="1" applyProtection="1">
      <alignment horizontal="left" vertical="top" wrapText="1"/>
      <protection locked="0"/>
    </xf>
    <xf numFmtId="0" fontId="60" fillId="0" borderId="126" xfId="0" applyFont="1" applyBorder="1" applyAlignment="1" applyProtection="1">
      <alignment horizontal="left" vertical="top" wrapText="1"/>
      <protection locked="0"/>
    </xf>
    <xf numFmtId="0" fontId="65" fillId="0" borderId="0" xfId="0" applyFont="1" applyBorder="1" applyAlignment="1" applyProtection="1">
      <alignment horizontal="center" vertical="center"/>
    </xf>
    <xf numFmtId="38" fontId="59" fillId="0" borderId="79" xfId="0" applyNumberFormat="1" applyFont="1" applyBorder="1" applyAlignment="1" applyProtection="1">
      <alignment horizontal="left" vertical="top" wrapText="1"/>
      <protection locked="0"/>
    </xf>
    <xf numFmtId="0" fontId="59" fillId="0" borderId="80" xfId="0" applyFont="1" applyBorder="1" applyAlignment="1" applyProtection="1">
      <alignment wrapText="1"/>
      <protection locked="0"/>
    </xf>
    <xf numFmtId="0" fontId="59" fillId="0" borderId="81" xfId="0" applyFont="1" applyBorder="1" applyAlignment="1" applyProtection="1">
      <alignment wrapText="1"/>
      <protection locked="0"/>
    </xf>
    <xf numFmtId="0" fontId="59" fillId="0" borderId="82" xfId="0" applyFont="1" applyBorder="1" applyAlignment="1" applyProtection="1">
      <alignment wrapText="1"/>
      <protection locked="0"/>
    </xf>
    <xf numFmtId="0" fontId="59" fillId="0" borderId="0" xfId="0" applyFont="1" applyAlignment="1" applyProtection="1">
      <alignment wrapText="1"/>
      <protection locked="0"/>
    </xf>
    <xf numFmtId="0" fontId="59" fillId="0" borderId="83" xfId="0" applyFont="1" applyBorder="1" applyAlignment="1" applyProtection="1">
      <alignment wrapText="1"/>
      <protection locked="0"/>
    </xf>
    <xf numFmtId="0" fontId="59" fillId="0" borderId="84" xfId="0" applyFont="1" applyBorder="1" applyAlignment="1" applyProtection="1">
      <alignment wrapText="1"/>
      <protection locked="0"/>
    </xf>
    <xf numFmtId="0" fontId="59" fillId="0" borderId="85" xfId="0" applyFont="1" applyBorder="1" applyAlignment="1" applyProtection="1">
      <alignment wrapText="1"/>
      <protection locked="0"/>
    </xf>
    <xf numFmtId="0" fontId="59" fillId="0" borderId="86" xfId="0" applyFont="1" applyBorder="1" applyAlignment="1" applyProtection="1">
      <alignment wrapText="1"/>
      <protection locked="0"/>
    </xf>
    <xf numFmtId="0" fontId="89" fillId="0" borderId="0" xfId="0" applyNumberFormat="1" applyFont="1" applyBorder="1" applyAlignment="1" applyProtection="1">
      <alignment horizontal="left" vertical="center" wrapText="1"/>
    </xf>
    <xf numFmtId="0" fontId="60" fillId="0" borderId="0" xfId="0" applyFont="1" applyAlignment="1">
      <alignment horizontal="left" vertical="center" wrapText="1"/>
    </xf>
    <xf numFmtId="166" fontId="67" fillId="0" borderId="0" xfId="0" applyNumberFormat="1" applyFont="1" applyBorder="1" applyAlignment="1" applyProtection="1">
      <alignment horizontal="left" vertical="center"/>
    </xf>
    <xf numFmtId="166" fontId="62" fillId="0" borderId="0" xfId="0" applyNumberFormat="1" applyFont="1" applyAlignment="1">
      <alignment horizontal="left" vertical="center"/>
    </xf>
    <xf numFmtId="0" fontId="67" fillId="0" borderId="0" xfId="0" applyFont="1" applyBorder="1" applyAlignment="1" applyProtection="1">
      <alignment wrapText="1"/>
    </xf>
    <xf numFmtId="0" fontId="67" fillId="0" borderId="0" xfId="0" applyFont="1" applyAlignment="1" applyProtection="1">
      <alignment horizontal="left" vertical="center"/>
    </xf>
    <xf numFmtId="0" fontId="67" fillId="0" borderId="0" xfId="0" applyFont="1" applyAlignment="1">
      <alignment horizontal="left" vertical="center"/>
    </xf>
    <xf numFmtId="0" fontId="67" fillId="0" borderId="0" xfId="0" applyFont="1" applyBorder="1" applyAlignment="1" applyProtection="1">
      <alignment vertical="top" wrapText="1"/>
    </xf>
    <xf numFmtId="0" fontId="67" fillId="0" borderId="0" xfId="0" applyFont="1" applyAlignment="1">
      <alignment wrapText="1"/>
    </xf>
    <xf numFmtId="0" fontId="77" fillId="0" borderId="0" xfId="0" applyFont="1" applyAlignment="1">
      <alignment horizontal="center" vertical="center"/>
    </xf>
    <xf numFmtId="0" fontId="62" fillId="0" borderId="0" xfId="0" applyFont="1" applyAlignment="1">
      <alignment horizontal="center" vertical="center"/>
    </xf>
    <xf numFmtId="0" fontId="61" fillId="0" borderId="0" xfId="2" applyFont="1" applyAlignment="1" applyProtection="1">
      <alignment horizontal="center" vertical="center"/>
    </xf>
    <xf numFmtId="0" fontId="59" fillId="0" borderId="10" xfId="0" applyFont="1" applyFill="1" applyBorder="1" applyAlignment="1" applyProtection="1">
      <alignment horizontal="center" vertical="center" wrapText="1"/>
    </xf>
    <xf numFmtId="0" fontId="59" fillId="0" borderId="126" xfId="0" applyFont="1" applyFill="1" applyBorder="1" applyAlignment="1" applyProtection="1">
      <alignment horizontal="center" vertical="center" wrapText="1"/>
    </xf>
    <xf numFmtId="3" fontId="69" fillId="23" borderId="13" xfId="0" applyNumberFormat="1" applyFont="1" applyFill="1" applyBorder="1" applyAlignment="1" applyProtection="1">
      <alignment horizontal="left" vertical="center"/>
    </xf>
    <xf numFmtId="3" fontId="69" fillId="23" borderId="14" xfId="0" applyNumberFormat="1" applyFont="1" applyFill="1" applyBorder="1" applyAlignment="1" applyProtection="1">
      <alignment horizontal="left" vertical="center"/>
    </xf>
    <xf numFmtId="164" fontId="69" fillId="23" borderId="49" xfId="0" applyNumberFormat="1" applyFont="1" applyFill="1" applyBorder="1" applyAlignment="1" applyProtection="1">
      <alignment horizontal="left" vertical="center"/>
    </xf>
    <xf numFmtId="164" fontId="69" fillId="23" borderId="31" xfId="0" applyNumberFormat="1" applyFont="1" applyFill="1" applyBorder="1" applyAlignment="1" applyProtection="1">
      <alignment horizontal="left" vertical="center"/>
    </xf>
    <xf numFmtId="0" fontId="69" fillId="23" borderId="34" xfId="0" applyFont="1" applyFill="1" applyBorder="1" applyAlignment="1" applyProtection="1">
      <alignment horizontal="left" vertical="center"/>
    </xf>
    <xf numFmtId="0" fontId="69" fillId="23" borderId="31" xfId="0" applyFont="1" applyFill="1" applyBorder="1" applyAlignment="1" applyProtection="1">
      <alignment horizontal="left" vertical="center"/>
    </xf>
    <xf numFmtId="164" fontId="69" fillId="23" borderId="13" xfId="0" applyNumberFormat="1" applyFont="1" applyFill="1" applyBorder="1" applyAlignment="1" applyProtection="1">
      <alignment horizontal="left" vertical="center"/>
    </xf>
    <xf numFmtId="164" fontId="69" fillId="23" borderId="14" xfId="0" applyNumberFormat="1" applyFont="1" applyFill="1" applyBorder="1" applyAlignment="1" applyProtection="1">
      <alignment horizontal="left" vertical="center"/>
    </xf>
    <xf numFmtId="164" fontId="69" fillId="16" borderId="36" xfId="0" applyNumberFormat="1" applyFont="1" applyFill="1" applyBorder="1" applyAlignment="1" applyProtection="1">
      <alignment horizontal="left" vertical="center" wrapText="1" indent="2"/>
    </xf>
    <xf numFmtId="164" fontId="69" fillId="16" borderId="30" xfId="0" applyNumberFormat="1" applyFont="1" applyFill="1" applyBorder="1" applyAlignment="1" applyProtection="1">
      <alignment horizontal="left" vertical="center" wrapText="1" indent="2"/>
    </xf>
    <xf numFmtId="0" fontId="69" fillId="16" borderId="52" xfId="0" applyFont="1" applyFill="1" applyBorder="1" applyAlignment="1" applyProtection="1">
      <alignment horizontal="left" vertical="center" indent="2"/>
    </xf>
    <xf numFmtId="0" fontId="69" fillId="16" borderId="53" xfId="0" applyFont="1" applyFill="1" applyBorder="1" applyAlignment="1" applyProtection="1">
      <alignment horizontal="left" vertical="center" indent="2"/>
    </xf>
    <xf numFmtId="0" fontId="69" fillId="16" borderId="35" xfId="0" applyFont="1" applyFill="1" applyBorder="1" applyAlignment="1" applyProtection="1">
      <alignment horizontal="left" vertical="center" indent="2"/>
    </xf>
    <xf numFmtId="0" fontId="69" fillId="16" borderId="30" xfId="0" applyFont="1" applyFill="1" applyBorder="1" applyAlignment="1" applyProtection="1">
      <alignment horizontal="left" vertical="center" indent="2"/>
    </xf>
    <xf numFmtId="0" fontId="67" fillId="16" borderId="52" xfId="0" applyFont="1" applyFill="1" applyBorder="1" applyAlignment="1" applyProtection="1">
      <alignment horizontal="left" vertical="center" wrapText="1" indent="2"/>
    </xf>
    <xf numFmtId="0" fontId="62" fillId="16" borderId="53" xfId="0" applyFont="1" applyFill="1" applyBorder="1" applyAlignment="1">
      <alignment horizontal="left" wrapText="1" indent="2"/>
    </xf>
    <xf numFmtId="3" fontId="69" fillId="0" borderId="10" xfId="0" applyNumberFormat="1" applyFont="1" applyBorder="1" applyAlignment="1" applyProtection="1">
      <alignment horizontal="center" vertical="center" wrapText="1"/>
    </xf>
    <xf numFmtId="3" fontId="69" fillId="0" borderId="126" xfId="0" applyNumberFormat="1" applyFont="1" applyBorder="1" applyAlignment="1" applyProtection="1">
      <alignment horizontal="center" vertical="center" wrapText="1"/>
    </xf>
    <xf numFmtId="0" fontId="69" fillId="16" borderId="34" xfId="0" applyFont="1" applyFill="1" applyBorder="1" applyAlignment="1" applyProtection="1">
      <alignment horizontal="left" vertical="center" indent="1"/>
    </xf>
    <xf numFmtId="0" fontId="69" fillId="16" borderId="31" xfId="0" applyFont="1" applyFill="1" applyBorder="1" applyAlignment="1" applyProtection="1">
      <alignment horizontal="left" vertical="center" indent="1"/>
    </xf>
    <xf numFmtId="0" fontId="67" fillId="0" borderId="21" xfId="0" applyFont="1" applyBorder="1" applyAlignment="1" applyProtection="1">
      <alignment horizontal="left" vertical="center" indent="1"/>
    </xf>
    <xf numFmtId="0" fontId="67" fillId="0" borderId="14" xfId="0" applyFont="1" applyBorder="1" applyAlignment="1" applyProtection="1">
      <alignment horizontal="left" vertical="center" indent="1"/>
    </xf>
    <xf numFmtId="164" fontId="69" fillId="25" borderId="13" xfId="0" applyNumberFormat="1" applyFont="1" applyFill="1" applyBorder="1" applyAlignment="1" applyProtection="1">
      <alignment horizontal="left" vertical="center" wrapText="1" indent="1"/>
    </xf>
    <xf numFmtId="164" fontId="69" fillId="25" borderId="14" xfId="0" applyNumberFormat="1" applyFont="1" applyFill="1" applyBorder="1" applyAlignment="1" applyProtection="1">
      <alignment horizontal="left" vertical="center" wrapText="1" indent="1"/>
    </xf>
    <xf numFmtId="164" fontId="69" fillId="14" borderId="13" xfId="0" applyNumberFormat="1" applyFont="1" applyFill="1" applyBorder="1" applyAlignment="1" applyProtection="1">
      <alignment horizontal="left" vertical="center" wrapText="1" indent="1"/>
    </xf>
    <xf numFmtId="164" fontId="69" fillId="14" borderId="14" xfId="0" applyNumberFormat="1" applyFont="1" applyFill="1" applyBorder="1" applyAlignment="1" applyProtection="1">
      <alignment horizontal="left" vertical="center" wrapText="1" indent="1"/>
    </xf>
    <xf numFmtId="164" fontId="69" fillId="17" borderId="13" xfId="0" applyNumberFormat="1" applyFont="1" applyFill="1" applyBorder="1" applyAlignment="1" applyProtection="1">
      <alignment horizontal="left" vertical="center" wrapText="1"/>
    </xf>
    <xf numFmtId="164" fontId="69" fillId="17" borderId="14" xfId="0" applyNumberFormat="1" applyFont="1" applyFill="1" applyBorder="1" applyAlignment="1" applyProtection="1">
      <alignment horizontal="left" vertical="center" wrapText="1"/>
    </xf>
    <xf numFmtId="49" fontId="69" fillId="23" borderId="13" xfId="0" applyNumberFormat="1" applyFont="1" applyFill="1" applyBorder="1" applyAlignment="1" applyProtection="1">
      <alignment horizontal="left" vertical="center"/>
    </xf>
    <xf numFmtId="49" fontId="69" fillId="23" borderId="14" xfId="0" applyNumberFormat="1" applyFont="1" applyFill="1" applyBorder="1" applyAlignment="1" applyProtection="1">
      <alignment horizontal="left" vertical="center"/>
    </xf>
    <xf numFmtId="0" fontId="69" fillId="23" borderId="13" xfId="0" applyFont="1" applyFill="1" applyBorder="1" applyAlignment="1" applyProtection="1">
      <alignment vertical="center"/>
    </xf>
    <xf numFmtId="0" fontId="69" fillId="23" borderId="14" xfId="0" applyFont="1" applyFill="1" applyBorder="1" applyAlignment="1" applyProtection="1">
      <alignment vertical="center"/>
    </xf>
    <xf numFmtId="164" fontId="69" fillId="16" borderId="13" xfId="0" applyNumberFormat="1" applyFont="1" applyFill="1" applyBorder="1" applyAlignment="1" applyProtection="1">
      <alignment horizontal="left" vertical="center" wrapText="1" indent="2"/>
    </xf>
    <xf numFmtId="164" fontId="69" fillId="16" borderId="14" xfId="0" applyNumberFormat="1" applyFont="1" applyFill="1" applyBorder="1" applyAlignment="1" applyProtection="1">
      <alignment horizontal="left" vertical="center" wrapText="1" indent="2"/>
    </xf>
    <xf numFmtId="164" fontId="69" fillId="6" borderId="13" xfId="0" applyNumberFormat="1" applyFont="1" applyFill="1" applyBorder="1" applyAlignment="1" applyProtection="1">
      <alignment horizontal="left" vertical="center" wrapText="1" indent="1"/>
    </xf>
    <xf numFmtId="164" fontId="69" fillId="6" borderId="14" xfId="0" applyNumberFormat="1" applyFont="1" applyFill="1" applyBorder="1" applyAlignment="1" applyProtection="1">
      <alignment horizontal="left" vertical="center" wrapText="1" indent="1"/>
    </xf>
    <xf numFmtId="0" fontId="69" fillId="16" borderId="24" xfId="0" applyFont="1" applyFill="1" applyBorder="1" applyAlignment="1" applyProtection="1">
      <alignment horizontal="left" vertical="center" indent="1"/>
    </xf>
    <xf numFmtId="0" fontId="62" fillId="16" borderId="51" xfId="0" applyFont="1" applyFill="1" applyBorder="1" applyAlignment="1">
      <alignment horizontal="left" vertical="center" indent="1"/>
    </xf>
    <xf numFmtId="0" fontId="69" fillId="17" borderId="21" xfId="0" applyFont="1" applyFill="1" applyBorder="1" applyAlignment="1">
      <alignment horizontal="left" vertical="center" wrapText="1"/>
    </xf>
    <xf numFmtId="0" fontId="62" fillId="17" borderId="14" xfId="0" applyFont="1" applyFill="1" applyBorder="1" applyAlignment="1">
      <alignment horizontal="left" vertical="center" wrapText="1"/>
    </xf>
    <xf numFmtId="0" fontId="69" fillId="17" borderId="34" xfId="0" applyFont="1" applyFill="1" applyBorder="1" applyAlignment="1">
      <alignment vertical="top" wrapText="1"/>
    </xf>
    <xf numFmtId="0" fontId="62" fillId="17" borderId="31" xfId="0" applyFont="1" applyFill="1" applyBorder="1" applyAlignment="1">
      <alignment vertical="top" wrapText="1"/>
    </xf>
    <xf numFmtId="0" fontId="69" fillId="16" borderId="35" xfId="0" applyFont="1" applyFill="1" applyBorder="1" applyAlignment="1" applyProtection="1">
      <alignment horizontal="left" vertical="top" wrapText="1" indent="1"/>
    </xf>
    <xf numFmtId="0" fontId="62" fillId="16" borderId="30" xfId="0" applyFont="1" applyFill="1" applyBorder="1" applyAlignment="1">
      <alignment horizontal="left" vertical="top" wrapText="1" indent="1"/>
    </xf>
    <xf numFmtId="0" fontId="69" fillId="16" borderId="35" xfId="0" applyFont="1" applyFill="1" applyBorder="1" applyAlignment="1" applyProtection="1">
      <alignment horizontal="left" vertical="top" indent="1"/>
    </xf>
    <xf numFmtId="0" fontId="62" fillId="16" borderId="30" xfId="0" applyFont="1" applyFill="1" applyBorder="1" applyAlignment="1">
      <alignment horizontal="left" vertical="top" indent="1"/>
    </xf>
    <xf numFmtId="0" fontId="69" fillId="17" borderId="34" xfId="0" applyFont="1" applyFill="1" applyBorder="1" applyAlignment="1">
      <alignment vertical="center" wrapText="1"/>
    </xf>
    <xf numFmtId="0" fontId="62" fillId="17" borderId="31" xfId="0" applyFont="1" applyFill="1" applyBorder="1" applyAlignment="1">
      <alignment vertical="center" wrapText="1"/>
    </xf>
    <xf numFmtId="3" fontId="69" fillId="16" borderId="49" xfId="0" applyNumberFormat="1" applyFont="1" applyFill="1" applyBorder="1" applyAlignment="1">
      <alignment horizontal="left" vertical="top" indent="1"/>
    </xf>
    <xf numFmtId="3" fontId="69" fillId="16" borderId="31" xfId="0" applyNumberFormat="1" applyFont="1" applyFill="1" applyBorder="1" applyAlignment="1">
      <alignment horizontal="left" vertical="top" indent="1"/>
    </xf>
    <xf numFmtId="3" fontId="69" fillId="0" borderId="18" xfId="0" applyNumberFormat="1" applyFont="1" applyBorder="1" applyAlignment="1" applyProtection="1">
      <alignment horizontal="center" vertical="center" wrapText="1"/>
    </xf>
    <xf numFmtId="0" fontId="70" fillId="23" borderId="19" xfId="0" applyFont="1" applyFill="1" applyBorder="1" applyAlignment="1">
      <alignment horizontal="center" vertical="center"/>
    </xf>
    <xf numFmtId="0" fontId="62" fillId="23" borderId="11" xfId="0" applyFont="1" applyFill="1" applyBorder="1" applyAlignment="1">
      <alignment horizontal="center" vertical="center"/>
    </xf>
    <xf numFmtId="0" fontId="70" fillId="24" borderId="20" xfId="0" applyFont="1" applyFill="1" applyBorder="1" applyAlignment="1">
      <alignment horizontal="center" vertical="center"/>
    </xf>
    <xf numFmtId="0" fontId="70" fillId="24" borderId="11" xfId="0" applyFont="1" applyFill="1" applyBorder="1" applyAlignment="1">
      <alignment horizontal="center" vertical="center"/>
    </xf>
    <xf numFmtId="0" fontId="62" fillId="24" borderId="11" xfId="0" applyFont="1" applyFill="1" applyBorder="1" applyAlignment="1">
      <alignment horizontal="center" vertical="center"/>
    </xf>
    <xf numFmtId="0" fontId="70" fillId="23" borderId="107" xfId="0" applyFont="1" applyFill="1" applyBorder="1" applyAlignment="1">
      <alignment horizontal="center" vertical="center"/>
    </xf>
    <xf numFmtId="0" fontId="62" fillId="23" borderId="131" xfId="0" applyFont="1" applyFill="1" applyBorder="1" applyAlignment="1">
      <alignment horizontal="center" vertical="center"/>
    </xf>
    <xf numFmtId="0" fontId="70" fillId="23" borderId="20" xfId="0" applyFont="1" applyFill="1" applyBorder="1" applyAlignment="1">
      <alignment horizontal="center" vertical="center"/>
    </xf>
    <xf numFmtId="3" fontId="69" fillId="16" borderId="34" xfId="0" applyNumberFormat="1" applyFont="1" applyFill="1" applyBorder="1" applyAlignment="1">
      <alignment horizontal="left" vertical="top" wrapText="1" indent="1"/>
    </xf>
    <xf numFmtId="0" fontId="62" fillId="16" borderId="31" xfId="0" applyFont="1" applyFill="1" applyBorder="1" applyAlignment="1">
      <alignment horizontal="left" vertical="top" wrapText="1"/>
    </xf>
    <xf numFmtId="3" fontId="69" fillId="16" borderId="23" xfId="0" applyNumberFormat="1" applyFont="1" applyFill="1" applyBorder="1" applyAlignment="1">
      <alignment horizontal="left" vertical="top" wrapText="1" indent="1"/>
    </xf>
    <xf numFmtId="0" fontId="62" fillId="16" borderId="38" xfId="0" applyFont="1" applyFill="1" applyBorder="1" applyAlignment="1">
      <alignment horizontal="left" vertical="top" wrapText="1" indent="1"/>
    </xf>
    <xf numFmtId="3" fontId="69" fillId="16" borderId="24" xfId="0" applyNumberFormat="1" applyFont="1" applyFill="1" applyBorder="1" applyAlignment="1">
      <alignment horizontal="left" vertical="top" wrapText="1" indent="1"/>
    </xf>
    <xf numFmtId="0" fontId="67" fillId="16" borderId="51" xfId="0" applyFont="1" applyFill="1" applyBorder="1" applyAlignment="1">
      <alignment horizontal="left" vertical="top" wrapText="1" indent="1"/>
    </xf>
    <xf numFmtId="3" fontId="69" fillId="16" borderId="35" xfId="0" applyNumberFormat="1" applyFont="1" applyFill="1" applyBorder="1" applyAlignment="1">
      <alignment horizontal="left" vertical="top" wrapText="1" indent="1"/>
    </xf>
    <xf numFmtId="3" fontId="69" fillId="16" borderId="35" xfId="0" applyNumberFormat="1" applyFont="1" applyFill="1" applyBorder="1" applyAlignment="1">
      <alignment horizontal="left" vertical="top" indent="1"/>
    </xf>
    <xf numFmtId="0" fontId="67" fillId="16" borderId="30" xfId="0" applyFont="1" applyFill="1" applyBorder="1" applyAlignment="1">
      <alignment horizontal="left" vertical="top" indent="1"/>
    </xf>
    <xf numFmtId="3" fontId="69" fillId="0" borderId="23" xfId="0" applyNumberFormat="1" applyFont="1" applyBorder="1" applyAlignment="1">
      <alignment horizontal="left" vertical="top" wrapText="1" indent="1"/>
    </xf>
    <xf numFmtId="0" fontId="62" fillId="0" borderId="38" xfId="0" applyFont="1" applyBorder="1" applyAlignment="1">
      <alignment horizontal="left" vertical="top" wrapText="1" indent="1"/>
    </xf>
    <xf numFmtId="0" fontId="70" fillId="23" borderId="20" xfId="0" applyFont="1" applyFill="1" applyBorder="1" applyAlignment="1">
      <alignment horizontal="center" vertical="center" wrapText="1"/>
    </xf>
    <xf numFmtId="0" fontId="62" fillId="23" borderId="11" xfId="0" applyFont="1" applyFill="1" applyBorder="1" applyAlignment="1">
      <alignment horizontal="center" vertical="center" wrapText="1"/>
    </xf>
    <xf numFmtId="3" fontId="70" fillId="23" borderId="13" xfId="0" applyNumberFormat="1" applyFont="1" applyFill="1" applyBorder="1" applyAlignment="1">
      <alignment horizontal="center" vertical="center"/>
    </xf>
    <xf numFmtId="0" fontId="62" fillId="23" borderId="14" xfId="0" applyFont="1" applyFill="1" applyBorder="1" applyAlignment="1">
      <alignment horizontal="center" vertical="center"/>
    </xf>
    <xf numFmtId="0" fontId="70" fillId="23" borderId="21" xfId="0" applyFont="1" applyFill="1" applyBorder="1" applyAlignment="1">
      <alignment horizontal="center" vertical="center"/>
    </xf>
    <xf numFmtId="3" fontId="69" fillId="15" borderId="10" xfId="0" applyNumberFormat="1" applyFont="1" applyFill="1" applyBorder="1" applyAlignment="1" applyProtection="1">
      <alignment horizontal="center" vertical="center" wrapText="1"/>
    </xf>
    <xf numFmtId="3" fontId="69" fillId="15" borderId="126" xfId="0" applyNumberFormat="1" applyFont="1" applyFill="1" applyBorder="1" applyAlignment="1" applyProtection="1">
      <alignment horizontal="center" vertical="center" wrapText="1"/>
    </xf>
    <xf numFmtId="0" fontId="67" fillId="0" borderId="0" xfId="9" applyFont="1" applyFill="1" applyAlignment="1">
      <alignment wrapText="1"/>
    </xf>
    <xf numFmtId="0" fontId="62" fillId="0" borderId="0" xfId="0" applyFont="1" applyAlignment="1">
      <alignment wrapText="1"/>
    </xf>
    <xf numFmtId="0" fontId="60" fillId="0" borderId="9" xfId="9" applyFont="1" applyFill="1" applyBorder="1" applyAlignment="1" applyProtection="1">
      <protection locked="0"/>
    </xf>
    <xf numFmtId="0" fontId="60" fillId="0" borderId="9" xfId="0" applyFont="1" applyBorder="1" applyAlignment="1"/>
    <xf numFmtId="0" fontId="60" fillId="0" borderId="6" xfId="9" applyFont="1" applyFill="1" applyBorder="1" applyAlignment="1" applyProtection="1">
      <protection locked="0"/>
    </xf>
    <xf numFmtId="0" fontId="60" fillId="0" borderId="6" xfId="0" applyFont="1" applyBorder="1" applyAlignment="1"/>
    <xf numFmtId="49" fontId="67" fillId="0" borderId="13" xfId="0" applyNumberFormat="1" applyFont="1" applyBorder="1" applyAlignment="1" applyProtection="1">
      <alignment horizontal="left" vertical="center" wrapText="1" indent="1"/>
    </xf>
    <xf numFmtId="0" fontId="62" fillId="0" borderId="14" xfId="0" applyFont="1" applyBorder="1" applyAlignment="1">
      <alignment horizontal="left" vertical="center" wrapText="1" indent="1"/>
    </xf>
    <xf numFmtId="49" fontId="88" fillId="6" borderId="19" xfId="0" applyNumberFormat="1" applyFont="1" applyFill="1" applyBorder="1" applyAlignment="1" applyProtection="1">
      <alignment horizontal="left" vertical="center" wrapText="1"/>
    </xf>
    <xf numFmtId="0" fontId="60" fillId="0" borderId="20" xfId="0" applyFont="1" applyBorder="1" applyAlignment="1">
      <alignment horizontal="left" vertical="center" wrapText="1"/>
    </xf>
    <xf numFmtId="0" fontId="60" fillId="0" borderId="11" xfId="0" applyFont="1" applyBorder="1" applyAlignment="1">
      <alignment horizontal="left" vertical="center" wrapText="1"/>
    </xf>
    <xf numFmtId="49" fontId="69" fillId="16" borderId="13" xfId="0" applyNumberFormat="1" applyFont="1" applyFill="1" applyBorder="1" applyAlignment="1" applyProtection="1">
      <alignment horizontal="left" vertical="center" wrapText="1" indent="1"/>
    </xf>
    <xf numFmtId="0" fontId="62" fillId="16" borderId="14" xfId="0" applyFont="1" applyFill="1" applyBorder="1" applyAlignment="1">
      <alignment horizontal="left" vertical="center" wrapText="1" indent="1"/>
    </xf>
    <xf numFmtId="49" fontId="69" fillId="6" borderId="13" xfId="0" applyNumberFormat="1" applyFont="1" applyFill="1" applyBorder="1" applyAlignment="1" applyProtection="1">
      <alignment horizontal="left" vertical="center" wrapText="1"/>
    </xf>
    <xf numFmtId="0" fontId="62" fillId="6" borderId="14" xfId="0" applyFont="1" applyFill="1" applyBorder="1" applyAlignment="1">
      <alignment horizontal="left" vertical="center" wrapText="1"/>
    </xf>
    <xf numFmtId="49" fontId="69" fillId="16" borderId="13" xfId="0" applyNumberFormat="1" applyFont="1" applyFill="1" applyBorder="1" applyAlignment="1" applyProtection="1">
      <alignment horizontal="left" vertical="center" indent="1"/>
    </xf>
    <xf numFmtId="0" fontId="62" fillId="16" borderId="14" xfId="0" applyFont="1" applyFill="1" applyBorder="1" applyAlignment="1">
      <alignment horizontal="left" vertical="center" indent="1"/>
    </xf>
    <xf numFmtId="0" fontId="70" fillId="12" borderId="13" xfId="9" applyFont="1" applyFill="1" applyBorder="1" applyAlignment="1">
      <alignment horizontal="center" vertical="center"/>
    </xf>
    <xf numFmtId="0" fontId="62" fillId="12" borderId="14" xfId="0" applyFont="1" applyFill="1" applyBorder="1" applyAlignment="1">
      <alignment horizontal="center" vertical="center"/>
    </xf>
    <xf numFmtId="0" fontId="69" fillId="6" borderId="13" xfId="0" applyFont="1" applyFill="1" applyBorder="1" applyAlignment="1" applyProtection="1">
      <alignment horizontal="left" vertical="center" wrapText="1"/>
    </xf>
    <xf numFmtId="49" fontId="70" fillId="12" borderId="13" xfId="0" applyNumberFormat="1" applyFont="1" applyFill="1" applyBorder="1" applyAlignment="1" applyProtection="1">
      <alignment horizontal="center" vertical="center"/>
    </xf>
    <xf numFmtId="49" fontId="78" fillId="6" borderId="19" xfId="0" applyNumberFormat="1" applyFont="1" applyFill="1" applyBorder="1" applyAlignment="1" applyProtection="1">
      <alignment horizontal="left" vertical="center" wrapText="1"/>
    </xf>
    <xf numFmtId="0" fontId="62" fillId="0" borderId="20" xfId="0" applyFont="1" applyBorder="1" applyAlignment="1">
      <alignment horizontal="left" vertical="center" wrapText="1"/>
    </xf>
    <xf numFmtId="0" fontId="62" fillId="0" borderId="11" xfId="0" applyFont="1" applyBorder="1" applyAlignment="1">
      <alignment horizontal="left" vertical="center" wrapText="1"/>
    </xf>
    <xf numFmtId="164" fontId="69" fillId="6" borderId="13" xfId="0" applyNumberFormat="1" applyFont="1" applyFill="1" applyBorder="1" applyAlignment="1" applyProtection="1">
      <alignment horizontal="left" vertical="center" wrapText="1"/>
    </xf>
    <xf numFmtId="49" fontId="69" fillId="0" borderId="13" xfId="0" applyNumberFormat="1" applyFont="1" applyBorder="1" applyAlignment="1" applyProtection="1">
      <alignment horizontal="center" vertical="center" wrapText="1"/>
    </xf>
    <xf numFmtId="49" fontId="69" fillId="0" borderId="14" xfId="0" applyNumberFormat="1" applyFont="1" applyBorder="1" applyAlignment="1" applyProtection="1">
      <alignment horizontal="center" vertical="center" wrapText="1"/>
    </xf>
    <xf numFmtId="49" fontId="69" fillId="6" borderId="13" xfId="0" applyNumberFormat="1" applyFont="1" applyFill="1" applyBorder="1" applyAlignment="1" applyProtection="1">
      <alignment horizontal="left" vertical="center"/>
    </xf>
    <xf numFmtId="49" fontId="69" fillId="6" borderId="14" xfId="0" applyNumberFormat="1" applyFont="1" applyFill="1" applyBorder="1" applyAlignment="1" applyProtection="1">
      <alignment horizontal="left" vertical="center"/>
    </xf>
    <xf numFmtId="0" fontId="70" fillId="12" borderId="46" xfId="0" applyFont="1" applyFill="1" applyBorder="1" applyAlignment="1" applyProtection="1">
      <alignment horizontal="left" vertical="center" wrapText="1"/>
    </xf>
    <xf numFmtId="0" fontId="62" fillId="12" borderId="6" xfId="0" applyFont="1" applyFill="1" applyBorder="1" applyAlignment="1">
      <alignment horizontal="left" wrapText="1"/>
    </xf>
    <xf numFmtId="0" fontId="62" fillId="12" borderId="7" xfId="0" applyFont="1" applyFill="1" applyBorder="1" applyAlignment="1">
      <alignment horizontal="left" wrapText="1"/>
    </xf>
    <xf numFmtId="0" fontId="67" fillId="0" borderId="46" xfId="0" applyFont="1" applyBorder="1" applyAlignment="1" applyProtection="1">
      <alignment horizontal="left" vertical="center" wrapText="1" indent="1"/>
    </xf>
    <xf numFmtId="0" fontId="67" fillId="0" borderId="6" xfId="0" applyFont="1" applyBorder="1" applyAlignment="1" applyProtection="1">
      <alignment horizontal="left" vertical="center" wrapText="1" indent="1"/>
    </xf>
    <xf numFmtId="0" fontId="62" fillId="0" borderId="7" xfId="0" applyFont="1" applyBorder="1" applyAlignment="1">
      <alignment horizontal="left" wrapText="1" indent="1"/>
    </xf>
    <xf numFmtId="0" fontId="67" fillId="0" borderId="7" xfId="0" applyFont="1" applyBorder="1" applyAlignment="1">
      <alignment horizontal="left" wrapText="1" indent="1"/>
    </xf>
    <xf numFmtId="0" fontId="99" fillId="0" borderId="5" xfId="0" applyFont="1" applyBorder="1" applyAlignment="1" applyProtection="1">
      <alignment horizontal="left" wrapText="1" indent="2"/>
    </xf>
    <xf numFmtId="0" fontId="67" fillId="0" borderId="0" xfId="0" applyFont="1" applyAlignment="1">
      <alignment horizontal="left" wrapText="1"/>
    </xf>
    <xf numFmtId="0" fontId="67" fillId="0" borderId="5" xfId="0" applyFont="1" applyBorder="1" applyAlignment="1">
      <alignment horizontal="left" wrapText="1"/>
    </xf>
    <xf numFmtId="0" fontId="67" fillId="0" borderId="9" xfId="0" applyFont="1" applyBorder="1" applyAlignment="1" applyProtection="1">
      <alignment horizontal="left" vertical="center" wrapText="1" indent="1"/>
    </xf>
    <xf numFmtId="0" fontId="62" fillId="0" borderId="59" xfId="0" applyFont="1" applyBorder="1" applyAlignment="1">
      <alignment horizontal="left" wrapText="1" indent="1"/>
    </xf>
    <xf numFmtId="0" fontId="67" fillId="0" borderId="147" xfId="0" applyFont="1" applyBorder="1" applyAlignment="1" applyProtection="1">
      <alignment horizontal="left" vertical="center" wrapText="1" indent="1"/>
    </xf>
    <xf numFmtId="0" fontId="67" fillId="0" borderId="148" xfId="0" applyFont="1" applyBorder="1" applyAlignment="1" applyProtection="1">
      <alignment horizontal="left" vertical="center" wrapText="1" indent="1"/>
    </xf>
    <xf numFmtId="0" fontId="67" fillId="0" borderId="6" xfId="0" applyFont="1" applyBorder="1" applyAlignment="1" applyProtection="1">
      <alignment horizontal="left" vertical="center" indent="1"/>
    </xf>
    <xf numFmtId="0" fontId="62" fillId="0" borderId="6" xfId="0" applyFont="1" applyBorder="1" applyAlignment="1">
      <alignment horizontal="left" indent="1"/>
    </xf>
    <xf numFmtId="0" fontId="62" fillId="0" borderId="7" xfId="0" applyFont="1" applyBorder="1" applyAlignment="1">
      <alignment horizontal="left" indent="1"/>
    </xf>
    <xf numFmtId="0" fontId="62" fillId="0" borderId="6" xfId="0" applyFont="1" applyBorder="1" applyAlignment="1" applyProtection="1">
      <alignment horizontal="left" vertical="center" wrapText="1" indent="1"/>
    </xf>
    <xf numFmtId="0" fontId="62" fillId="0" borderId="7" xfId="0" applyFont="1" applyBorder="1" applyAlignment="1" applyProtection="1">
      <alignment horizontal="left" vertical="center" wrapText="1" indent="1"/>
    </xf>
    <xf numFmtId="49" fontId="69" fillId="0" borderId="66" xfId="0" applyNumberFormat="1" applyFont="1" applyFill="1" applyBorder="1" applyAlignment="1" applyProtection="1">
      <alignment horizontal="center" vertical="center" wrapText="1"/>
    </xf>
    <xf numFmtId="49" fontId="69" fillId="0" borderId="15" xfId="0" applyNumberFormat="1" applyFont="1" applyFill="1" applyBorder="1" applyAlignment="1" applyProtection="1">
      <alignment horizontal="center" vertical="center" wrapText="1"/>
    </xf>
    <xf numFmtId="0" fontId="62" fillId="0" borderId="67" xfId="0" applyFont="1" applyFill="1" applyBorder="1" applyAlignment="1">
      <alignment wrapText="1"/>
    </xf>
    <xf numFmtId="0" fontId="69" fillId="0" borderId="46" xfId="0" applyFont="1" applyBorder="1" applyAlignment="1" applyProtection="1">
      <alignment horizontal="left" vertical="center" wrapText="1"/>
    </xf>
    <xf numFmtId="0" fontId="69" fillId="0" borderId="6" xfId="0" applyFont="1" applyBorder="1" applyAlignment="1" applyProtection="1">
      <alignment horizontal="left" vertical="center" wrapText="1"/>
    </xf>
    <xf numFmtId="0" fontId="62" fillId="0" borderId="6" xfId="0" applyFont="1" applyBorder="1" applyAlignment="1">
      <alignment wrapText="1"/>
    </xf>
    <xf numFmtId="0" fontId="69" fillId="6" borderId="5" xfId="0" applyFont="1" applyFill="1" applyBorder="1" applyAlignment="1" applyProtection="1">
      <alignment horizontal="left" vertical="center" wrapText="1"/>
    </xf>
    <xf numFmtId="0" fontId="69" fillId="6" borderId="0" xfId="0" applyFont="1" applyFill="1" applyBorder="1" applyAlignment="1" applyProtection="1">
      <alignment horizontal="left" vertical="center" wrapText="1"/>
    </xf>
    <xf numFmtId="0" fontId="69" fillId="6" borderId="87" xfId="0" applyFont="1" applyFill="1" applyBorder="1" applyAlignment="1" applyProtection="1">
      <alignment horizontal="left" vertical="center" wrapText="1"/>
    </xf>
    <xf numFmtId="0" fontId="69" fillId="6" borderId="88" xfId="0" applyFont="1" applyFill="1" applyBorder="1" applyAlignment="1" applyProtection="1">
      <alignment horizontal="left" vertical="center" wrapText="1"/>
    </xf>
    <xf numFmtId="0" fontId="62" fillId="0" borderId="88" xfId="0" applyFont="1" applyBorder="1" applyAlignment="1">
      <alignment wrapText="1"/>
    </xf>
    <xf numFmtId="0" fontId="69" fillId="16" borderId="54" xfId="0" applyFont="1" applyFill="1" applyBorder="1" applyAlignment="1" applyProtection="1">
      <alignment horizontal="left" vertical="center" indent="1"/>
    </xf>
    <xf numFmtId="0" fontId="69" fillId="16" borderId="57" xfId="0" applyFont="1" applyFill="1" applyBorder="1" applyAlignment="1" applyProtection="1">
      <alignment horizontal="left" vertical="center" indent="1"/>
    </xf>
    <xf numFmtId="0" fontId="69" fillId="16" borderId="61" xfId="0" applyFont="1" applyFill="1" applyBorder="1" applyAlignment="1" applyProtection="1">
      <alignment horizontal="left" vertical="center" indent="1"/>
    </xf>
    <xf numFmtId="0" fontId="69" fillId="16" borderId="147" xfId="0" applyFont="1" applyFill="1" applyBorder="1" applyAlignment="1" applyProtection="1">
      <alignment horizontal="left" vertical="center" indent="1"/>
    </xf>
    <xf numFmtId="0" fontId="69" fillId="16" borderId="146" xfId="0" applyFont="1" applyFill="1" applyBorder="1" applyAlignment="1" applyProtection="1">
      <alignment horizontal="left" vertical="center" indent="1"/>
    </xf>
    <xf numFmtId="0" fontId="69" fillId="3" borderId="147" xfId="0" applyFont="1" applyFill="1" applyBorder="1" applyAlignment="1" applyProtection="1">
      <alignment horizontal="left" vertical="center"/>
    </xf>
    <xf numFmtId="0" fontId="69" fillId="3" borderId="148" xfId="0" applyFont="1" applyFill="1" applyBorder="1" applyAlignment="1" applyProtection="1">
      <alignment horizontal="left" vertical="center"/>
    </xf>
    <xf numFmtId="0" fontId="102" fillId="0" borderId="9" xfId="0" applyFont="1" applyBorder="1" applyAlignment="1">
      <alignment horizontal="left" vertical="center" wrapText="1" indent="1"/>
    </xf>
    <xf numFmtId="0" fontId="62" fillId="0" borderId="9" xfId="0" applyFont="1" applyBorder="1" applyAlignment="1">
      <alignment horizontal="left" vertical="center" wrapText="1" indent="1"/>
    </xf>
    <xf numFmtId="0" fontId="70" fillId="23" borderId="146" xfId="0" applyFont="1" applyFill="1" applyBorder="1" applyAlignment="1" applyProtection="1">
      <alignment horizontal="left" vertical="center" indent="1"/>
    </xf>
    <xf numFmtId="0" fontId="70" fillId="23" borderId="147" xfId="0" applyFont="1" applyFill="1" applyBorder="1" applyAlignment="1" applyProtection="1">
      <alignment horizontal="left" vertical="center" indent="1"/>
    </xf>
    <xf numFmtId="0" fontId="70" fillId="23" borderId="148" xfId="0" applyFont="1" applyFill="1" applyBorder="1" applyAlignment="1" applyProtection="1">
      <alignment horizontal="left" vertical="center" indent="1"/>
    </xf>
    <xf numFmtId="0" fontId="73" fillId="6" borderId="89" xfId="10" applyFont="1" applyFill="1" applyBorder="1" applyAlignment="1">
      <alignment horizontal="center" vertical="center"/>
    </xf>
    <xf numFmtId="0" fontId="103" fillId="0" borderId="90" xfId="0" applyFont="1" applyBorder="1" applyAlignment="1">
      <alignment horizontal="center" vertical="center"/>
    </xf>
    <xf numFmtId="0" fontId="103" fillId="0" borderId="91" xfId="0" applyFont="1" applyBorder="1" applyAlignment="1">
      <alignment horizontal="center" vertical="center"/>
    </xf>
    <xf numFmtId="0" fontId="70" fillId="23" borderId="92" xfId="10" applyFont="1" applyFill="1" applyBorder="1" applyAlignment="1">
      <alignment horizontal="center" vertical="center" wrapText="1"/>
    </xf>
    <xf numFmtId="0" fontId="70" fillId="23" borderId="25" xfId="0" applyFont="1" applyFill="1" applyBorder="1" applyAlignment="1">
      <alignment horizontal="center" vertical="center" wrapText="1"/>
    </xf>
    <xf numFmtId="0" fontId="70" fillId="23" borderId="93" xfId="0" applyFont="1" applyFill="1" applyBorder="1" applyAlignment="1">
      <alignment horizontal="center" vertical="center" wrapText="1"/>
    </xf>
    <xf numFmtId="0" fontId="135" fillId="23" borderId="94" xfId="10" applyFont="1" applyFill="1" applyBorder="1" applyAlignment="1">
      <alignment horizontal="center" vertical="center"/>
    </xf>
    <xf numFmtId="0" fontId="60" fillId="23" borderId="47" xfId="0" applyFont="1" applyFill="1" applyBorder="1" applyAlignment="1">
      <alignment horizontal="center" vertical="center"/>
    </xf>
    <xf numFmtId="0" fontId="60" fillId="23" borderId="95" xfId="0" applyFont="1" applyFill="1" applyBorder="1" applyAlignment="1">
      <alignment horizontal="center" vertical="center"/>
    </xf>
    <xf numFmtId="0" fontId="85" fillId="0" borderId="74" xfId="10" applyFont="1" applyBorder="1" applyAlignment="1">
      <alignment horizontal="center"/>
    </xf>
    <xf numFmtId="0" fontId="62" fillId="0" borderId="74" xfId="0" applyFont="1" applyBorder="1" applyAlignment="1">
      <alignment horizontal="center"/>
    </xf>
    <xf numFmtId="0" fontId="132" fillId="0" borderId="96" xfId="17" applyFont="1" applyBorder="1" applyAlignment="1">
      <alignment horizontal="left" vertical="top" wrapText="1"/>
    </xf>
    <xf numFmtId="0" fontId="132" fillId="0" borderId="0" xfId="17" applyFont="1" applyBorder="1" applyAlignment="1">
      <alignment horizontal="left" vertical="top" wrapText="1"/>
    </xf>
    <xf numFmtId="0" fontId="132" fillId="0" borderId="97" xfId="17" applyFont="1" applyBorder="1" applyAlignment="1">
      <alignment horizontal="left" vertical="top" wrapText="1"/>
    </xf>
    <xf numFmtId="0" fontId="131" fillId="23" borderId="140" xfId="17" applyFont="1" applyFill="1" applyBorder="1" applyAlignment="1">
      <alignment horizontal="center" vertical="center"/>
    </xf>
    <xf numFmtId="0" fontId="131" fillId="23" borderId="141" xfId="17" applyFont="1" applyFill="1" applyBorder="1" applyAlignment="1">
      <alignment horizontal="center" vertical="center"/>
    </xf>
    <xf numFmtId="0" fontId="131" fillId="23" borderId="142" xfId="17" applyFont="1" applyFill="1" applyBorder="1" applyAlignment="1">
      <alignment horizontal="center" vertical="center"/>
    </xf>
    <xf numFmtId="0" fontId="131" fillId="23" borderId="98" xfId="17" applyFont="1" applyFill="1" applyBorder="1" applyAlignment="1">
      <alignment horizontal="center" vertical="center"/>
    </xf>
    <xf numFmtId="0" fontId="131" fillId="23" borderId="78" xfId="17" applyFont="1" applyFill="1" applyBorder="1" applyAlignment="1">
      <alignment horizontal="center" vertical="center"/>
    </xf>
    <xf numFmtId="0" fontId="131" fillId="23" borderId="99" xfId="17" applyFont="1" applyFill="1" applyBorder="1" applyAlignment="1">
      <alignment horizontal="center" vertical="center"/>
    </xf>
    <xf numFmtId="0" fontId="132" fillId="0" borderId="96" xfId="17" applyFont="1" applyBorder="1" applyAlignment="1">
      <alignment vertical="top" wrapText="1"/>
    </xf>
    <xf numFmtId="0" fontId="132" fillId="0" borderId="0" xfId="17" applyFont="1" applyBorder="1" applyAlignment="1">
      <alignment vertical="top" wrapText="1"/>
    </xf>
    <xf numFmtId="0" fontId="132" fillId="0" borderId="97" xfId="17" applyFont="1" applyBorder="1" applyAlignment="1">
      <alignment vertical="top" wrapText="1"/>
    </xf>
    <xf numFmtId="0" fontId="132" fillId="0" borderId="96" xfId="17" applyFont="1" applyBorder="1" applyAlignment="1">
      <alignment vertical="top"/>
    </xf>
    <xf numFmtId="0" fontId="132" fillId="0" borderId="0" xfId="17" applyFont="1" applyBorder="1" applyAlignment="1">
      <alignment vertical="top"/>
    </xf>
    <xf numFmtId="0" fontId="132" fillId="0" borderId="97" xfId="17" applyFont="1" applyBorder="1" applyAlignment="1">
      <alignment vertical="top"/>
    </xf>
    <xf numFmtId="0" fontId="69" fillId="0" borderId="12" xfId="0" applyFont="1" applyFill="1" applyBorder="1" applyAlignment="1" applyProtection="1">
      <alignment horizontal="left" vertical="center" wrapText="1"/>
    </xf>
    <xf numFmtId="0" fontId="62" fillId="0" borderId="16" xfId="0" applyFont="1" applyBorder="1" applyAlignment="1">
      <alignment horizontal="left" vertical="center" wrapText="1"/>
    </xf>
    <xf numFmtId="0" fontId="62" fillId="0" borderId="10" xfId="0" applyFont="1" applyBorder="1" applyAlignment="1">
      <alignment horizontal="left" vertical="center" wrapText="1"/>
    </xf>
    <xf numFmtId="0" fontId="69" fillId="0" borderId="20" xfId="0" applyFont="1" applyBorder="1" applyAlignment="1">
      <alignment horizontal="center" vertical="center"/>
    </xf>
    <xf numFmtId="0" fontId="67" fillId="0" borderId="11" xfId="0" applyFont="1" applyBorder="1" applyAlignment="1">
      <alignment horizontal="center" vertical="center"/>
    </xf>
    <xf numFmtId="0" fontId="67" fillId="19" borderId="13" xfId="0" applyFont="1" applyFill="1" applyBorder="1" applyAlignment="1" applyProtection="1">
      <alignment horizontal="left" vertical="center" wrapText="1" indent="1"/>
    </xf>
    <xf numFmtId="0" fontId="62" fillId="19" borderId="21" xfId="0" applyFont="1" applyFill="1" applyBorder="1" applyAlignment="1">
      <alignment horizontal="left" vertical="center" wrapText="1" indent="1"/>
    </xf>
    <xf numFmtId="0" fontId="62" fillId="19" borderId="14" xfId="0" applyFont="1" applyFill="1" applyBorder="1" applyAlignment="1">
      <alignment horizontal="left" vertical="center" wrapText="1" indent="1"/>
    </xf>
    <xf numFmtId="0" fontId="54" fillId="0" borderId="98" xfId="18" applyFont="1" applyBorder="1" applyAlignment="1" applyProtection="1">
      <alignment vertical="top" wrapText="1"/>
      <protection locked="0"/>
    </xf>
    <xf numFmtId="0" fontId="54" fillId="0" borderId="78" xfId="18" applyFont="1" applyBorder="1" applyAlignment="1" applyProtection="1">
      <alignment vertical="top" wrapText="1"/>
      <protection locked="0"/>
    </xf>
    <xf numFmtId="0" fontId="54" fillId="0" borderId="99" xfId="18" applyFont="1" applyBorder="1" applyAlignment="1" applyProtection="1">
      <alignment vertical="top" wrapText="1"/>
      <protection locked="0"/>
    </xf>
    <xf numFmtId="0" fontId="9" fillId="0" borderId="96" xfId="18" applyFont="1" applyBorder="1" applyAlignment="1" applyProtection="1">
      <alignment vertical="top" wrapText="1"/>
      <protection locked="0"/>
    </xf>
    <xf numFmtId="0" fontId="9" fillId="0" borderId="0" xfId="18" applyFont="1" applyBorder="1" applyAlignment="1" applyProtection="1">
      <alignment vertical="top" wrapText="1"/>
      <protection locked="0"/>
    </xf>
    <xf numFmtId="0" fontId="9" fillId="0" borderId="97" xfId="18" applyFont="1" applyBorder="1" applyAlignment="1" applyProtection="1">
      <alignment vertical="top" wrapText="1"/>
      <protection locked="0"/>
    </xf>
    <xf numFmtId="0" fontId="9" fillId="0" borderId="98" xfId="18" applyFont="1" applyBorder="1" applyAlignment="1" applyProtection="1">
      <alignment vertical="top" wrapText="1"/>
      <protection locked="0"/>
    </xf>
    <xf numFmtId="0" fontId="9" fillId="0" borderId="78" xfId="18" applyFont="1" applyBorder="1" applyAlignment="1" applyProtection="1">
      <alignment vertical="top" wrapText="1"/>
      <protection locked="0"/>
    </xf>
    <xf numFmtId="0" fontId="9" fillId="0" borderId="99" xfId="18" applyFont="1" applyBorder="1" applyAlignment="1" applyProtection="1">
      <alignment vertical="top" wrapText="1"/>
      <protection locked="0"/>
    </xf>
    <xf numFmtId="0" fontId="54" fillId="0" borderId="141" xfId="18" applyFont="1" applyBorder="1" applyAlignment="1" applyProtection="1">
      <alignment horizontal="center" vertical="top" wrapText="1"/>
      <protection locked="0"/>
    </xf>
    <xf numFmtId="0" fontId="54" fillId="0" borderId="142" xfId="18" applyFont="1" applyBorder="1" applyAlignment="1" applyProtection="1">
      <alignment horizontal="center" vertical="top" wrapText="1"/>
      <protection locked="0"/>
    </xf>
    <xf numFmtId="0" fontId="54" fillId="0" borderId="96" xfId="18" applyFont="1" applyBorder="1" applyAlignment="1" applyProtection="1">
      <alignment vertical="top" wrapText="1"/>
      <protection locked="0"/>
    </xf>
    <xf numFmtId="0" fontId="54" fillId="0" borderId="0" xfId="18" applyFont="1" applyBorder="1" applyAlignment="1" applyProtection="1">
      <alignment vertical="top" wrapText="1"/>
      <protection locked="0"/>
    </xf>
    <xf numFmtId="0" fontId="54" fillId="0" borderId="97" xfId="18" applyFont="1" applyBorder="1" applyAlignment="1" applyProtection="1">
      <alignment vertical="top" wrapText="1"/>
      <protection locked="0"/>
    </xf>
    <xf numFmtId="0" fontId="106" fillId="23" borderId="0" xfId="18" applyFont="1" applyFill="1" applyAlignment="1">
      <alignment horizontal="center" vertical="center"/>
    </xf>
    <xf numFmtId="0" fontId="78" fillId="0" borderId="137" xfId="18" applyFont="1" applyFill="1" applyBorder="1" applyAlignment="1">
      <alignment horizontal="left" vertical="top" wrapText="1"/>
    </xf>
    <xf numFmtId="0" fontId="78" fillId="0" borderId="0" xfId="18" applyFont="1" applyFill="1" applyBorder="1" applyAlignment="1">
      <alignment horizontal="left" vertical="top" wrapText="1"/>
    </xf>
    <xf numFmtId="0" fontId="112" fillId="0" borderId="0" xfId="18" applyFont="1" applyAlignment="1">
      <alignment wrapText="1"/>
    </xf>
    <xf numFmtId="0" fontId="56" fillId="0" borderId="0" xfId="18" applyFont="1" applyAlignment="1">
      <alignment horizontal="center" vertical="center" wrapText="1"/>
    </xf>
    <xf numFmtId="174" fontId="56" fillId="0" borderId="78" xfId="18" applyNumberFormat="1" applyFont="1" applyBorder="1" applyAlignment="1">
      <alignment horizontal="center" vertical="center" wrapText="1"/>
    </xf>
    <xf numFmtId="0" fontId="9" fillId="0" borderId="141" xfId="18" applyFont="1" applyBorder="1" applyAlignment="1" applyProtection="1">
      <alignment horizontal="center" vertical="top" wrapText="1"/>
      <protection locked="0"/>
    </xf>
    <xf numFmtId="0" fontId="9" fillId="0" borderId="142" xfId="18" applyFont="1" applyBorder="1" applyAlignment="1" applyProtection="1">
      <alignment horizontal="center" vertical="top" wrapText="1"/>
      <protection locked="0"/>
    </xf>
    <xf numFmtId="0" fontId="67" fillId="0" borderId="5" xfId="3" quotePrefix="1" applyNumberFormat="1" applyFont="1" applyBorder="1" applyAlignment="1">
      <alignment horizontal="left" vertical="top" wrapText="1" indent="2"/>
    </xf>
    <xf numFmtId="0" fontId="67" fillId="0" borderId="0" xfId="3" quotePrefix="1" applyNumberFormat="1" applyFont="1" applyBorder="1" applyAlignment="1">
      <alignment horizontal="left" vertical="top" wrapText="1" indent="2"/>
    </xf>
    <xf numFmtId="0" fontId="67" fillId="0" borderId="0" xfId="3" applyNumberFormat="1" applyFont="1" applyBorder="1" applyAlignment="1">
      <alignment horizontal="left" vertical="top" wrapText="1" indent="2"/>
    </xf>
    <xf numFmtId="0" fontId="62" fillId="0" borderId="0" xfId="3" applyFont="1" applyAlignment="1">
      <alignment horizontal="left" vertical="top" wrapText="1" indent="2"/>
    </xf>
    <xf numFmtId="0" fontId="67" fillId="0" borderId="0" xfId="3" applyNumberFormat="1" applyFont="1" applyAlignment="1">
      <alignment horizontal="left" vertical="top" wrapText="1" indent="2"/>
    </xf>
    <xf numFmtId="0" fontId="60" fillId="0" borderId="20" xfId="3" applyNumberFormat="1" applyFont="1" applyBorder="1" applyAlignment="1">
      <alignment horizontal="left" vertical="center" indent="1"/>
    </xf>
    <xf numFmtId="0" fontId="60" fillId="0" borderId="20" xfId="3" applyNumberFormat="1" applyFont="1" applyBorder="1" applyAlignment="1">
      <alignment horizontal="left" vertical="center"/>
    </xf>
    <xf numFmtId="0" fontId="60" fillId="23" borderId="17" xfId="3" applyNumberFormat="1" applyFont="1" applyFill="1" applyBorder="1" applyAlignment="1">
      <alignment horizontal="left" vertical="top" wrapText="1"/>
    </xf>
    <xf numFmtId="0" fontId="60" fillId="23" borderId="0" xfId="3" applyFont="1" applyFill="1" applyBorder="1" applyAlignment="1">
      <alignment vertical="top"/>
    </xf>
    <xf numFmtId="0" fontId="60" fillId="23" borderId="18" xfId="3" applyFont="1" applyFill="1" applyBorder="1" applyAlignment="1">
      <alignment vertical="top"/>
    </xf>
    <xf numFmtId="166" fontId="60" fillId="0" borderId="21" xfId="3" applyNumberFormat="1" applyFont="1" applyBorder="1" applyAlignment="1">
      <alignment horizontal="left" vertical="center" indent="1"/>
    </xf>
    <xf numFmtId="0" fontId="69" fillId="0" borderId="19" xfId="3" applyNumberFormat="1" applyFont="1" applyBorder="1" applyAlignment="1">
      <alignment horizontal="center" vertical="center"/>
    </xf>
    <xf numFmtId="0" fontId="62" fillId="0" borderId="20" xfId="3" applyFont="1" applyBorder="1" applyAlignment="1">
      <alignment horizontal="center" vertical="center"/>
    </xf>
    <xf numFmtId="0" fontId="62" fillId="0" borderId="11" xfId="3" applyFont="1" applyBorder="1" applyAlignment="1">
      <alignment horizontal="center" vertical="center"/>
    </xf>
    <xf numFmtId="0" fontId="67" fillId="0" borderId="21" xfId="3" applyNumberFormat="1" applyFont="1" applyBorder="1" applyAlignment="1">
      <alignment horizontal="left" vertical="center" wrapText="1"/>
    </xf>
    <xf numFmtId="0" fontId="62" fillId="0" borderId="21" xfId="3" applyFont="1" applyBorder="1" applyAlignment="1">
      <alignment horizontal="left" vertical="center" wrapText="1"/>
    </xf>
    <xf numFmtId="0" fontId="62" fillId="0" borderId="14" xfId="3" applyFont="1" applyBorder="1" applyAlignment="1">
      <alignment horizontal="left" vertical="center" wrapText="1"/>
    </xf>
    <xf numFmtId="0" fontId="69" fillId="0" borderId="21" xfId="3" applyNumberFormat="1" applyFont="1" applyBorder="1" applyAlignment="1">
      <alignment vertical="center"/>
    </xf>
    <xf numFmtId="0" fontId="69" fillId="0" borderId="14" xfId="3" applyNumberFormat="1" applyFont="1" applyBorder="1" applyAlignment="1">
      <alignment vertical="center"/>
    </xf>
    <xf numFmtId="0" fontId="78" fillId="0" borderId="133" xfId="3" applyFont="1" applyBorder="1" applyAlignment="1">
      <alignment horizontal="center" vertical="center" wrapText="1"/>
    </xf>
    <xf numFmtId="0" fontId="78" fillId="0" borderId="133" xfId="3" applyNumberFormat="1" applyFont="1" applyBorder="1" applyAlignment="1">
      <alignment horizontal="center"/>
    </xf>
    <xf numFmtId="0" fontId="62" fillId="0" borderId="134" xfId="3" applyNumberFormat="1" applyFont="1" applyBorder="1" applyAlignment="1" applyProtection="1">
      <alignment horizontal="center"/>
      <protection locked="0"/>
    </xf>
    <xf numFmtId="171" fontId="62" fillId="0" borderId="134" xfId="3" applyNumberFormat="1" applyFont="1" applyBorder="1" applyAlignment="1" applyProtection="1">
      <alignment horizontal="center"/>
      <protection locked="0"/>
    </xf>
    <xf numFmtId="0" fontId="62" fillId="0" borderId="134" xfId="3" applyNumberFormat="1" applyFont="1" applyBorder="1" applyAlignment="1" applyProtection="1">
      <alignment horizontal="center" vertical="center"/>
      <protection locked="0"/>
    </xf>
    <xf numFmtId="0" fontId="88" fillId="0" borderId="0" xfId="0" applyFont="1" applyAlignment="1">
      <alignment vertical="top" wrapText="1"/>
    </xf>
    <xf numFmtId="0" fontId="70" fillId="12" borderId="13" xfId="3" applyFont="1" applyFill="1" applyBorder="1" applyAlignment="1">
      <alignment horizontal="center" vertical="center" wrapText="1"/>
    </xf>
    <xf numFmtId="0" fontId="70" fillId="12" borderId="21" xfId="3" applyFont="1" applyFill="1" applyBorder="1" applyAlignment="1">
      <alignment horizontal="center" vertical="center" wrapText="1"/>
    </xf>
    <xf numFmtId="0" fontId="70" fillId="12" borderId="14" xfId="3" applyFont="1" applyFill="1" applyBorder="1" applyAlignment="1">
      <alignment horizontal="center" vertical="center" wrapText="1"/>
    </xf>
    <xf numFmtId="0" fontId="62" fillId="0" borderId="0" xfId="3" applyFont="1" applyBorder="1" applyAlignment="1">
      <alignment wrapText="1"/>
    </xf>
    <xf numFmtId="0" fontId="114" fillId="0" borderId="112" xfId="3" applyFont="1" applyBorder="1" applyAlignment="1">
      <alignment horizontal="center" vertical="center" wrapText="1"/>
    </xf>
    <xf numFmtId="0" fontId="114" fillId="0" borderId="0" xfId="3" applyFont="1" applyBorder="1" applyAlignment="1">
      <alignment horizontal="center" vertical="center" wrapText="1"/>
    </xf>
    <xf numFmtId="0" fontId="114" fillId="0" borderId="113" xfId="3" applyFont="1" applyBorder="1" applyAlignment="1">
      <alignment horizontal="center" vertical="center" wrapText="1"/>
    </xf>
    <xf numFmtId="0" fontId="114" fillId="0" borderId="114" xfId="3" applyFont="1" applyBorder="1" applyAlignment="1">
      <alignment horizontal="center" vertical="center" wrapText="1"/>
    </xf>
    <xf numFmtId="0" fontId="114" fillId="0" borderId="115" xfId="3" applyFont="1" applyBorder="1" applyAlignment="1">
      <alignment horizontal="center" vertical="center" wrapText="1"/>
    </xf>
    <xf numFmtId="0" fontId="114" fillId="0" borderId="116" xfId="3" applyFont="1" applyBorder="1" applyAlignment="1">
      <alignment horizontal="center" vertical="center" wrapText="1"/>
    </xf>
    <xf numFmtId="0" fontId="115" fillId="0" borderId="13" xfId="3" applyNumberFormat="1" applyFont="1" applyBorder="1" applyAlignment="1">
      <alignment vertical="top" wrapText="1"/>
    </xf>
    <xf numFmtId="0" fontId="115" fillId="0" borderId="21" xfId="3" applyNumberFormat="1" applyFont="1" applyBorder="1" applyAlignment="1">
      <alignment vertical="top" wrapText="1"/>
    </xf>
    <xf numFmtId="0" fontId="115" fillId="0" borderId="14" xfId="3" applyNumberFormat="1" applyFont="1" applyBorder="1" applyAlignment="1">
      <alignment vertical="top" wrapText="1"/>
    </xf>
    <xf numFmtId="0" fontId="60" fillId="0" borderId="12" xfId="3" applyFont="1" applyBorder="1" applyAlignment="1">
      <alignment vertical="top" wrapText="1"/>
    </xf>
    <xf numFmtId="0" fontId="60" fillId="0" borderId="16" xfId="3" applyFont="1" applyBorder="1" applyAlignment="1">
      <alignment vertical="top" wrapText="1"/>
    </xf>
    <xf numFmtId="0" fontId="60" fillId="0" borderId="10" xfId="3" applyFont="1" applyBorder="1" applyAlignment="1">
      <alignment vertical="top" wrapText="1"/>
    </xf>
    <xf numFmtId="0" fontId="70" fillId="0" borderId="46" xfId="3" applyFont="1" applyBorder="1" applyAlignment="1">
      <alignment horizontal="center" vertical="center" wrapText="1"/>
    </xf>
    <xf numFmtId="0" fontId="70" fillId="0" borderId="6" xfId="3" applyFont="1" applyBorder="1" applyAlignment="1">
      <alignment horizontal="center" vertical="center" wrapText="1"/>
    </xf>
    <xf numFmtId="0" fontId="70" fillId="0" borderId="7" xfId="3" applyFont="1" applyBorder="1" applyAlignment="1">
      <alignment horizontal="center" vertical="center" wrapText="1"/>
    </xf>
    <xf numFmtId="0" fontId="88" fillId="0" borderId="5" xfId="3" applyFont="1" applyBorder="1" applyAlignment="1">
      <alignment vertical="top"/>
    </xf>
    <xf numFmtId="0" fontId="88" fillId="0" borderId="0" xfId="3" applyFont="1" applyBorder="1" applyAlignment="1">
      <alignment vertical="top"/>
    </xf>
    <xf numFmtId="0" fontId="88" fillId="0" borderId="40" xfId="3" applyFont="1" applyBorder="1" applyAlignment="1">
      <alignment vertical="top"/>
    </xf>
    <xf numFmtId="0" fontId="88" fillId="0" borderId="50" xfId="3" applyFont="1" applyBorder="1" applyAlignment="1">
      <alignment vertical="top"/>
    </xf>
    <xf numFmtId="0" fontId="88" fillId="0" borderId="9" xfId="3" applyFont="1" applyBorder="1" applyAlignment="1">
      <alignment vertical="top"/>
    </xf>
    <xf numFmtId="0" fontId="88" fillId="0" borderId="59" xfId="3" applyFont="1" applyBorder="1" applyAlignment="1">
      <alignment vertical="top"/>
    </xf>
    <xf numFmtId="0" fontId="117" fillId="12" borderId="125" xfId="0" applyFont="1" applyFill="1" applyBorder="1" applyAlignment="1">
      <alignment horizontal="center" vertical="center"/>
    </xf>
    <xf numFmtId="0" fontId="117" fillId="12" borderId="128" xfId="0" applyFont="1" applyFill="1" applyBorder="1" applyAlignment="1">
      <alignment horizontal="center" vertical="center"/>
    </xf>
    <xf numFmtId="0" fontId="117" fillId="12" borderId="153" xfId="0" applyFont="1" applyFill="1" applyBorder="1" applyAlignment="1">
      <alignment horizontal="center" vertical="center"/>
    </xf>
    <xf numFmtId="164" fontId="117" fillId="12" borderId="17" xfId="0" applyNumberFormat="1" applyFont="1" applyFill="1" applyBorder="1" applyAlignment="1">
      <alignment horizontal="center" vertical="center"/>
    </xf>
    <xf numFmtId="164" fontId="117" fillId="12" borderId="0" xfId="0" applyNumberFormat="1" applyFont="1" applyFill="1" applyBorder="1" applyAlignment="1">
      <alignment horizontal="center" vertical="center"/>
    </xf>
    <xf numFmtId="164" fontId="117" fillId="12" borderId="63" xfId="0" applyNumberFormat="1" applyFont="1" applyFill="1" applyBorder="1" applyAlignment="1">
      <alignment horizontal="center" vertical="center"/>
    </xf>
    <xf numFmtId="164" fontId="66" fillId="12" borderId="125" xfId="0" applyNumberFormat="1" applyFont="1" applyFill="1" applyBorder="1" applyAlignment="1">
      <alignment horizontal="center" vertical="top"/>
    </xf>
    <xf numFmtId="164" fontId="118" fillId="12" borderId="128" xfId="0" applyNumberFormat="1" applyFont="1" applyFill="1" applyBorder="1" applyAlignment="1">
      <alignment horizontal="center" vertical="top"/>
    </xf>
    <xf numFmtId="164" fontId="118" fillId="12" borderId="153" xfId="0" applyNumberFormat="1" applyFont="1" applyFill="1" applyBorder="1" applyAlignment="1">
      <alignment horizontal="center" vertical="top"/>
    </xf>
    <xf numFmtId="0" fontId="118" fillId="0" borderId="21" xfId="0" applyFont="1" applyBorder="1" applyAlignment="1">
      <alignment horizontal="left" vertical="top" wrapText="1"/>
    </xf>
    <xf numFmtId="0" fontId="60" fillId="0" borderId="14" xfId="0" applyFont="1" applyBorder="1" applyAlignment="1">
      <alignment horizontal="left" vertical="top" wrapText="1"/>
    </xf>
    <xf numFmtId="0" fontId="60" fillId="0" borderId="21" xfId="0" applyFont="1" applyBorder="1" applyAlignment="1">
      <alignment vertical="top" wrapText="1"/>
    </xf>
    <xf numFmtId="0" fontId="62" fillId="0" borderId="14" xfId="0" applyFont="1" applyBorder="1" applyAlignment="1">
      <alignment wrapText="1"/>
    </xf>
    <xf numFmtId="0" fontId="118" fillId="0" borderId="128" xfId="0" applyNumberFormat="1" applyFont="1" applyBorder="1" applyAlignment="1">
      <alignment horizontal="left" vertical="center" wrapText="1"/>
    </xf>
    <xf numFmtId="0" fontId="62" fillId="0" borderId="126" xfId="0" applyFont="1" applyBorder="1" applyAlignment="1">
      <alignment horizontal="left" vertical="center" wrapText="1"/>
    </xf>
    <xf numFmtId="0" fontId="118" fillId="0" borderId="0" xfId="0" applyNumberFormat="1" applyFont="1" applyBorder="1" applyAlignment="1">
      <alignment horizontal="left" vertical="center" wrapText="1"/>
    </xf>
    <xf numFmtId="0" fontId="60" fillId="0" borderId="18" xfId="0" applyFont="1" applyBorder="1" applyAlignment="1">
      <alignment vertical="center" wrapText="1"/>
    </xf>
    <xf numFmtId="0" fontId="118" fillId="0" borderId="21" xfId="0" applyNumberFormat="1" applyFont="1" applyBorder="1" applyAlignment="1">
      <alignment horizontal="left" vertical="center" wrapText="1"/>
    </xf>
    <xf numFmtId="0" fontId="60" fillId="0" borderId="14" xfId="0" applyFont="1" applyBorder="1" applyAlignment="1"/>
    <xf numFmtId="0" fontId="70" fillId="0" borderId="50" xfId="3" applyNumberFormat="1" applyFont="1" applyBorder="1" applyAlignment="1" applyProtection="1"/>
    <xf numFmtId="0" fontId="70" fillId="0" borderId="9" xfId="3" applyFont="1" applyBorder="1" applyAlignment="1" applyProtection="1"/>
    <xf numFmtId="0" fontId="70" fillId="0" borderId="59" xfId="3" applyFont="1" applyBorder="1" applyAlignment="1" applyProtection="1"/>
    <xf numFmtId="0" fontId="70" fillId="0" borderId="50" xfId="3" applyNumberFormat="1" applyFont="1" applyBorder="1" applyAlignment="1" applyProtection="1">
      <alignment horizontal="left" indent="1"/>
    </xf>
    <xf numFmtId="0" fontId="70" fillId="0" borderId="9" xfId="3" applyFont="1" applyBorder="1" applyAlignment="1" applyProtection="1">
      <alignment horizontal="left" indent="1"/>
    </xf>
    <xf numFmtId="0" fontId="70" fillId="0" borderId="59" xfId="3" applyNumberFormat="1" applyFont="1" applyBorder="1" applyAlignment="1" applyProtection="1">
      <alignment horizontal="left" indent="1"/>
    </xf>
    <xf numFmtId="0" fontId="70" fillId="0" borderId="5" xfId="3" applyFont="1" applyBorder="1" applyAlignment="1" applyProtection="1"/>
    <xf numFmtId="0" fontId="70" fillId="0" borderId="0" xfId="3" applyFont="1" applyBorder="1" applyAlignment="1" applyProtection="1"/>
    <xf numFmtId="0" fontId="70" fillId="0" borderId="40" xfId="3" applyFont="1" applyBorder="1" applyAlignment="1" applyProtection="1"/>
    <xf numFmtId="0" fontId="70" fillId="0" borderId="0" xfId="3" applyNumberFormat="1" applyFont="1" applyAlignment="1" applyProtection="1">
      <alignment horizontal="center"/>
    </xf>
    <xf numFmtId="0" fontId="70" fillId="0" borderId="50" xfId="3" applyNumberFormat="1" applyFont="1" applyBorder="1" applyAlignment="1" applyProtection="1">
      <alignment horizontal="left" indent="1"/>
      <protection locked="0"/>
    </xf>
    <xf numFmtId="0" fontId="70" fillId="0" borderId="9" xfId="3" applyFont="1" applyBorder="1" applyAlignment="1">
      <alignment horizontal="left" indent="1"/>
    </xf>
    <xf numFmtId="0" fontId="70" fillId="0" borderId="59" xfId="3" applyFont="1" applyBorder="1" applyAlignment="1">
      <alignment horizontal="left" indent="1"/>
    </xf>
    <xf numFmtId="0" fontId="70" fillId="0" borderId="5" xfId="3" applyNumberFormat="1" applyFont="1" applyBorder="1" applyAlignment="1" applyProtection="1">
      <alignment horizontal="left" indent="1"/>
      <protection locked="0"/>
    </xf>
    <xf numFmtId="0" fontId="70" fillId="0" borderId="0" xfId="3" applyFont="1" applyBorder="1" applyAlignment="1">
      <alignment horizontal="left" indent="1"/>
    </xf>
    <xf numFmtId="0" fontId="70" fillId="0" borderId="40" xfId="3" applyFont="1" applyBorder="1" applyAlignment="1">
      <alignment horizontal="left" indent="1"/>
    </xf>
    <xf numFmtId="0" fontId="70" fillId="0" borderId="5" xfId="3" applyNumberFormat="1" applyFont="1" applyBorder="1" applyAlignment="1" applyProtection="1">
      <alignment horizontal="left" indent="1"/>
    </xf>
    <xf numFmtId="0" fontId="70" fillId="0" borderId="0" xfId="3" applyFont="1" applyBorder="1" applyAlignment="1" applyProtection="1">
      <alignment horizontal="left" indent="1"/>
    </xf>
    <xf numFmtId="0" fontId="70" fillId="0" borderId="40" xfId="3" applyFont="1" applyBorder="1" applyAlignment="1" applyProtection="1">
      <alignment horizontal="left" indent="1"/>
    </xf>
    <xf numFmtId="0" fontId="62" fillId="0" borderId="50" xfId="3" applyNumberFormat="1" applyFont="1" applyBorder="1" applyAlignment="1" applyProtection="1">
      <alignment horizontal="left" vertical="center" indent="1"/>
    </xf>
    <xf numFmtId="0" fontId="62" fillId="0" borderId="9" xfId="3" applyFont="1" applyBorder="1" applyAlignment="1" applyProtection="1">
      <alignment horizontal="left" vertical="center" indent="1"/>
    </xf>
    <xf numFmtId="0" fontId="62" fillId="0" borderId="59" xfId="3" applyFont="1" applyBorder="1" applyAlignment="1" applyProtection="1">
      <alignment horizontal="left" vertical="center" indent="1"/>
    </xf>
    <xf numFmtId="0" fontId="70" fillId="0" borderId="5" xfId="3" applyNumberFormat="1" applyFont="1" applyBorder="1" applyAlignment="1" applyProtection="1"/>
    <xf numFmtId="0" fontId="70" fillId="0" borderId="0" xfId="3" applyNumberFormat="1" applyFont="1" applyAlignment="1" applyProtection="1">
      <alignment horizontal="center" vertical="center"/>
    </xf>
    <xf numFmtId="0" fontId="60" fillId="0" borderId="146" xfId="3" applyNumberFormat="1" applyFont="1" applyBorder="1" applyProtection="1"/>
    <xf numFmtId="0" fontId="60" fillId="0" borderId="147" xfId="3" applyNumberFormat="1" applyFont="1" applyBorder="1" applyProtection="1"/>
    <xf numFmtId="0" fontId="70" fillId="0" borderId="5" xfId="3" applyNumberFormat="1" applyFont="1" applyBorder="1" applyAlignment="1" applyProtection="1">
      <alignment horizontal="left" vertical="center" indent="1"/>
    </xf>
    <xf numFmtId="0" fontId="70" fillId="0" borderId="0" xfId="3" applyNumberFormat="1" applyFont="1" applyBorder="1" applyAlignment="1" applyProtection="1">
      <alignment horizontal="left" vertical="center" indent="1"/>
    </xf>
    <xf numFmtId="0" fontId="70" fillId="0" borderId="40" xfId="3" applyNumberFormat="1" applyFont="1" applyBorder="1" applyAlignment="1" applyProtection="1">
      <alignment horizontal="left" vertical="center" indent="1"/>
    </xf>
    <xf numFmtId="0" fontId="70" fillId="0" borderId="0" xfId="3" applyNumberFormat="1" applyFont="1" applyBorder="1" applyAlignment="1" applyProtection="1">
      <alignment horizontal="left" indent="1"/>
    </xf>
    <xf numFmtId="0" fontId="70" fillId="0" borderId="40" xfId="3" applyNumberFormat="1" applyFont="1" applyBorder="1" applyAlignment="1" applyProtection="1">
      <alignment horizontal="left" indent="1"/>
    </xf>
    <xf numFmtId="0" fontId="62" fillId="0" borderId="50" xfId="3" applyNumberFormat="1" applyFont="1" applyBorder="1" applyProtection="1"/>
    <xf numFmtId="0" fontId="62" fillId="0" borderId="9" xfId="3" applyNumberFormat="1" applyFont="1" applyBorder="1" applyProtection="1"/>
    <xf numFmtId="0" fontId="62" fillId="0" borderId="59" xfId="3" applyNumberFormat="1" applyFont="1" applyBorder="1" applyProtection="1"/>
    <xf numFmtId="0" fontId="88" fillId="0" borderId="5" xfId="3" applyNumberFormat="1" applyFont="1" applyBorder="1" applyAlignment="1" applyProtection="1"/>
    <xf numFmtId="0" fontId="88" fillId="0" borderId="0" xfId="3" applyFont="1" applyBorder="1" applyAlignment="1" applyProtection="1"/>
    <xf numFmtId="0" fontId="88" fillId="0" borderId="40" xfId="3" applyFont="1" applyBorder="1" applyAlignment="1" applyProtection="1"/>
    <xf numFmtId="0" fontId="70" fillId="0" borderId="147" xfId="3" applyNumberFormat="1" applyFont="1" applyBorder="1" applyAlignment="1" applyProtection="1">
      <alignment horizontal="left" indent="1"/>
      <protection locked="0"/>
    </xf>
    <xf numFmtId="0" fontId="70" fillId="0" borderId="147" xfId="3" applyFont="1" applyBorder="1" applyAlignment="1" applyProtection="1">
      <alignment horizontal="left" indent="1"/>
      <protection locked="0"/>
    </xf>
    <xf numFmtId="0" fontId="70" fillId="0" borderId="148" xfId="3" applyFont="1" applyBorder="1" applyAlignment="1" applyProtection="1">
      <alignment horizontal="left" indent="1"/>
      <protection locked="0"/>
    </xf>
    <xf numFmtId="0" fontId="62" fillId="0" borderId="0" xfId="3" applyFont="1" applyAlignment="1">
      <alignment horizontal="center" vertical="center"/>
    </xf>
    <xf numFmtId="0" fontId="70" fillId="0" borderId="59" xfId="3" applyFont="1" applyBorder="1" applyAlignment="1" applyProtection="1">
      <alignment horizontal="left" indent="1"/>
    </xf>
    <xf numFmtId="165" fontId="70" fillId="0" borderId="50" xfId="3" applyNumberFormat="1" applyFont="1" applyBorder="1" applyAlignment="1" applyProtection="1">
      <alignment horizontal="left" indent="1"/>
    </xf>
    <xf numFmtId="165" fontId="70" fillId="0" borderId="59" xfId="3" applyNumberFormat="1" applyFont="1" applyBorder="1" applyAlignment="1" applyProtection="1">
      <alignment horizontal="left" indent="1"/>
    </xf>
    <xf numFmtId="0" fontId="59" fillId="0" borderId="0" xfId="3" applyFont="1" applyAlignment="1">
      <alignment horizontal="center" vertical="center"/>
    </xf>
    <xf numFmtId="174" fontId="59" fillId="0" borderId="0" xfId="3" applyNumberFormat="1" applyFont="1" applyAlignment="1">
      <alignment horizontal="center" vertical="center"/>
    </xf>
    <xf numFmtId="174" fontId="62" fillId="0" borderId="0" xfId="3" applyNumberFormat="1" applyFont="1" applyAlignment="1">
      <alignment horizontal="center" vertical="center"/>
    </xf>
    <xf numFmtId="0" fontId="62" fillId="0" borderId="69" xfId="3" applyFont="1" applyBorder="1" applyAlignment="1" applyProtection="1">
      <protection locked="0"/>
    </xf>
    <xf numFmtId="0" fontId="70" fillId="0" borderId="0" xfId="3" applyFont="1" applyAlignment="1" applyProtection="1">
      <alignment horizontal="center" vertical="center"/>
    </xf>
    <xf numFmtId="174" fontId="70" fillId="0" borderId="0" xfId="3" applyNumberFormat="1" applyFont="1" applyAlignment="1" applyProtection="1">
      <alignment horizontal="center" vertical="center"/>
    </xf>
    <xf numFmtId="0" fontId="62" fillId="0" borderId="69" xfId="3" applyFont="1" applyBorder="1" applyAlignment="1" applyProtection="1">
      <alignment horizontal="left"/>
      <protection locked="0"/>
    </xf>
    <xf numFmtId="0" fontId="70" fillId="0" borderId="0" xfId="3" quotePrefix="1" applyFont="1" applyAlignment="1" applyProtection="1">
      <alignment horizontal="center" vertical="center"/>
    </xf>
    <xf numFmtId="0" fontId="70" fillId="0" borderId="0" xfId="3" applyNumberFormat="1" applyFont="1" applyAlignment="1">
      <alignment horizontal="center"/>
    </xf>
    <xf numFmtId="165" fontId="70" fillId="0" borderId="0" xfId="3" applyNumberFormat="1" applyFont="1" applyAlignment="1" applyProtection="1">
      <alignment horizontal="center" vertical="center"/>
    </xf>
    <xf numFmtId="165" fontId="59" fillId="0" borderId="0" xfId="3" applyNumberFormat="1" applyFont="1" applyAlignment="1" applyProtection="1">
      <alignment horizontal="center" vertical="center"/>
    </xf>
    <xf numFmtId="0" fontId="59" fillId="0" borderId="0" xfId="3" applyNumberFormat="1" applyFont="1" applyAlignment="1" applyProtection="1">
      <alignment horizontal="center" vertical="center"/>
    </xf>
    <xf numFmtId="0" fontId="60" fillId="0" borderId="0" xfId="3" applyFont="1" applyAlignment="1" applyProtection="1">
      <alignment horizontal="left" vertical="center" wrapText="1"/>
      <protection locked="0"/>
    </xf>
    <xf numFmtId="0" fontId="70" fillId="0" borderId="0" xfId="3" applyNumberFormat="1" applyFont="1" applyBorder="1" applyAlignment="1" applyProtection="1">
      <alignment horizontal="center"/>
    </xf>
    <xf numFmtId="0" fontId="59" fillId="0" borderId="0" xfId="3" applyFont="1" applyAlignment="1" applyProtection="1">
      <alignment horizontal="center" vertical="center" readingOrder="1"/>
    </xf>
    <xf numFmtId="0" fontId="59" fillId="0" borderId="0" xfId="3" applyFont="1" applyAlignment="1" applyProtection="1">
      <alignment horizontal="center" vertical="center"/>
    </xf>
    <xf numFmtId="3" fontId="60" fillId="0" borderId="77" xfId="3" applyNumberFormat="1" applyFont="1" applyBorder="1" applyAlignment="1" applyProtection="1">
      <alignment horizontal="right" indent="1"/>
      <protection locked="0"/>
    </xf>
    <xf numFmtId="0" fontId="59" fillId="0" borderId="0" xfId="3" applyFont="1" applyAlignment="1" applyProtection="1">
      <alignment horizontal="center"/>
    </xf>
    <xf numFmtId="0" fontId="59" fillId="0" borderId="78" xfId="3" applyFont="1" applyBorder="1" applyAlignment="1" applyProtection="1">
      <alignment horizontal="center"/>
    </xf>
    <xf numFmtId="0" fontId="67" fillId="0" borderId="0" xfId="3" applyFont="1" applyAlignment="1" applyProtection="1">
      <alignment horizontal="left" vertical="center" wrapText="1"/>
    </xf>
    <xf numFmtId="0" fontId="60" fillId="0" borderId="0" xfId="3" applyFont="1" applyBorder="1" applyAlignment="1" applyProtection="1">
      <alignment vertical="center" wrapText="1"/>
      <protection locked="0"/>
    </xf>
    <xf numFmtId="5" fontId="70" fillId="0" borderId="149" xfId="3" applyNumberFormat="1" applyFont="1" applyBorder="1" applyAlignment="1" applyProtection="1">
      <protection locked="0"/>
    </xf>
    <xf numFmtId="0" fontId="70" fillId="0" borderId="150" xfId="3" applyFont="1" applyBorder="1" applyAlignment="1" applyProtection="1">
      <protection locked="0"/>
    </xf>
    <xf numFmtId="0" fontId="67" fillId="0" borderId="0" xfId="3" applyFont="1" applyBorder="1" applyAlignment="1" applyProtection="1">
      <alignment horizontal="left" vertical="top" wrapText="1"/>
    </xf>
    <xf numFmtId="0" fontId="67" fillId="0" borderId="149" xfId="3" applyFont="1" applyBorder="1" applyAlignment="1" applyProtection="1">
      <alignment horizontal="left" vertical="center"/>
      <protection locked="0"/>
    </xf>
    <xf numFmtId="0" fontId="67" fillId="0" borderId="76" xfId="3" applyFont="1" applyBorder="1" applyAlignment="1" applyProtection="1">
      <alignment horizontal="left" vertical="center"/>
      <protection locked="0"/>
    </xf>
    <xf numFmtId="0" fontId="67" fillId="0" borderId="150" xfId="3" applyFont="1" applyBorder="1" applyAlignment="1" applyProtection="1">
      <alignment horizontal="left" vertical="center"/>
      <protection locked="0"/>
    </xf>
    <xf numFmtId="38" fontId="67" fillId="0" borderId="77" xfId="3" applyNumberFormat="1" applyFont="1" applyBorder="1" applyAlignment="1" applyProtection="1">
      <alignment horizontal="right" vertical="center"/>
      <protection locked="0"/>
    </xf>
    <xf numFmtId="0" fontId="70" fillId="0" borderId="0" xfId="3" applyNumberFormat="1" applyFont="1" applyBorder="1" applyAlignment="1" applyProtection="1">
      <alignment horizontal="center" vertical="center" wrapText="1"/>
    </xf>
    <xf numFmtId="0" fontId="62" fillId="0" borderId="0" xfId="3" applyNumberFormat="1" applyFont="1" applyAlignment="1">
      <alignment horizontal="center" vertical="center" wrapText="1"/>
    </xf>
    <xf numFmtId="165" fontId="70" fillId="0" borderId="0" xfId="3" applyNumberFormat="1" applyFont="1" applyBorder="1" applyAlignment="1" applyProtection="1">
      <alignment horizontal="center" vertical="center" wrapText="1"/>
    </xf>
    <xf numFmtId="0" fontId="62" fillId="0" borderId="0" xfId="3" applyFont="1" applyAlignment="1">
      <alignment horizontal="center" vertical="center" wrapText="1"/>
    </xf>
    <xf numFmtId="169" fontId="59" fillId="0" borderId="0" xfId="3" applyNumberFormat="1" applyFont="1" applyAlignment="1" applyProtection="1">
      <alignment horizontal="center" vertical="center" wrapText="1"/>
    </xf>
    <xf numFmtId="0" fontId="60" fillId="0" borderId="0" xfId="3" applyFont="1" applyAlignment="1">
      <alignment horizontal="center" vertical="center" wrapText="1"/>
    </xf>
    <xf numFmtId="0" fontId="62" fillId="0" borderId="9" xfId="3"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7" fillId="0" borderId="149" xfId="3" applyFont="1" applyBorder="1" applyAlignment="1" applyProtection="1">
      <alignment horizontal="center"/>
    </xf>
    <xf numFmtId="0" fontId="67" fillId="0" borderId="76" xfId="3" applyFont="1" applyBorder="1" applyAlignment="1" applyProtection="1">
      <alignment horizontal="center"/>
    </xf>
    <xf numFmtId="0" fontId="67" fillId="0" borderId="150" xfId="3" applyFont="1" applyBorder="1" applyAlignment="1" applyProtection="1">
      <alignment horizontal="center"/>
    </xf>
    <xf numFmtId="38" fontId="67" fillId="0" borderId="149" xfId="3" applyNumberFormat="1" applyFont="1" applyBorder="1" applyAlignment="1" applyProtection="1">
      <alignment horizontal="right" vertical="center"/>
      <protection locked="0"/>
    </xf>
    <xf numFmtId="38" fontId="67" fillId="0" borderId="76" xfId="3" applyNumberFormat="1" applyFont="1" applyBorder="1" applyAlignment="1" applyProtection="1">
      <alignment horizontal="right" vertical="center"/>
      <protection locked="0"/>
    </xf>
    <xf numFmtId="38" fontId="67" fillId="0" borderId="150" xfId="3" applyNumberFormat="1" applyFont="1" applyBorder="1" applyAlignment="1" applyProtection="1">
      <alignment horizontal="right" vertical="center"/>
      <protection locked="0"/>
    </xf>
    <xf numFmtId="0" fontId="69" fillId="0" borderId="149" xfId="3" applyFont="1" applyBorder="1" applyAlignment="1" applyProtection="1">
      <alignment horizontal="center" vertical="center"/>
      <protection locked="0"/>
    </xf>
    <xf numFmtId="0" fontId="69" fillId="0" borderId="76" xfId="3" applyFont="1" applyBorder="1" applyAlignment="1" applyProtection="1">
      <alignment horizontal="center" vertical="center"/>
      <protection locked="0"/>
    </xf>
    <xf numFmtId="0" fontId="69" fillId="0" borderId="150" xfId="3" applyFont="1" applyBorder="1" applyAlignment="1" applyProtection="1">
      <alignment horizontal="center" vertical="center"/>
      <protection locked="0"/>
    </xf>
    <xf numFmtId="6" fontId="67" fillId="0" borderId="77" xfId="3" applyNumberFormat="1" applyFont="1" applyBorder="1" applyAlignment="1" applyProtection="1">
      <alignment horizontal="right" vertical="center"/>
      <protection locked="0"/>
    </xf>
    <xf numFmtId="6" fontId="67" fillId="0" borderId="149" xfId="3" applyNumberFormat="1" applyFont="1" applyBorder="1" applyProtection="1">
      <protection locked="0"/>
    </xf>
    <xf numFmtId="6" fontId="67" fillId="0" borderId="150" xfId="3" applyNumberFormat="1" applyFont="1" applyBorder="1" applyProtection="1">
      <protection locked="0"/>
    </xf>
    <xf numFmtId="170" fontId="62" fillId="0" borderId="9" xfId="3" applyNumberFormat="1" applyFont="1" applyBorder="1" applyAlignment="1" applyProtection="1">
      <alignment horizontal="center"/>
      <protection locked="0"/>
    </xf>
    <xf numFmtId="0" fontId="62" fillId="0" borderId="0" xfId="3" applyFont="1" applyBorder="1" applyAlignment="1" applyProtection="1">
      <alignment horizontal="left" vertical="top" wrapText="1"/>
      <protection locked="0"/>
    </xf>
    <xf numFmtId="0" fontId="62" fillId="0" borderId="0" xfId="3" applyFont="1" applyAlignment="1" applyProtection="1">
      <alignment horizontal="left" vertical="top" wrapText="1"/>
      <protection locked="0"/>
    </xf>
    <xf numFmtId="0" fontId="59" fillId="0" borderId="0" xfId="3" applyFont="1" applyAlignment="1" applyProtection="1">
      <alignment horizontal="center" vertical="center" wrapText="1"/>
    </xf>
    <xf numFmtId="0" fontId="59" fillId="0" borderId="0" xfId="3" applyFont="1" applyBorder="1" applyAlignment="1" applyProtection="1">
      <alignment horizontal="center" vertical="center" wrapText="1"/>
    </xf>
    <xf numFmtId="0" fontId="62" fillId="0" borderId="0" xfId="3" applyFont="1" applyBorder="1" applyAlignment="1">
      <alignment horizontal="center" vertical="center" wrapText="1"/>
    </xf>
    <xf numFmtId="8" fontId="62" fillId="0" borderId="0" xfId="3" applyNumberFormat="1" applyFont="1" applyAlignment="1" applyProtection="1">
      <alignment horizontal="left" vertical="top" wrapText="1"/>
      <protection locked="0"/>
    </xf>
    <xf numFmtId="0" fontId="59" fillId="0" borderId="0" xfId="3" applyNumberFormat="1" applyFont="1" applyBorder="1" applyAlignment="1" applyProtection="1">
      <alignment horizontal="center" vertical="center" wrapText="1"/>
    </xf>
    <xf numFmtId="165" fontId="59" fillId="0" borderId="0" xfId="3" applyNumberFormat="1" applyFont="1" applyBorder="1" applyAlignment="1" applyProtection="1">
      <alignment horizontal="center" vertical="center" wrapText="1"/>
    </xf>
    <xf numFmtId="0" fontId="59" fillId="0" borderId="144" xfId="3" applyFont="1" applyBorder="1" applyAlignment="1" applyProtection="1">
      <alignment horizontal="center" vertical="center" wrapText="1"/>
    </xf>
    <xf numFmtId="0" fontId="70" fillId="0" borderId="74" xfId="3" applyNumberFormat="1" applyFont="1" applyBorder="1" applyAlignment="1" applyProtection="1">
      <alignment horizontal="center"/>
      <protection locked="0"/>
    </xf>
    <xf numFmtId="0" fontId="70" fillId="0" borderId="74" xfId="3" applyFont="1" applyBorder="1" applyAlignment="1" applyProtection="1">
      <alignment horizontal="center"/>
      <protection locked="0"/>
    </xf>
    <xf numFmtId="0" fontId="70" fillId="0" borderId="74" xfId="3" applyFont="1" applyBorder="1" applyAlignment="1" applyProtection="1">
      <alignment horizontal="center" vertical="center"/>
      <protection locked="0"/>
    </xf>
    <xf numFmtId="0" fontId="59" fillId="0" borderId="0" xfId="3" applyNumberFormat="1" applyFont="1" applyAlignment="1" applyProtection="1">
      <alignment horizontal="center" vertical="center" wrapText="1"/>
    </xf>
  </cellXfs>
  <cellStyles count="3481">
    <cellStyle name="1" xfId="32" xr:uid="{00000000-0005-0000-0000-000000000000}"/>
    <cellStyle name="10" xfId="33" xr:uid="{00000000-0005-0000-0000-000001000000}"/>
    <cellStyle name="12" xfId="31" xr:uid="{00000000-0005-0000-0000-000002000000}"/>
    <cellStyle name="12 10" xfId="255" xr:uid="{00000000-0005-0000-0000-000003000000}"/>
    <cellStyle name="12 11" xfId="256" xr:uid="{00000000-0005-0000-0000-000004000000}"/>
    <cellStyle name="12 12" xfId="257" xr:uid="{00000000-0005-0000-0000-000005000000}"/>
    <cellStyle name="12 13" xfId="258" xr:uid="{00000000-0005-0000-0000-000006000000}"/>
    <cellStyle name="12 14" xfId="259" xr:uid="{00000000-0005-0000-0000-000007000000}"/>
    <cellStyle name="12 15" xfId="260" xr:uid="{00000000-0005-0000-0000-000008000000}"/>
    <cellStyle name="12 16" xfId="261" xr:uid="{00000000-0005-0000-0000-000009000000}"/>
    <cellStyle name="12 17" xfId="262" xr:uid="{00000000-0005-0000-0000-00000A000000}"/>
    <cellStyle name="12 18" xfId="263" xr:uid="{00000000-0005-0000-0000-00000B000000}"/>
    <cellStyle name="12 19" xfId="264" xr:uid="{00000000-0005-0000-0000-00000C000000}"/>
    <cellStyle name="12 2" xfId="34" xr:uid="{00000000-0005-0000-0000-00000D000000}"/>
    <cellStyle name="12 20" xfId="265" xr:uid="{00000000-0005-0000-0000-00000E000000}"/>
    <cellStyle name="12 21" xfId="266" xr:uid="{00000000-0005-0000-0000-00000F000000}"/>
    <cellStyle name="12 22" xfId="267" xr:uid="{00000000-0005-0000-0000-000010000000}"/>
    <cellStyle name="12 23" xfId="268" xr:uid="{00000000-0005-0000-0000-000011000000}"/>
    <cellStyle name="12 24" xfId="269" xr:uid="{00000000-0005-0000-0000-000012000000}"/>
    <cellStyle name="12 25" xfId="270" xr:uid="{00000000-0005-0000-0000-000013000000}"/>
    <cellStyle name="12 26" xfId="271" xr:uid="{00000000-0005-0000-0000-000014000000}"/>
    <cellStyle name="12 27" xfId="272" xr:uid="{00000000-0005-0000-0000-000015000000}"/>
    <cellStyle name="12 28" xfId="273" xr:uid="{00000000-0005-0000-0000-000016000000}"/>
    <cellStyle name="12 29" xfId="274" xr:uid="{00000000-0005-0000-0000-000017000000}"/>
    <cellStyle name="12 3" xfId="36" xr:uid="{00000000-0005-0000-0000-000018000000}"/>
    <cellStyle name="12 30" xfId="275" xr:uid="{00000000-0005-0000-0000-000019000000}"/>
    <cellStyle name="12 31" xfId="276" xr:uid="{00000000-0005-0000-0000-00001A000000}"/>
    <cellStyle name="12 32" xfId="277" xr:uid="{00000000-0005-0000-0000-00001B000000}"/>
    <cellStyle name="12 33" xfId="278" xr:uid="{00000000-0005-0000-0000-00001C000000}"/>
    <cellStyle name="12 34" xfId="279" xr:uid="{00000000-0005-0000-0000-00001D000000}"/>
    <cellStyle name="12 35" xfId="280" xr:uid="{00000000-0005-0000-0000-00001E000000}"/>
    <cellStyle name="12 36" xfId="281" xr:uid="{00000000-0005-0000-0000-00001F000000}"/>
    <cellStyle name="12 37" xfId="282" xr:uid="{00000000-0005-0000-0000-000020000000}"/>
    <cellStyle name="12 38" xfId="283" xr:uid="{00000000-0005-0000-0000-000021000000}"/>
    <cellStyle name="12 38 2" xfId="2974" xr:uid="{00000000-0005-0000-0000-000022000000}"/>
    <cellStyle name="12 4" xfId="37" xr:uid="{00000000-0005-0000-0000-000022000000}"/>
    <cellStyle name="12 5" xfId="38" xr:uid="{00000000-0005-0000-0000-000023000000}"/>
    <cellStyle name="12 6" xfId="39" xr:uid="{00000000-0005-0000-0000-000024000000}"/>
    <cellStyle name="12 7" xfId="40" xr:uid="{00000000-0005-0000-0000-000025000000}"/>
    <cellStyle name="12 8" xfId="41" xr:uid="{00000000-0005-0000-0000-000026000000}"/>
    <cellStyle name="12 9" xfId="44" xr:uid="{00000000-0005-0000-0000-000027000000}"/>
    <cellStyle name="12 9 2" xfId="285" xr:uid="{00000000-0005-0000-0000-000028000000}"/>
    <cellStyle name="12 9 2 2" xfId="2975" xr:uid="{00000000-0005-0000-0000-00002A000000}"/>
    <cellStyle name="12 9 3" xfId="284" xr:uid="{00000000-0005-0000-0000-000029000000}"/>
    <cellStyle name="12 9 4" xfId="2963" xr:uid="{00000000-0005-0000-0000-00002C000000}"/>
    <cellStyle name="2" xfId="42" xr:uid="{00000000-0005-0000-0000-00002A000000}"/>
    <cellStyle name="20% - Accent1 10 2" xfId="286" xr:uid="{00000000-0005-0000-0000-00002B000000}"/>
    <cellStyle name="20% - Accent1 10 3" xfId="287" xr:uid="{00000000-0005-0000-0000-00002C000000}"/>
    <cellStyle name="20% - Accent1 10 4" xfId="288" xr:uid="{00000000-0005-0000-0000-00002D000000}"/>
    <cellStyle name="20% - Accent1 10 5" xfId="289" xr:uid="{00000000-0005-0000-0000-00002E000000}"/>
    <cellStyle name="20% - Accent1 10 6" xfId="290" xr:uid="{00000000-0005-0000-0000-00002F000000}"/>
    <cellStyle name="20% - Accent1 11 2" xfId="291" xr:uid="{00000000-0005-0000-0000-000030000000}"/>
    <cellStyle name="20% - Accent1 11 3" xfId="292" xr:uid="{00000000-0005-0000-0000-000031000000}"/>
    <cellStyle name="20% - Accent1 11 4" xfId="293" xr:uid="{00000000-0005-0000-0000-000032000000}"/>
    <cellStyle name="20% - Accent1 11 5" xfId="294" xr:uid="{00000000-0005-0000-0000-000033000000}"/>
    <cellStyle name="20% - Accent1 11 6" xfId="295" xr:uid="{00000000-0005-0000-0000-000034000000}"/>
    <cellStyle name="20% - Accent1 2" xfId="296" xr:uid="{00000000-0005-0000-0000-000035000000}"/>
    <cellStyle name="20% - Accent1 2 2" xfId="297" xr:uid="{00000000-0005-0000-0000-000036000000}"/>
    <cellStyle name="20% - Accent1 2 3" xfId="298" xr:uid="{00000000-0005-0000-0000-000037000000}"/>
    <cellStyle name="20% - Accent1 2 4" xfId="299" xr:uid="{00000000-0005-0000-0000-000038000000}"/>
    <cellStyle name="20% - Accent1 2 5" xfId="300" xr:uid="{00000000-0005-0000-0000-000039000000}"/>
    <cellStyle name="20% - Accent1 2 6" xfId="301" xr:uid="{00000000-0005-0000-0000-00003A000000}"/>
    <cellStyle name="20% - Accent1 3" xfId="302" xr:uid="{00000000-0005-0000-0000-00003B000000}"/>
    <cellStyle name="20% - Accent1 3 2" xfId="303" xr:uid="{00000000-0005-0000-0000-00003C000000}"/>
    <cellStyle name="20% - Accent1 3 3" xfId="304" xr:uid="{00000000-0005-0000-0000-00003D000000}"/>
    <cellStyle name="20% - Accent1 3 4" xfId="305" xr:uid="{00000000-0005-0000-0000-00003E000000}"/>
    <cellStyle name="20% - Accent1 3 5" xfId="306" xr:uid="{00000000-0005-0000-0000-00003F000000}"/>
    <cellStyle name="20% - Accent1 3 6" xfId="307" xr:uid="{00000000-0005-0000-0000-000040000000}"/>
    <cellStyle name="20% - Accent1 4 2" xfId="308" xr:uid="{00000000-0005-0000-0000-000041000000}"/>
    <cellStyle name="20% - Accent1 4 3" xfId="309" xr:uid="{00000000-0005-0000-0000-000042000000}"/>
    <cellStyle name="20% - Accent1 4 4" xfId="310" xr:uid="{00000000-0005-0000-0000-000043000000}"/>
    <cellStyle name="20% - Accent1 4 5" xfId="311" xr:uid="{00000000-0005-0000-0000-000044000000}"/>
    <cellStyle name="20% - Accent1 4 6" xfId="312" xr:uid="{00000000-0005-0000-0000-000045000000}"/>
    <cellStyle name="20% - Accent1 5 2" xfId="313" xr:uid="{00000000-0005-0000-0000-000046000000}"/>
    <cellStyle name="20% - Accent1 5 3" xfId="314" xr:uid="{00000000-0005-0000-0000-000047000000}"/>
    <cellStyle name="20% - Accent1 5 4" xfId="315" xr:uid="{00000000-0005-0000-0000-000048000000}"/>
    <cellStyle name="20% - Accent1 5 5" xfId="316" xr:uid="{00000000-0005-0000-0000-000049000000}"/>
    <cellStyle name="20% - Accent1 5 6" xfId="317" xr:uid="{00000000-0005-0000-0000-00004A000000}"/>
    <cellStyle name="20% - Accent1 6 2" xfId="318" xr:uid="{00000000-0005-0000-0000-00004B000000}"/>
    <cellStyle name="20% - Accent1 6 3" xfId="319" xr:uid="{00000000-0005-0000-0000-00004C000000}"/>
    <cellStyle name="20% - Accent1 6 4" xfId="320" xr:uid="{00000000-0005-0000-0000-00004D000000}"/>
    <cellStyle name="20% - Accent1 6 5" xfId="321" xr:uid="{00000000-0005-0000-0000-00004E000000}"/>
    <cellStyle name="20% - Accent1 6 6" xfId="322" xr:uid="{00000000-0005-0000-0000-00004F000000}"/>
    <cellStyle name="20% - Accent1 7 2" xfId="323" xr:uid="{00000000-0005-0000-0000-000050000000}"/>
    <cellStyle name="20% - Accent1 7 3" xfId="324" xr:uid="{00000000-0005-0000-0000-000051000000}"/>
    <cellStyle name="20% - Accent1 7 4" xfId="325" xr:uid="{00000000-0005-0000-0000-000052000000}"/>
    <cellStyle name="20% - Accent1 7 5" xfId="326" xr:uid="{00000000-0005-0000-0000-000053000000}"/>
    <cellStyle name="20% - Accent1 7 6" xfId="327" xr:uid="{00000000-0005-0000-0000-000054000000}"/>
    <cellStyle name="20% - Accent1 8 2" xfId="328" xr:uid="{00000000-0005-0000-0000-000055000000}"/>
    <cellStyle name="20% - Accent1 8 3" xfId="329" xr:uid="{00000000-0005-0000-0000-000056000000}"/>
    <cellStyle name="20% - Accent1 8 4" xfId="330" xr:uid="{00000000-0005-0000-0000-000057000000}"/>
    <cellStyle name="20% - Accent1 8 5" xfId="331" xr:uid="{00000000-0005-0000-0000-000058000000}"/>
    <cellStyle name="20% - Accent1 8 6" xfId="332" xr:uid="{00000000-0005-0000-0000-000059000000}"/>
    <cellStyle name="20% - Accent1 9 2" xfId="333" xr:uid="{00000000-0005-0000-0000-00005A000000}"/>
    <cellStyle name="20% - Accent1 9 3" xfId="334" xr:uid="{00000000-0005-0000-0000-00005B000000}"/>
    <cellStyle name="20% - Accent1 9 4" xfId="335" xr:uid="{00000000-0005-0000-0000-00005C000000}"/>
    <cellStyle name="20% - Accent1 9 5" xfId="336" xr:uid="{00000000-0005-0000-0000-00005D000000}"/>
    <cellStyle name="20% - Accent1 9 6" xfId="337" xr:uid="{00000000-0005-0000-0000-00005E000000}"/>
    <cellStyle name="20% - Accent2 10 2" xfId="338" xr:uid="{00000000-0005-0000-0000-00005F000000}"/>
    <cellStyle name="20% - Accent2 10 3" xfId="339" xr:uid="{00000000-0005-0000-0000-000060000000}"/>
    <cellStyle name="20% - Accent2 10 4" xfId="340" xr:uid="{00000000-0005-0000-0000-000061000000}"/>
    <cellStyle name="20% - Accent2 10 5" xfId="341" xr:uid="{00000000-0005-0000-0000-000062000000}"/>
    <cellStyle name="20% - Accent2 10 6" xfId="342" xr:uid="{00000000-0005-0000-0000-000063000000}"/>
    <cellStyle name="20% - Accent2 11 2" xfId="343" xr:uid="{00000000-0005-0000-0000-000064000000}"/>
    <cellStyle name="20% - Accent2 11 3" xfId="344" xr:uid="{00000000-0005-0000-0000-000065000000}"/>
    <cellStyle name="20% - Accent2 11 4" xfId="345" xr:uid="{00000000-0005-0000-0000-000066000000}"/>
    <cellStyle name="20% - Accent2 11 5" xfId="346" xr:uid="{00000000-0005-0000-0000-000067000000}"/>
    <cellStyle name="20% - Accent2 11 6" xfId="347" xr:uid="{00000000-0005-0000-0000-000068000000}"/>
    <cellStyle name="20% - Accent2 2" xfId="348" xr:uid="{00000000-0005-0000-0000-000069000000}"/>
    <cellStyle name="20% - Accent2 2 2" xfId="349" xr:uid="{00000000-0005-0000-0000-00006A000000}"/>
    <cellStyle name="20% - Accent2 2 3" xfId="350" xr:uid="{00000000-0005-0000-0000-00006B000000}"/>
    <cellStyle name="20% - Accent2 2 4" xfId="351" xr:uid="{00000000-0005-0000-0000-00006C000000}"/>
    <cellStyle name="20% - Accent2 2 5" xfId="352" xr:uid="{00000000-0005-0000-0000-00006D000000}"/>
    <cellStyle name="20% - Accent2 2 6" xfId="353" xr:uid="{00000000-0005-0000-0000-00006E000000}"/>
    <cellStyle name="20% - Accent2 3" xfId="354" xr:uid="{00000000-0005-0000-0000-00006F000000}"/>
    <cellStyle name="20% - Accent2 3 2" xfId="355" xr:uid="{00000000-0005-0000-0000-000070000000}"/>
    <cellStyle name="20% - Accent2 3 3" xfId="356" xr:uid="{00000000-0005-0000-0000-000071000000}"/>
    <cellStyle name="20% - Accent2 3 4" xfId="357" xr:uid="{00000000-0005-0000-0000-000072000000}"/>
    <cellStyle name="20% - Accent2 3 5" xfId="358" xr:uid="{00000000-0005-0000-0000-000073000000}"/>
    <cellStyle name="20% - Accent2 3 6" xfId="359" xr:uid="{00000000-0005-0000-0000-000074000000}"/>
    <cellStyle name="20% - Accent2 4 2" xfId="360" xr:uid="{00000000-0005-0000-0000-000075000000}"/>
    <cellStyle name="20% - Accent2 4 3" xfId="361" xr:uid="{00000000-0005-0000-0000-000076000000}"/>
    <cellStyle name="20% - Accent2 4 4" xfId="362" xr:uid="{00000000-0005-0000-0000-000077000000}"/>
    <cellStyle name="20% - Accent2 4 5" xfId="363" xr:uid="{00000000-0005-0000-0000-000078000000}"/>
    <cellStyle name="20% - Accent2 4 6" xfId="364" xr:uid="{00000000-0005-0000-0000-000079000000}"/>
    <cellStyle name="20% - Accent2 5 2" xfId="365" xr:uid="{00000000-0005-0000-0000-00007A000000}"/>
    <cellStyle name="20% - Accent2 5 3" xfId="366" xr:uid="{00000000-0005-0000-0000-00007B000000}"/>
    <cellStyle name="20% - Accent2 5 4" xfId="367" xr:uid="{00000000-0005-0000-0000-00007C000000}"/>
    <cellStyle name="20% - Accent2 5 5" xfId="368" xr:uid="{00000000-0005-0000-0000-00007D000000}"/>
    <cellStyle name="20% - Accent2 5 6" xfId="369" xr:uid="{00000000-0005-0000-0000-00007E000000}"/>
    <cellStyle name="20% - Accent2 6 2" xfId="370" xr:uid="{00000000-0005-0000-0000-00007F000000}"/>
    <cellStyle name="20% - Accent2 6 3" xfId="371" xr:uid="{00000000-0005-0000-0000-000080000000}"/>
    <cellStyle name="20% - Accent2 6 4" xfId="372" xr:uid="{00000000-0005-0000-0000-000081000000}"/>
    <cellStyle name="20% - Accent2 6 5" xfId="373" xr:uid="{00000000-0005-0000-0000-000082000000}"/>
    <cellStyle name="20% - Accent2 6 6" xfId="374" xr:uid="{00000000-0005-0000-0000-000083000000}"/>
    <cellStyle name="20% - Accent2 7 2" xfId="375" xr:uid="{00000000-0005-0000-0000-000084000000}"/>
    <cellStyle name="20% - Accent2 7 3" xfId="376" xr:uid="{00000000-0005-0000-0000-000085000000}"/>
    <cellStyle name="20% - Accent2 7 4" xfId="377" xr:uid="{00000000-0005-0000-0000-000086000000}"/>
    <cellStyle name="20% - Accent2 7 5" xfId="378" xr:uid="{00000000-0005-0000-0000-000087000000}"/>
    <cellStyle name="20% - Accent2 7 6" xfId="379" xr:uid="{00000000-0005-0000-0000-000088000000}"/>
    <cellStyle name="20% - Accent2 8 2" xfId="380" xr:uid="{00000000-0005-0000-0000-000089000000}"/>
    <cellStyle name="20% - Accent2 8 3" xfId="381" xr:uid="{00000000-0005-0000-0000-00008A000000}"/>
    <cellStyle name="20% - Accent2 8 4" xfId="382" xr:uid="{00000000-0005-0000-0000-00008B000000}"/>
    <cellStyle name="20% - Accent2 8 5" xfId="383" xr:uid="{00000000-0005-0000-0000-00008C000000}"/>
    <cellStyle name="20% - Accent2 8 6" xfId="384" xr:uid="{00000000-0005-0000-0000-00008D000000}"/>
    <cellStyle name="20% - Accent2 9 2" xfId="385" xr:uid="{00000000-0005-0000-0000-00008E000000}"/>
    <cellStyle name="20% - Accent2 9 3" xfId="386" xr:uid="{00000000-0005-0000-0000-00008F000000}"/>
    <cellStyle name="20% - Accent2 9 4" xfId="387" xr:uid="{00000000-0005-0000-0000-000090000000}"/>
    <cellStyle name="20% - Accent2 9 5" xfId="388" xr:uid="{00000000-0005-0000-0000-000091000000}"/>
    <cellStyle name="20% - Accent2 9 6" xfId="389" xr:uid="{00000000-0005-0000-0000-000092000000}"/>
    <cellStyle name="20% - Accent3 10 2" xfId="390" xr:uid="{00000000-0005-0000-0000-000093000000}"/>
    <cellStyle name="20% - Accent3 10 3" xfId="391" xr:uid="{00000000-0005-0000-0000-000094000000}"/>
    <cellStyle name="20% - Accent3 10 4" xfId="392" xr:uid="{00000000-0005-0000-0000-000095000000}"/>
    <cellStyle name="20% - Accent3 10 5" xfId="393" xr:uid="{00000000-0005-0000-0000-000096000000}"/>
    <cellStyle name="20% - Accent3 10 6" xfId="394" xr:uid="{00000000-0005-0000-0000-000097000000}"/>
    <cellStyle name="20% - Accent3 11 2" xfId="395" xr:uid="{00000000-0005-0000-0000-000098000000}"/>
    <cellStyle name="20% - Accent3 11 3" xfId="396" xr:uid="{00000000-0005-0000-0000-000099000000}"/>
    <cellStyle name="20% - Accent3 11 4" xfId="397" xr:uid="{00000000-0005-0000-0000-00009A000000}"/>
    <cellStyle name="20% - Accent3 11 5" xfId="398" xr:uid="{00000000-0005-0000-0000-00009B000000}"/>
    <cellStyle name="20% - Accent3 11 6" xfId="399" xr:uid="{00000000-0005-0000-0000-00009C000000}"/>
    <cellStyle name="20% - Accent3 2" xfId="400" xr:uid="{00000000-0005-0000-0000-00009D000000}"/>
    <cellStyle name="20% - Accent3 2 2" xfId="401" xr:uid="{00000000-0005-0000-0000-00009E000000}"/>
    <cellStyle name="20% - Accent3 2 3" xfId="402" xr:uid="{00000000-0005-0000-0000-00009F000000}"/>
    <cellStyle name="20% - Accent3 2 4" xfId="403" xr:uid="{00000000-0005-0000-0000-0000A0000000}"/>
    <cellStyle name="20% - Accent3 2 5" xfId="404" xr:uid="{00000000-0005-0000-0000-0000A1000000}"/>
    <cellStyle name="20% - Accent3 2 6" xfId="405" xr:uid="{00000000-0005-0000-0000-0000A2000000}"/>
    <cellStyle name="20% - Accent3 3" xfId="406" xr:uid="{00000000-0005-0000-0000-0000A3000000}"/>
    <cellStyle name="20% - Accent3 3 2" xfId="407" xr:uid="{00000000-0005-0000-0000-0000A4000000}"/>
    <cellStyle name="20% - Accent3 3 3" xfId="408" xr:uid="{00000000-0005-0000-0000-0000A5000000}"/>
    <cellStyle name="20% - Accent3 3 4" xfId="409" xr:uid="{00000000-0005-0000-0000-0000A6000000}"/>
    <cellStyle name="20% - Accent3 3 5" xfId="410" xr:uid="{00000000-0005-0000-0000-0000A7000000}"/>
    <cellStyle name="20% - Accent3 3 6" xfId="411" xr:uid="{00000000-0005-0000-0000-0000A8000000}"/>
    <cellStyle name="20% - Accent3 4 2" xfId="412" xr:uid="{00000000-0005-0000-0000-0000A9000000}"/>
    <cellStyle name="20% - Accent3 4 3" xfId="413" xr:uid="{00000000-0005-0000-0000-0000AA000000}"/>
    <cellStyle name="20% - Accent3 4 4" xfId="414" xr:uid="{00000000-0005-0000-0000-0000AB000000}"/>
    <cellStyle name="20% - Accent3 4 5" xfId="415" xr:uid="{00000000-0005-0000-0000-0000AC000000}"/>
    <cellStyle name="20% - Accent3 4 6" xfId="416" xr:uid="{00000000-0005-0000-0000-0000AD000000}"/>
    <cellStyle name="20% - Accent3 5 2" xfId="417" xr:uid="{00000000-0005-0000-0000-0000AE000000}"/>
    <cellStyle name="20% - Accent3 5 3" xfId="418" xr:uid="{00000000-0005-0000-0000-0000AF000000}"/>
    <cellStyle name="20% - Accent3 5 4" xfId="419" xr:uid="{00000000-0005-0000-0000-0000B0000000}"/>
    <cellStyle name="20% - Accent3 5 5" xfId="420" xr:uid="{00000000-0005-0000-0000-0000B1000000}"/>
    <cellStyle name="20% - Accent3 5 6" xfId="421" xr:uid="{00000000-0005-0000-0000-0000B2000000}"/>
    <cellStyle name="20% - Accent3 6 2" xfId="422" xr:uid="{00000000-0005-0000-0000-0000B3000000}"/>
    <cellStyle name="20% - Accent3 6 3" xfId="423" xr:uid="{00000000-0005-0000-0000-0000B4000000}"/>
    <cellStyle name="20% - Accent3 6 4" xfId="424" xr:uid="{00000000-0005-0000-0000-0000B5000000}"/>
    <cellStyle name="20% - Accent3 6 5" xfId="425" xr:uid="{00000000-0005-0000-0000-0000B6000000}"/>
    <cellStyle name="20% - Accent3 6 6" xfId="426" xr:uid="{00000000-0005-0000-0000-0000B7000000}"/>
    <cellStyle name="20% - Accent3 7 2" xfId="427" xr:uid="{00000000-0005-0000-0000-0000B8000000}"/>
    <cellStyle name="20% - Accent3 7 3" xfId="428" xr:uid="{00000000-0005-0000-0000-0000B9000000}"/>
    <cellStyle name="20% - Accent3 7 4" xfId="429" xr:uid="{00000000-0005-0000-0000-0000BA000000}"/>
    <cellStyle name="20% - Accent3 7 5" xfId="430" xr:uid="{00000000-0005-0000-0000-0000BB000000}"/>
    <cellStyle name="20% - Accent3 7 6" xfId="431" xr:uid="{00000000-0005-0000-0000-0000BC000000}"/>
    <cellStyle name="20% - Accent3 8 2" xfId="432" xr:uid="{00000000-0005-0000-0000-0000BD000000}"/>
    <cellStyle name="20% - Accent3 8 3" xfId="433" xr:uid="{00000000-0005-0000-0000-0000BE000000}"/>
    <cellStyle name="20% - Accent3 8 4" xfId="434" xr:uid="{00000000-0005-0000-0000-0000BF000000}"/>
    <cellStyle name="20% - Accent3 8 5" xfId="435" xr:uid="{00000000-0005-0000-0000-0000C0000000}"/>
    <cellStyle name="20% - Accent3 8 6" xfId="436" xr:uid="{00000000-0005-0000-0000-0000C1000000}"/>
    <cellStyle name="20% - Accent3 9 2" xfId="437" xr:uid="{00000000-0005-0000-0000-0000C2000000}"/>
    <cellStyle name="20% - Accent3 9 3" xfId="438" xr:uid="{00000000-0005-0000-0000-0000C3000000}"/>
    <cellStyle name="20% - Accent3 9 4" xfId="439" xr:uid="{00000000-0005-0000-0000-0000C4000000}"/>
    <cellStyle name="20% - Accent3 9 5" xfId="440" xr:uid="{00000000-0005-0000-0000-0000C5000000}"/>
    <cellStyle name="20% - Accent3 9 6" xfId="441" xr:uid="{00000000-0005-0000-0000-0000C6000000}"/>
    <cellStyle name="20% - Accent4 10 2" xfId="442" xr:uid="{00000000-0005-0000-0000-0000C7000000}"/>
    <cellStyle name="20% - Accent4 10 3" xfId="443" xr:uid="{00000000-0005-0000-0000-0000C8000000}"/>
    <cellStyle name="20% - Accent4 10 4" xfId="444" xr:uid="{00000000-0005-0000-0000-0000C9000000}"/>
    <cellStyle name="20% - Accent4 10 5" xfId="445" xr:uid="{00000000-0005-0000-0000-0000CA000000}"/>
    <cellStyle name="20% - Accent4 10 6" xfId="446" xr:uid="{00000000-0005-0000-0000-0000CB000000}"/>
    <cellStyle name="20% - Accent4 11 2" xfId="447" xr:uid="{00000000-0005-0000-0000-0000CC000000}"/>
    <cellStyle name="20% - Accent4 11 3" xfId="448" xr:uid="{00000000-0005-0000-0000-0000CD000000}"/>
    <cellStyle name="20% - Accent4 11 4" xfId="449" xr:uid="{00000000-0005-0000-0000-0000CE000000}"/>
    <cellStyle name="20% - Accent4 11 5" xfId="450" xr:uid="{00000000-0005-0000-0000-0000CF000000}"/>
    <cellStyle name="20% - Accent4 11 6" xfId="451" xr:uid="{00000000-0005-0000-0000-0000D0000000}"/>
    <cellStyle name="20% - Accent4 2" xfId="452" xr:uid="{00000000-0005-0000-0000-0000D1000000}"/>
    <cellStyle name="20% - Accent4 2 2" xfId="453" xr:uid="{00000000-0005-0000-0000-0000D2000000}"/>
    <cellStyle name="20% - Accent4 2 3" xfId="454" xr:uid="{00000000-0005-0000-0000-0000D3000000}"/>
    <cellStyle name="20% - Accent4 2 4" xfId="455" xr:uid="{00000000-0005-0000-0000-0000D4000000}"/>
    <cellStyle name="20% - Accent4 2 5" xfId="456" xr:uid="{00000000-0005-0000-0000-0000D5000000}"/>
    <cellStyle name="20% - Accent4 2 6" xfId="457" xr:uid="{00000000-0005-0000-0000-0000D6000000}"/>
    <cellStyle name="20% - Accent4 3" xfId="458" xr:uid="{00000000-0005-0000-0000-0000D7000000}"/>
    <cellStyle name="20% - Accent4 3 2" xfId="459" xr:uid="{00000000-0005-0000-0000-0000D8000000}"/>
    <cellStyle name="20% - Accent4 3 3" xfId="460" xr:uid="{00000000-0005-0000-0000-0000D9000000}"/>
    <cellStyle name="20% - Accent4 3 4" xfId="461" xr:uid="{00000000-0005-0000-0000-0000DA000000}"/>
    <cellStyle name="20% - Accent4 3 5" xfId="462" xr:uid="{00000000-0005-0000-0000-0000DB000000}"/>
    <cellStyle name="20% - Accent4 3 6" xfId="463" xr:uid="{00000000-0005-0000-0000-0000DC000000}"/>
    <cellStyle name="20% - Accent4 4 2" xfId="464" xr:uid="{00000000-0005-0000-0000-0000DD000000}"/>
    <cellStyle name="20% - Accent4 4 3" xfId="465" xr:uid="{00000000-0005-0000-0000-0000DE000000}"/>
    <cellStyle name="20% - Accent4 4 4" xfId="466" xr:uid="{00000000-0005-0000-0000-0000DF000000}"/>
    <cellStyle name="20% - Accent4 4 5" xfId="467" xr:uid="{00000000-0005-0000-0000-0000E0000000}"/>
    <cellStyle name="20% - Accent4 4 6" xfId="468" xr:uid="{00000000-0005-0000-0000-0000E1000000}"/>
    <cellStyle name="20% - Accent4 5 2" xfId="469" xr:uid="{00000000-0005-0000-0000-0000E2000000}"/>
    <cellStyle name="20% - Accent4 5 3" xfId="470" xr:uid="{00000000-0005-0000-0000-0000E3000000}"/>
    <cellStyle name="20% - Accent4 5 4" xfId="471" xr:uid="{00000000-0005-0000-0000-0000E4000000}"/>
    <cellStyle name="20% - Accent4 5 5" xfId="472" xr:uid="{00000000-0005-0000-0000-0000E5000000}"/>
    <cellStyle name="20% - Accent4 5 6" xfId="473" xr:uid="{00000000-0005-0000-0000-0000E6000000}"/>
    <cellStyle name="20% - Accent4 6 2" xfId="474" xr:uid="{00000000-0005-0000-0000-0000E7000000}"/>
    <cellStyle name="20% - Accent4 6 3" xfId="475" xr:uid="{00000000-0005-0000-0000-0000E8000000}"/>
    <cellStyle name="20% - Accent4 6 4" xfId="476" xr:uid="{00000000-0005-0000-0000-0000E9000000}"/>
    <cellStyle name="20% - Accent4 6 5" xfId="477" xr:uid="{00000000-0005-0000-0000-0000EA000000}"/>
    <cellStyle name="20% - Accent4 6 6" xfId="478" xr:uid="{00000000-0005-0000-0000-0000EB000000}"/>
    <cellStyle name="20% - Accent4 7 2" xfId="479" xr:uid="{00000000-0005-0000-0000-0000EC000000}"/>
    <cellStyle name="20% - Accent4 7 3" xfId="480" xr:uid="{00000000-0005-0000-0000-0000ED000000}"/>
    <cellStyle name="20% - Accent4 7 4" xfId="481" xr:uid="{00000000-0005-0000-0000-0000EE000000}"/>
    <cellStyle name="20% - Accent4 7 5" xfId="482" xr:uid="{00000000-0005-0000-0000-0000EF000000}"/>
    <cellStyle name="20% - Accent4 7 6" xfId="483" xr:uid="{00000000-0005-0000-0000-0000F0000000}"/>
    <cellStyle name="20% - Accent4 8 2" xfId="484" xr:uid="{00000000-0005-0000-0000-0000F1000000}"/>
    <cellStyle name="20% - Accent4 8 3" xfId="485" xr:uid="{00000000-0005-0000-0000-0000F2000000}"/>
    <cellStyle name="20% - Accent4 8 4" xfId="486" xr:uid="{00000000-0005-0000-0000-0000F3000000}"/>
    <cellStyle name="20% - Accent4 8 5" xfId="487" xr:uid="{00000000-0005-0000-0000-0000F4000000}"/>
    <cellStyle name="20% - Accent4 8 6" xfId="488" xr:uid="{00000000-0005-0000-0000-0000F5000000}"/>
    <cellStyle name="20% - Accent4 9 2" xfId="489" xr:uid="{00000000-0005-0000-0000-0000F6000000}"/>
    <cellStyle name="20% - Accent4 9 3" xfId="490" xr:uid="{00000000-0005-0000-0000-0000F7000000}"/>
    <cellStyle name="20% - Accent4 9 4" xfId="491" xr:uid="{00000000-0005-0000-0000-0000F8000000}"/>
    <cellStyle name="20% - Accent4 9 5" xfId="492" xr:uid="{00000000-0005-0000-0000-0000F9000000}"/>
    <cellStyle name="20% - Accent4 9 6" xfId="493" xr:uid="{00000000-0005-0000-0000-0000FA000000}"/>
    <cellStyle name="20% - Accent5 10 2" xfId="494" xr:uid="{00000000-0005-0000-0000-0000FB000000}"/>
    <cellStyle name="20% - Accent5 10 3" xfId="495" xr:uid="{00000000-0005-0000-0000-0000FC000000}"/>
    <cellStyle name="20% - Accent5 10 4" xfId="496" xr:uid="{00000000-0005-0000-0000-0000FD000000}"/>
    <cellStyle name="20% - Accent5 10 5" xfId="497" xr:uid="{00000000-0005-0000-0000-0000FE000000}"/>
    <cellStyle name="20% - Accent5 10 6" xfId="498" xr:uid="{00000000-0005-0000-0000-0000FF000000}"/>
    <cellStyle name="20% - Accent5 11 2" xfId="499" xr:uid="{00000000-0005-0000-0000-000000010000}"/>
    <cellStyle name="20% - Accent5 11 3" xfId="500" xr:uid="{00000000-0005-0000-0000-000001010000}"/>
    <cellStyle name="20% - Accent5 11 4" xfId="501" xr:uid="{00000000-0005-0000-0000-000002010000}"/>
    <cellStyle name="20% - Accent5 11 5" xfId="502" xr:uid="{00000000-0005-0000-0000-000003010000}"/>
    <cellStyle name="20% - Accent5 11 6" xfId="503" xr:uid="{00000000-0005-0000-0000-000004010000}"/>
    <cellStyle name="20% - Accent5 2" xfId="504" xr:uid="{00000000-0005-0000-0000-000005010000}"/>
    <cellStyle name="20% - Accent5 2 2" xfId="505" xr:uid="{00000000-0005-0000-0000-000006010000}"/>
    <cellStyle name="20% - Accent5 2 3" xfId="506" xr:uid="{00000000-0005-0000-0000-000007010000}"/>
    <cellStyle name="20% - Accent5 2 4" xfId="507" xr:uid="{00000000-0005-0000-0000-000008010000}"/>
    <cellStyle name="20% - Accent5 2 5" xfId="508" xr:uid="{00000000-0005-0000-0000-000009010000}"/>
    <cellStyle name="20% - Accent5 2 6" xfId="509" xr:uid="{00000000-0005-0000-0000-00000A010000}"/>
    <cellStyle name="20% - Accent5 3" xfId="510" xr:uid="{00000000-0005-0000-0000-00000B010000}"/>
    <cellStyle name="20% - Accent5 3 2" xfId="511" xr:uid="{00000000-0005-0000-0000-00000C010000}"/>
    <cellStyle name="20% - Accent5 3 3" xfId="512" xr:uid="{00000000-0005-0000-0000-00000D010000}"/>
    <cellStyle name="20% - Accent5 3 4" xfId="513" xr:uid="{00000000-0005-0000-0000-00000E010000}"/>
    <cellStyle name="20% - Accent5 3 5" xfId="514" xr:uid="{00000000-0005-0000-0000-00000F010000}"/>
    <cellStyle name="20% - Accent5 3 6" xfId="515" xr:uid="{00000000-0005-0000-0000-000010010000}"/>
    <cellStyle name="20% - Accent5 4 2" xfId="516" xr:uid="{00000000-0005-0000-0000-000011010000}"/>
    <cellStyle name="20% - Accent5 4 3" xfId="517" xr:uid="{00000000-0005-0000-0000-000012010000}"/>
    <cellStyle name="20% - Accent5 4 4" xfId="518" xr:uid="{00000000-0005-0000-0000-000013010000}"/>
    <cellStyle name="20% - Accent5 4 5" xfId="519" xr:uid="{00000000-0005-0000-0000-000014010000}"/>
    <cellStyle name="20% - Accent5 4 6" xfId="520" xr:uid="{00000000-0005-0000-0000-000015010000}"/>
    <cellStyle name="20% - Accent5 5 2" xfId="521" xr:uid="{00000000-0005-0000-0000-000016010000}"/>
    <cellStyle name="20% - Accent5 5 3" xfId="522" xr:uid="{00000000-0005-0000-0000-000017010000}"/>
    <cellStyle name="20% - Accent5 5 4" xfId="523" xr:uid="{00000000-0005-0000-0000-000018010000}"/>
    <cellStyle name="20% - Accent5 5 5" xfId="524" xr:uid="{00000000-0005-0000-0000-000019010000}"/>
    <cellStyle name="20% - Accent5 5 6" xfId="525" xr:uid="{00000000-0005-0000-0000-00001A010000}"/>
    <cellStyle name="20% - Accent5 6 2" xfId="526" xr:uid="{00000000-0005-0000-0000-00001B010000}"/>
    <cellStyle name="20% - Accent5 6 3" xfId="527" xr:uid="{00000000-0005-0000-0000-00001C010000}"/>
    <cellStyle name="20% - Accent5 6 4" xfId="528" xr:uid="{00000000-0005-0000-0000-00001D010000}"/>
    <cellStyle name="20% - Accent5 6 5" xfId="529" xr:uid="{00000000-0005-0000-0000-00001E010000}"/>
    <cellStyle name="20% - Accent5 6 6" xfId="530" xr:uid="{00000000-0005-0000-0000-00001F010000}"/>
    <cellStyle name="20% - Accent5 7 2" xfId="531" xr:uid="{00000000-0005-0000-0000-000020010000}"/>
    <cellStyle name="20% - Accent5 7 3" xfId="532" xr:uid="{00000000-0005-0000-0000-000021010000}"/>
    <cellStyle name="20% - Accent5 7 4" xfId="533" xr:uid="{00000000-0005-0000-0000-000022010000}"/>
    <cellStyle name="20% - Accent5 7 5" xfId="534" xr:uid="{00000000-0005-0000-0000-000023010000}"/>
    <cellStyle name="20% - Accent5 7 6" xfId="535" xr:uid="{00000000-0005-0000-0000-000024010000}"/>
    <cellStyle name="20% - Accent5 8 2" xfId="536" xr:uid="{00000000-0005-0000-0000-000025010000}"/>
    <cellStyle name="20% - Accent5 8 3" xfId="537" xr:uid="{00000000-0005-0000-0000-000026010000}"/>
    <cellStyle name="20% - Accent5 8 4" xfId="538" xr:uid="{00000000-0005-0000-0000-000027010000}"/>
    <cellStyle name="20% - Accent5 8 5" xfId="539" xr:uid="{00000000-0005-0000-0000-000028010000}"/>
    <cellStyle name="20% - Accent5 8 6" xfId="540" xr:uid="{00000000-0005-0000-0000-000029010000}"/>
    <cellStyle name="20% - Accent5 9 2" xfId="541" xr:uid="{00000000-0005-0000-0000-00002A010000}"/>
    <cellStyle name="20% - Accent5 9 3" xfId="542" xr:uid="{00000000-0005-0000-0000-00002B010000}"/>
    <cellStyle name="20% - Accent5 9 4" xfId="543" xr:uid="{00000000-0005-0000-0000-00002C010000}"/>
    <cellStyle name="20% - Accent5 9 5" xfId="544" xr:uid="{00000000-0005-0000-0000-00002D010000}"/>
    <cellStyle name="20% - Accent5 9 6" xfId="545" xr:uid="{00000000-0005-0000-0000-00002E010000}"/>
    <cellStyle name="20% - Accent6 10 2" xfId="546" xr:uid="{00000000-0005-0000-0000-00002F010000}"/>
    <cellStyle name="20% - Accent6 10 3" xfId="547" xr:uid="{00000000-0005-0000-0000-000030010000}"/>
    <cellStyle name="20% - Accent6 10 4" xfId="548" xr:uid="{00000000-0005-0000-0000-000031010000}"/>
    <cellStyle name="20% - Accent6 10 5" xfId="549" xr:uid="{00000000-0005-0000-0000-000032010000}"/>
    <cellStyle name="20% - Accent6 10 6" xfId="550" xr:uid="{00000000-0005-0000-0000-000033010000}"/>
    <cellStyle name="20% - Accent6 11 2" xfId="551" xr:uid="{00000000-0005-0000-0000-000034010000}"/>
    <cellStyle name="20% - Accent6 11 3" xfId="552" xr:uid="{00000000-0005-0000-0000-000035010000}"/>
    <cellStyle name="20% - Accent6 11 4" xfId="553" xr:uid="{00000000-0005-0000-0000-000036010000}"/>
    <cellStyle name="20% - Accent6 11 5" xfId="554" xr:uid="{00000000-0005-0000-0000-000037010000}"/>
    <cellStyle name="20% - Accent6 11 6" xfId="555" xr:uid="{00000000-0005-0000-0000-000038010000}"/>
    <cellStyle name="20% - Accent6 2" xfId="556" xr:uid="{00000000-0005-0000-0000-000039010000}"/>
    <cellStyle name="20% - Accent6 2 2" xfId="557" xr:uid="{00000000-0005-0000-0000-00003A010000}"/>
    <cellStyle name="20% - Accent6 2 3" xfId="558" xr:uid="{00000000-0005-0000-0000-00003B010000}"/>
    <cellStyle name="20% - Accent6 2 4" xfId="559" xr:uid="{00000000-0005-0000-0000-00003C010000}"/>
    <cellStyle name="20% - Accent6 2 5" xfId="560" xr:uid="{00000000-0005-0000-0000-00003D010000}"/>
    <cellStyle name="20% - Accent6 2 6" xfId="561" xr:uid="{00000000-0005-0000-0000-00003E010000}"/>
    <cellStyle name="20% - Accent6 3" xfId="562" xr:uid="{00000000-0005-0000-0000-00003F010000}"/>
    <cellStyle name="20% - Accent6 3 2" xfId="563" xr:uid="{00000000-0005-0000-0000-000040010000}"/>
    <cellStyle name="20% - Accent6 3 3" xfId="564" xr:uid="{00000000-0005-0000-0000-000041010000}"/>
    <cellStyle name="20% - Accent6 3 4" xfId="565" xr:uid="{00000000-0005-0000-0000-000042010000}"/>
    <cellStyle name="20% - Accent6 3 5" xfId="566" xr:uid="{00000000-0005-0000-0000-000043010000}"/>
    <cellStyle name="20% - Accent6 3 6" xfId="567" xr:uid="{00000000-0005-0000-0000-000044010000}"/>
    <cellStyle name="20% - Accent6 4 2" xfId="568" xr:uid="{00000000-0005-0000-0000-000045010000}"/>
    <cellStyle name="20% - Accent6 4 3" xfId="569" xr:uid="{00000000-0005-0000-0000-000046010000}"/>
    <cellStyle name="20% - Accent6 4 4" xfId="570" xr:uid="{00000000-0005-0000-0000-000047010000}"/>
    <cellStyle name="20% - Accent6 4 5" xfId="571" xr:uid="{00000000-0005-0000-0000-000048010000}"/>
    <cellStyle name="20% - Accent6 4 6" xfId="572" xr:uid="{00000000-0005-0000-0000-000049010000}"/>
    <cellStyle name="20% - Accent6 5 2" xfId="573" xr:uid="{00000000-0005-0000-0000-00004A010000}"/>
    <cellStyle name="20% - Accent6 5 3" xfId="574" xr:uid="{00000000-0005-0000-0000-00004B010000}"/>
    <cellStyle name="20% - Accent6 5 4" xfId="575" xr:uid="{00000000-0005-0000-0000-00004C010000}"/>
    <cellStyle name="20% - Accent6 5 5" xfId="576" xr:uid="{00000000-0005-0000-0000-00004D010000}"/>
    <cellStyle name="20% - Accent6 5 6" xfId="577" xr:uid="{00000000-0005-0000-0000-00004E010000}"/>
    <cellStyle name="20% - Accent6 6 2" xfId="578" xr:uid="{00000000-0005-0000-0000-00004F010000}"/>
    <cellStyle name="20% - Accent6 6 3" xfId="579" xr:uid="{00000000-0005-0000-0000-000050010000}"/>
    <cellStyle name="20% - Accent6 6 4" xfId="580" xr:uid="{00000000-0005-0000-0000-000051010000}"/>
    <cellStyle name="20% - Accent6 6 5" xfId="581" xr:uid="{00000000-0005-0000-0000-000052010000}"/>
    <cellStyle name="20% - Accent6 6 6" xfId="582" xr:uid="{00000000-0005-0000-0000-000053010000}"/>
    <cellStyle name="20% - Accent6 7 2" xfId="583" xr:uid="{00000000-0005-0000-0000-000054010000}"/>
    <cellStyle name="20% - Accent6 7 3" xfId="584" xr:uid="{00000000-0005-0000-0000-000055010000}"/>
    <cellStyle name="20% - Accent6 7 4" xfId="585" xr:uid="{00000000-0005-0000-0000-000056010000}"/>
    <cellStyle name="20% - Accent6 7 5" xfId="586" xr:uid="{00000000-0005-0000-0000-000057010000}"/>
    <cellStyle name="20% - Accent6 7 6" xfId="587" xr:uid="{00000000-0005-0000-0000-000058010000}"/>
    <cellStyle name="20% - Accent6 8 2" xfId="588" xr:uid="{00000000-0005-0000-0000-000059010000}"/>
    <cellStyle name="20% - Accent6 8 3" xfId="589" xr:uid="{00000000-0005-0000-0000-00005A010000}"/>
    <cellStyle name="20% - Accent6 8 4" xfId="590" xr:uid="{00000000-0005-0000-0000-00005B010000}"/>
    <cellStyle name="20% - Accent6 8 5" xfId="591" xr:uid="{00000000-0005-0000-0000-00005C010000}"/>
    <cellStyle name="20% - Accent6 8 6" xfId="592" xr:uid="{00000000-0005-0000-0000-00005D010000}"/>
    <cellStyle name="20% - Accent6 9 2" xfId="593" xr:uid="{00000000-0005-0000-0000-00005E010000}"/>
    <cellStyle name="20% - Accent6 9 3" xfId="594" xr:uid="{00000000-0005-0000-0000-00005F010000}"/>
    <cellStyle name="20% - Accent6 9 4" xfId="595" xr:uid="{00000000-0005-0000-0000-000060010000}"/>
    <cellStyle name="20% - Accent6 9 5" xfId="596" xr:uid="{00000000-0005-0000-0000-000061010000}"/>
    <cellStyle name="20% - Accent6 9 6" xfId="597" xr:uid="{00000000-0005-0000-0000-000062010000}"/>
    <cellStyle name="3" xfId="43" xr:uid="{00000000-0005-0000-0000-000063010000}"/>
    <cellStyle name="4" xfId="45" xr:uid="{00000000-0005-0000-0000-000064010000}"/>
    <cellStyle name="40% - Accent1 10 2" xfId="598" xr:uid="{00000000-0005-0000-0000-000065010000}"/>
    <cellStyle name="40% - Accent1 10 3" xfId="599" xr:uid="{00000000-0005-0000-0000-000066010000}"/>
    <cellStyle name="40% - Accent1 10 4" xfId="600" xr:uid="{00000000-0005-0000-0000-000067010000}"/>
    <cellStyle name="40% - Accent1 10 5" xfId="601" xr:uid="{00000000-0005-0000-0000-000068010000}"/>
    <cellStyle name="40% - Accent1 10 6" xfId="602" xr:uid="{00000000-0005-0000-0000-000069010000}"/>
    <cellStyle name="40% - Accent1 11 2" xfId="603" xr:uid="{00000000-0005-0000-0000-00006A010000}"/>
    <cellStyle name="40% - Accent1 11 3" xfId="604" xr:uid="{00000000-0005-0000-0000-00006B010000}"/>
    <cellStyle name="40% - Accent1 11 4" xfId="605" xr:uid="{00000000-0005-0000-0000-00006C010000}"/>
    <cellStyle name="40% - Accent1 11 5" xfId="606" xr:uid="{00000000-0005-0000-0000-00006D010000}"/>
    <cellStyle name="40% - Accent1 11 6" xfId="607" xr:uid="{00000000-0005-0000-0000-00006E010000}"/>
    <cellStyle name="40% - Accent1 2" xfId="608" xr:uid="{00000000-0005-0000-0000-00006F010000}"/>
    <cellStyle name="40% - Accent1 2 2" xfId="609" xr:uid="{00000000-0005-0000-0000-000070010000}"/>
    <cellStyle name="40% - Accent1 2 3" xfId="610" xr:uid="{00000000-0005-0000-0000-000071010000}"/>
    <cellStyle name="40% - Accent1 2 4" xfId="611" xr:uid="{00000000-0005-0000-0000-000072010000}"/>
    <cellStyle name="40% - Accent1 2 5" xfId="612" xr:uid="{00000000-0005-0000-0000-000073010000}"/>
    <cellStyle name="40% - Accent1 2 6" xfId="613" xr:uid="{00000000-0005-0000-0000-000074010000}"/>
    <cellStyle name="40% - Accent1 3" xfId="614" xr:uid="{00000000-0005-0000-0000-000075010000}"/>
    <cellStyle name="40% - Accent1 3 2" xfId="615" xr:uid="{00000000-0005-0000-0000-000076010000}"/>
    <cellStyle name="40% - Accent1 3 3" xfId="616" xr:uid="{00000000-0005-0000-0000-000077010000}"/>
    <cellStyle name="40% - Accent1 3 4" xfId="617" xr:uid="{00000000-0005-0000-0000-000078010000}"/>
    <cellStyle name="40% - Accent1 3 5" xfId="618" xr:uid="{00000000-0005-0000-0000-000079010000}"/>
    <cellStyle name="40% - Accent1 3 6" xfId="619" xr:uid="{00000000-0005-0000-0000-00007A010000}"/>
    <cellStyle name="40% - Accent1 4 2" xfId="620" xr:uid="{00000000-0005-0000-0000-00007B010000}"/>
    <cellStyle name="40% - Accent1 4 3" xfId="621" xr:uid="{00000000-0005-0000-0000-00007C010000}"/>
    <cellStyle name="40% - Accent1 4 4" xfId="622" xr:uid="{00000000-0005-0000-0000-00007D010000}"/>
    <cellStyle name="40% - Accent1 4 5" xfId="623" xr:uid="{00000000-0005-0000-0000-00007E010000}"/>
    <cellStyle name="40% - Accent1 4 6" xfId="624" xr:uid="{00000000-0005-0000-0000-00007F010000}"/>
    <cellStyle name="40% - Accent1 5 2" xfId="625" xr:uid="{00000000-0005-0000-0000-000080010000}"/>
    <cellStyle name="40% - Accent1 5 3" xfId="626" xr:uid="{00000000-0005-0000-0000-000081010000}"/>
    <cellStyle name="40% - Accent1 5 4" xfId="627" xr:uid="{00000000-0005-0000-0000-000082010000}"/>
    <cellStyle name="40% - Accent1 5 5" xfId="628" xr:uid="{00000000-0005-0000-0000-000083010000}"/>
    <cellStyle name="40% - Accent1 5 6" xfId="629" xr:uid="{00000000-0005-0000-0000-000084010000}"/>
    <cellStyle name="40% - Accent1 6 2" xfId="630" xr:uid="{00000000-0005-0000-0000-000085010000}"/>
    <cellStyle name="40% - Accent1 6 3" xfId="631" xr:uid="{00000000-0005-0000-0000-000086010000}"/>
    <cellStyle name="40% - Accent1 6 4" xfId="632" xr:uid="{00000000-0005-0000-0000-000087010000}"/>
    <cellStyle name="40% - Accent1 6 5" xfId="633" xr:uid="{00000000-0005-0000-0000-000088010000}"/>
    <cellStyle name="40% - Accent1 6 6" xfId="634" xr:uid="{00000000-0005-0000-0000-000089010000}"/>
    <cellStyle name="40% - Accent1 7 2" xfId="635" xr:uid="{00000000-0005-0000-0000-00008A010000}"/>
    <cellStyle name="40% - Accent1 7 3" xfId="636" xr:uid="{00000000-0005-0000-0000-00008B010000}"/>
    <cellStyle name="40% - Accent1 7 4" xfId="637" xr:uid="{00000000-0005-0000-0000-00008C010000}"/>
    <cellStyle name="40% - Accent1 7 5" xfId="638" xr:uid="{00000000-0005-0000-0000-00008D010000}"/>
    <cellStyle name="40% - Accent1 7 6" xfId="639" xr:uid="{00000000-0005-0000-0000-00008E010000}"/>
    <cellStyle name="40% - Accent1 8 2" xfId="640" xr:uid="{00000000-0005-0000-0000-00008F010000}"/>
    <cellStyle name="40% - Accent1 8 3" xfId="641" xr:uid="{00000000-0005-0000-0000-000090010000}"/>
    <cellStyle name="40% - Accent1 8 4" xfId="642" xr:uid="{00000000-0005-0000-0000-000091010000}"/>
    <cellStyle name="40% - Accent1 8 5" xfId="643" xr:uid="{00000000-0005-0000-0000-000092010000}"/>
    <cellStyle name="40% - Accent1 8 6" xfId="644" xr:uid="{00000000-0005-0000-0000-000093010000}"/>
    <cellStyle name="40% - Accent1 9 2" xfId="645" xr:uid="{00000000-0005-0000-0000-000094010000}"/>
    <cellStyle name="40% - Accent1 9 3" xfId="646" xr:uid="{00000000-0005-0000-0000-000095010000}"/>
    <cellStyle name="40% - Accent1 9 4" xfId="647" xr:uid="{00000000-0005-0000-0000-000096010000}"/>
    <cellStyle name="40% - Accent1 9 5" xfId="648" xr:uid="{00000000-0005-0000-0000-000097010000}"/>
    <cellStyle name="40% - Accent1 9 6" xfId="649" xr:uid="{00000000-0005-0000-0000-000098010000}"/>
    <cellStyle name="40% - Accent2 10 2" xfId="650" xr:uid="{00000000-0005-0000-0000-000099010000}"/>
    <cellStyle name="40% - Accent2 10 3" xfId="651" xr:uid="{00000000-0005-0000-0000-00009A010000}"/>
    <cellStyle name="40% - Accent2 10 4" xfId="652" xr:uid="{00000000-0005-0000-0000-00009B010000}"/>
    <cellStyle name="40% - Accent2 10 5" xfId="653" xr:uid="{00000000-0005-0000-0000-00009C010000}"/>
    <cellStyle name="40% - Accent2 10 6" xfId="654" xr:uid="{00000000-0005-0000-0000-00009D010000}"/>
    <cellStyle name="40% - Accent2 11 2" xfId="655" xr:uid="{00000000-0005-0000-0000-00009E010000}"/>
    <cellStyle name="40% - Accent2 11 3" xfId="656" xr:uid="{00000000-0005-0000-0000-00009F010000}"/>
    <cellStyle name="40% - Accent2 11 4" xfId="657" xr:uid="{00000000-0005-0000-0000-0000A0010000}"/>
    <cellStyle name="40% - Accent2 11 5" xfId="658" xr:uid="{00000000-0005-0000-0000-0000A1010000}"/>
    <cellStyle name="40% - Accent2 11 6" xfId="659" xr:uid="{00000000-0005-0000-0000-0000A2010000}"/>
    <cellStyle name="40% - Accent2 2" xfId="660" xr:uid="{00000000-0005-0000-0000-0000A3010000}"/>
    <cellStyle name="40% - Accent2 2 2" xfId="661" xr:uid="{00000000-0005-0000-0000-0000A4010000}"/>
    <cellStyle name="40% - Accent2 2 3" xfId="662" xr:uid="{00000000-0005-0000-0000-0000A5010000}"/>
    <cellStyle name="40% - Accent2 2 4" xfId="663" xr:uid="{00000000-0005-0000-0000-0000A6010000}"/>
    <cellStyle name="40% - Accent2 2 5" xfId="664" xr:uid="{00000000-0005-0000-0000-0000A7010000}"/>
    <cellStyle name="40% - Accent2 2 6" xfId="665" xr:uid="{00000000-0005-0000-0000-0000A8010000}"/>
    <cellStyle name="40% - Accent2 3" xfId="666" xr:uid="{00000000-0005-0000-0000-0000A9010000}"/>
    <cellStyle name="40% - Accent2 3 2" xfId="667" xr:uid="{00000000-0005-0000-0000-0000AA010000}"/>
    <cellStyle name="40% - Accent2 3 3" xfId="668" xr:uid="{00000000-0005-0000-0000-0000AB010000}"/>
    <cellStyle name="40% - Accent2 3 4" xfId="669" xr:uid="{00000000-0005-0000-0000-0000AC010000}"/>
    <cellStyle name="40% - Accent2 3 5" xfId="670" xr:uid="{00000000-0005-0000-0000-0000AD010000}"/>
    <cellStyle name="40% - Accent2 3 6" xfId="671" xr:uid="{00000000-0005-0000-0000-0000AE010000}"/>
    <cellStyle name="40% - Accent2 4 2" xfId="672" xr:uid="{00000000-0005-0000-0000-0000AF010000}"/>
    <cellStyle name="40% - Accent2 4 3" xfId="673" xr:uid="{00000000-0005-0000-0000-0000B0010000}"/>
    <cellStyle name="40% - Accent2 4 4" xfId="674" xr:uid="{00000000-0005-0000-0000-0000B1010000}"/>
    <cellStyle name="40% - Accent2 4 5" xfId="675" xr:uid="{00000000-0005-0000-0000-0000B2010000}"/>
    <cellStyle name="40% - Accent2 4 6" xfId="676" xr:uid="{00000000-0005-0000-0000-0000B3010000}"/>
    <cellStyle name="40% - Accent2 5 2" xfId="677" xr:uid="{00000000-0005-0000-0000-0000B4010000}"/>
    <cellStyle name="40% - Accent2 5 3" xfId="678" xr:uid="{00000000-0005-0000-0000-0000B5010000}"/>
    <cellStyle name="40% - Accent2 5 4" xfId="679" xr:uid="{00000000-0005-0000-0000-0000B6010000}"/>
    <cellStyle name="40% - Accent2 5 5" xfId="680" xr:uid="{00000000-0005-0000-0000-0000B7010000}"/>
    <cellStyle name="40% - Accent2 5 6" xfId="681" xr:uid="{00000000-0005-0000-0000-0000B8010000}"/>
    <cellStyle name="40% - Accent2 6 2" xfId="682" xr:uid="{00000000-0005-0000-0000-0000B9010000}"/>
    <cellStyle name="40% - Accent2 6 3" xfId="683" xr:uid="{00000000-0005-0000-0000-0000BA010000}"/>
    <cellStyle name="40% - Accent2 6 4" xfId="684" xr:uid="{00000000-0005-0000-0000-0000BB010000}"/>
    <cellStyle name="40% - Accent2 6 5" xfId="685" xr:uid="{00000000-0005-0000-0000-0000BC010000}"/>
    <cellStyle name="40% - Accent2 6 6" xfId="686" xr:uid="{00000000-0005-0000-0000-0000BD010000}"/>
    <cellStyle name="40% - Accent2 7 2" xfId="687" xr:uid="{00000000-0005-0000-0000-0000BE010000}"/>
    <cellStyle name="40% - Accent2 7 3" xfId="688" xr:uid="{00000000-0005-0000-0000-0000BF010000}"/>
    <cellStyle name="40% - Accent2 7 4" xfId="689" xr:uid="{00000000-0005-0000-0000-0000C0010000}"/>
    <cellStyle name="40% - Accent2 7 5" xfId="690" xr:uid="{00000000-0005-0000-0000-0000C1010000}"/>
    <cellStyle name="40% - Accent2 7 6" xfId="691" xr:uid="{00000000-0005-0000-0000-0000C2010000}"/>
    <cellStyle name="40% - Accent2 8 2" xfId="692" xr:uid="{00000000-0005-0000-0000-0000C3010000}"/>
    <cellStyle name="40% - Accent2 8 3" xfId="693" xr:uid="{00000000-0005-0000-0000-0000C4010000}"/>
    <cellStyle name="40% - Accent2 8 4" xfId="694" xr:uid="{00000000-0005-0000-0000-0000C5010000}"/>
    <cellStyle name="40% - Accent2 8 5" xfId="695" xr:uid="{00000000-0005-0000-0000-0000C6010000}"/>
    <cellStyle name="40% - Accent2 8 6" xfId="696" xr:uid="{00000000-0005-0000-0000-0000C7010000}"/>
    <cellStyle name="40% - Accent2 9 2" xfId="697" xr:uid="{00000000-0005-0000-0000-0000C8010000}"/>
    <cellStyle name="40% - Accent2 9 3" xfId="698" xr:uid="{00000000-0005-0000-0000-0000C9010000}"/>
    <cellStyle name="40% - Accent2 9 4" xfId="699" xr:uid="{00000000-0005-0000-0000-0000CA010000}"/>
    <cellStyle name="40% - Accent2 9 5" xfId="700" xr:uid="{00000000-0005-0000-0000-0000CB010000}"/>
    <cellStyle name="40% - Accent2 9 6" xfId="701" xr:uid="{00000000-0005-0000-0000-0000CC010000}"/>
    <cellStyle name="40% - Accent3 10 2" xfId="702" xr:uid="{00000000-0005-0000-0000-0000CD010000}"/>
    <cellStyle name="40% - Accent3 10 3" xfId="703" xr:uid="{00000000-0005-0000-0000-0000CE010000}"/>
    <cellStyle name="40% - Accent3 10 4" xfId="704" xr:uid="{00000000-0005-0000-0000-0000CF010000}"/>
    <cellStyle name="40% - Accent3 10 5" xfId="705" xr:uid="{00000000-0005-0000-0000-0000D0010000}"/>
    <cellStyle name="40% - Accent3 10 6" xfId="706" xr:uid="{00000000-0005-0000-0000-0000D1010000}"/>
    <cellStyle name="40% - Accent3 11 2" xfId="707" xr:uid="{00000000-0005-0000-0000-0000D2010000}"/>
    <cellStyle name="40% - Accent3 11 3" xfId="708" xr:uid="{00000000-0005-0000-0000-0000D3010000}"/>
    <cellStyle name="40% - Accent3 11 4" xfId="709" xr:uid="{00000000-0005-0000-0000-0000D4010000}"/>
    <cellStyle name="40% - Accent3 11 5" xfId="710" xr:uid="{00000000-0005-0000-0000-0000D5010000}"/>
    <cellStyle name="40% - Accent3 11 6" xfId="711" xr:uid="{00000000-0005-0000-0000-0000D6010000}"/>
    <cellStyle name="40% - Accent3 2" xfId="712" xr:uid="{00000000-0005-0000-0000-0000D7010000}"/>
    <cellStyle name="40% - Accent3 2 2" xfId="713" xr:uid="{00000000-0005-0000-0000-0000D8010000}"/>
    <cellStyle name="40% - Accent3 2 3" xfId="714" xr:uid="{00000000-0005-0000-0000-0000D9010000}"/>
    <cellStyle name="40% - Accent3 2 4" xfId="715" xr:uid="{00000000-0005-0000-0000-0000DA010000}"/>
    <cellStyle name="40% - Accent3 2 5" xfId="716" xr:uid="{00000000-0005-0000-0000-0000DB010000}"/>
    <cellStyle name="40% - Accent3 2 6" xfId="717" xr:uid="{00000000-0005-0000-0000-0000DC010000}"/>
    <cellStyle name="40% - Accent3 3" xfId="718" xr:uid="{00000000-0005-0000-0000-0000DD010000}"/>
    <cellStyle name="40% - Accent3 3 2" xfId="719" xr:uid="{00000000-0005-0000-0000-0000DE010000}"/>
    <cellStyle name="40% - Accent3 3 3" xfId="720" xr:uid="{00000000-0005-0000-0000-0000DF010000}"/>
    <cellStyle name="40% - Accent3 3 4" xfId="721" xr:uid="{00000000-0005-0000-0000-0000E0010000}"/>
    <cellStyle name="40% - Accent3 3 5" xfId="722" xr:uid="{00000000-0005-0000-0000-0000E1010000}"/>
    <cellStyle name="40% - Accent3 3 6" xfId="723" xr:uid="{00000000-0005-0000-0000-0000E2010000}"/>
    <cellStyle name="40% - Accent3 4 2" xfId="724" xr:uid="{00000000-0005-0000-0000-0000E3010000}"/>
    <cellStyle name="40% - Accent3 4 3" xfId="725" xr:uid="{00000000-0005-0000-0000-0000E4010000}"/>
    <cellStyle name="40% - Accent3 4 4" xfId="726" xr:uid="{00000000-0005-0000-0000-0000E5010000}"/>
    <cellStyle name="40% - Accent3 4 5" xfId="727" xr:uid="{00000000-0005-0000-0000-0000E6010000}"/>
    <cellStyle name="40% - Accent3 4 6" xfId="728" xr:uid="{00000000-0005-0000-0000-0000E7010000}"/>
    <cellStyle name="40% - Accent3 5 2" xfId="729" xr:uid="{00000000-0005-0000-0000-0000E8010000}"/>
    <cellStyle name="40% - Accent3 5 3" xfId="730" xr:uid="{00000000-0005-0000-0000-0000E9010000}"/>
    <cellStyle name="40% - Accent3 5 4" xfId="731" xr:uid="{00000000-0005-0000-0000-0000EA010000}"/>
    <cellStyle name="40% - Accent3 5 5" xfId="732" xr:uid="{00000000-0005-0000-0000-0000EB010000}"/>
    <cellStyle name="40% - Accent3 5 6" xfId="733" xr:uid="{00000000-0005-0000-0000-0000EC010000}"/>
    <cellStyle name="40% - Accent3 6 2" xfId="734" xr:uid="{00000000-0005-0000-0000-0000ED010000}"/>
    <cellStyle name="40% - Accent3 6 3" xfId="735" xr:uid="{00000000-0005-0000-0000-0000EE010000}"/>
    <cellStyle name="40% - Accent3 6 4" xfId="736" xr:uid="{00000000-0005-0000-0000-0000EF010000}"/>
    <cellStyle name="40% - Accent3 6 5" xfId="737" xr:uid="{00000000-0005-0000-0000-0000F0010000}"/>
    <cellStyle name="40% - Accent3 6 6" xfId="738" xr:uid="{00000000-0005-0000-0000-0000F1010000}"/>
    <cellStyle name="40% - Accent3 7 2" xfId="739" xr:uid="{00000000-0005-0000-0000-0000F2010000}"/>
    <cellStyle name="40% - Accent3 7 3" xfId="740" xr:uid="{00000000-0005-0000-0000-0000F3010000}"/>
    <cellStyle name="40% - Accent3 7 4" xfId="741" xr:uid="{00000000-0005-0000-0000-0000F4010000}"/>
    <cellStyle name="40% - Accent3 7 5" xfId="742" xr:uid="{00000000-0005-0000-0000-0000F5010000}"/>
    <cellStyle name="40% - Accent3 7 6" xfId="743" xr:uid="{00000000-0005-0000-0000-0000F6010000}"/>
    <cellStyle name="40% - Accent3 8 2" xfId="744" xr:uid="{00000000-0005-0000-0000-0000F7010000}"/>
    <cellStyle name="40% - Accent3 8 3" xfId="745" xr:uid="{00000000-0005-0000-0000-0000F8010000}"/>
    <cellStyle name="40% - Accent3 8 4" xfId="746" xr:uid="{00000000-0005-0000-0000-0000F9010000}"/>
    <cellStyle name="40% - Accent3 8 5" xfId="747" xr:uid="{00000000-0005-0000-0000-0000FA010000}"/>
    <cellStyle name="40% - Accent3 8 6" xfId="748" xr:uid="{00000000-0005-0000-0000-0000FB010000}"/>
    <cellStyle name="40% - Accent3 9 2" xfId="749" xr:uid="{00000000-0005-0000-0000-0000FC010000}"/>
    <cellStyle name="40% - Accent3 9 3" xfId="750" xr:uid="{00000000-0005-0000-0000-0000FD010000}"/>
    <cellStyle name="40% - Accent3 9 4" xfId="751" xr:uid="{00000000-0005-0000-0000-0000FE010000}"/>
    <cellStyle name="40% - Accent3 9 5" xfId="752" xr:uid="{00000000-0005-0000-0000-0000FF010000}"/>
    <cellStyle name="40% - Accent3 9 6" xfId="753" xr:uid="{00000000-0005-0000-0000-000000020000}"/>
    <cellStyle name="40% - Accent4 10 2" xfId="754" xr:uid="{00000000-0005-0000-0000-000001020000}"/>
    <cellStyle name="40% - Accent4 10 3" xfId="755" xr:uid="{00000000-0005-0000-0000-000002020000}"/>
    <cellStyle name="40% - Accent4 10 4" xfId="756" xr:uid="{00000000-0005-0000-0000-000003020000}"/>
    <cellStyle name="40% - Accent4 10 5" xfId="757" xr:uid="{00000000-0005-0000-0000-000004020000}"/>
    <cellStyle name="40% - Accent4 10 6" xfId="758" xr:uid="{00000000-0005-0000-0000-000005020000}"/>
    <cellStyle name="40% - Accent4 11 2" xfId="759" xr:uid="{00000000-0005-0000-0000-000006020000}"/>
    <cellStyle name="40% - Accent4 11 3" xfId="760" xr:uid="{00000000-0005-0000-0000-000007020000}"/>
    <cellStyle name="40% - Accent4 11 4" xfId="761" xr:uid="{00000000-0005-0000-0000-000008020000}"/>
    <cellStyle name="40% - Accent4 11 5" xfId="762" xr:uid="{00000000-0005-0000-0000-000009020000}"/>
    <cellStyle name="40% - Accent4 11 6" xfId="763" xr:uid="{00000000-0005-0000-0000-00000A020000}"/>
    <cellStyle name="40% - Accent4 2" xfId="764" xr:uid="{00000000-0005-0000-0000-00000B020000}"/>
    <cellStyle name="40% - Accent4 2 2" xfId="765" xr:uid="{00000000-0005-0000-0000-00000C020000}"/>
    <cellStyle name="40% - Accent4 2 3" xfId="766" xr:uid="{00000000-0005-0000-0000-00000D020000}"/>
    <cellStyle name="40% - Accent4 2 4" xfId="767" xr:uid="{00000000-0005-0000-0000-00000E020000}"/>
    <cellStyle name="40% - Accent4 2 5" xfId="768" xr:uid="{00000000-0005-0000-0000-00000F020000}"/>
    <cellStyle name="40% - Accent4 2 6" xfId="769" xr:uid="{00000000-0005-0000-0000-000010020000}"/>
    <cellStyle name="40% - Accent4 3" xfId="770" xr:uid="{00000000-0005-0000-0000-000011020000}"/>
    <cellStyle name="40% - Accent4 3 2" xfId="771" xr:uid="{00000000-0005-0000-0000-000012020000}"/>
    <cellStyle name="40% - Accent4 3 3" xfId="772" xr:uid="{00000000-0005-0000-0000-000013020000}"/>
    <cellStyle name="40% - Accent4 3 4" xfId="773" xr:uid="{00000000-0005-0000-0000-000014020000}"/>
    <cellStyle name="40% - Accent4 3 5" xfId="774" xr:uid="{00000000-0005-0000-0000-000015020000}"/>
    <cellStyle name="40% - Accent4 3 6" xfId="775" xr:uid="{00000000-0005-0000-0000-000016020000}"/>
    <cellStyle name="40% - Accent4 4 2" xfId="776" xr:uid="{00000000-0005-0000-0000-000017020000}"/>
    <cellStyle name="40% - Accent4 4 3" xfId="777" xr:uid="{00000000-0005-0000-0000-000018020000}"/>
    <cellStyle name="40% - Accent4 4 4" xfId="778" xr:uid="{00000000-0005-0000-0000-000019020000}"/>
    <cellStyle name="40% - Accent4 4 5" xfId="779" xr:uid="{00000000-0005-0000-0000-00001A020000}"/>
    <cellStyle name="40% - Accent4 4 6" xfId="780" xr:uid="{00000000-0005-0000-0000-00001B020000}"/>
    <cellStyle name="40% - Accent4 5 2" xfId="781" xr:uid="{00000000-0005-0000-0000-00001C020000}"/>
    <cellStyle name="40% - Accent4 5 3" xfId="782" xr:uid="{00000000-0005-0000-0000-00001D020000}"/>
    <cellStyle name="40% - Accent4 5 4" xfId="783" xr:uid="{00000000-0005-0000-0000-00001E020000}"/>
    <cellStyle name="40% - Accent4 5 5" xfId="784" xr:uid="{00000000-0005-0000-0000-00001F020000}"/>
    <cellStyle name="40% - Accent4 5 6" xfId="785" xr:uid="{00000000-0005-0000-0000-000020020000}"/>
    <cellStyle name="40% - Accent4 6 2" xfId="786" xr:uid="{00000000-0005-0000-0000-000021020000}"/>
    <cellStyle name="40% - Accent4 6 3" xfId="787" xr:uid="{00000000-0005-0000-0000-000022020000}"/>
    <cellStyle name="40% - Accent4 6 4" xfId="788" xr:uid="{00000000-0005-0000-0000-000023020000}"/>
    <cellStyle name="40% - Accent4 6 5" xfId="789" xr:uid="{00000000-0005-0000-0000-000024020000}"/>
    <cellStyle name="40% - Accent4 6 6" xfId="790" xr:uid="{00000000-0005-0000-0000-000025020000}"/>
    <cellStyle name="40% - Accent4 7 2" xfId="791" xr:uid="{00000000-0005-0000-0000-000026020000}"/>
    <cellStyle name="40% - Accent4 7 3" xfId="792" xr:uid="{00000000-0005-0000-0000-000027020000}"/>
    <cellStyle name="40% - Accent4 7 4" xfId="793" xr:uid="{00000000-0005-0000-0000-000028020000}"/>
    <cellStyle name="40% - Accent4 7 5" xfId="794" xr:uid="{00000000-0005-0000-0000-000029020000}"/>
    <cellStyle name="40% - Accent4 7 6" xfId="795" xr:uid="{00000000-0005-0000-0000-00002A020000}"/>
    <cellStyle name="40% - Accent4 8 2" xfId="796" xr:uid="{00000000-0005-0000-0000-00002B020000}"/>
    <cellStyle name="40% - Accent4 8 3" xfId="797" xr:uid="{00000000-0005-0000-0000-00002C020000}"/>
    <cellStyle name="40% - Accent4 8 4" xfId="798" xr:uid="{00000000-0005-0000-0000-00002D020000}"/>
    <cellStyle name="40% - Accent4 8 5" xfId="799" xr:uid="{00000000-0005-0000-0000-00002E020000}"/>
    <cellStyle name="40% - Accent4 8 6" xfId="800" xr:uid="{00000000-0005-0000-0000-00002F020000}"/>
    <cellStyle name="40% - Accent4 9 2" xfId="801" xr:uid="{00000000-0005-0000-0000-000030020000}"/>
    <cellStyle name="40% - Accent4 9 3" xfId="802" xr:uid="{00000000-0005-0000-0000-000031020000}"/>
    <cellStyle name="40% - Accent4 9 4" xfId="803" xr:uid="{00000000-0005-0000-0000-000032020000}"/>
    <cellStyle name="40% - Accent4 9 5" xfId="804" xr:uid="{00000000-0005-0000-0000-000033020000}"/>
    <cellStyle name="40% - Accent4 9 6" xfId="805" xr:uid="{00000000-0005-0000-0000-000034020000}"/>
    <cellStyle name="40% - Accent5 10 2" xfId="806" xr:uid="{00000000-0005-0000-0000-000035020000}"/>
    <cellStyle name="40% - Accent5 10 3" xfId="807" xr:uid="{00000000-0005-0000-0000-000036020000}"/>
    <cellStyle name="40% - Accent5 10 4" xfId="808" xr:uid="{00000000-0005-0000-0000-000037020000}"/>
    <cellStyle name="40% - Accent5 10 5" xfId="809" xr:uid="{00000000-0005-0000-0000-000038020000}"/>
    <cellStyle name="40% - Accent5 10 6" xfId="810" xr:uid="{00000000-0005-0000-0000-000039020000}"/>
    <cellStyle name="40% - Accent5 11 2" xfId="811" xr:uid="{00000000-0005-0000-0000-00003A020000}"/>
    <cellStyle name="40% - Accent5 11 3" xfId="812" xr:uid="{00000000-0005-0000-0000-00003B020000}"/>
    <cellStyle name="40% - Accent5 11 4" xfId="813" xr:uid="{00000000-0005-0000-0000-00003C020000}"/>
    <cellStyle name="40% - Accent5 11 5" xfId="814" xr:uid="{00000000-0005-0000-0000-00003D020000}"/>
    <cellStyle name="40% - Accent5 11 6" xfId="815" xr:uid="{00000000-0005-0000-0000-00003E020000}"/>
    <cellStyle name="40% - Accent5 2" xfId="816" xr:uid="{00000000-0005-0000-0000-00003F020000}"/>
    <cellStyle name="40% - Accent5 2 2" xfId="817" xr:uid="{00000000-0005-0000-0000-000040020000}"/>
    <cellStyle name="40% - Accent5 2 3" xfId="818" xr:uid="{00000000-0005-0000-0000-000041020000}"/>
    <cellStyle name="40% - Accent5 2 4" xfId="819" xr:uid="{00000000-0005-0000-0000-000042020000}"/>
    <cellStyle name="40% - Accent5 2 5" xfId="820" xr:uid="{00000000-0005-0000-0000-000043020000}"/>
    <cellStyle name="40% - Accent5 2 6" xfId="821" xr:uid="{00000000-0005-0000-0000-000044020000}"/>
    <cellStyle name="40% - Accent5 3" xfId="822" xr:uid="{00000000-0005-0000-0000-000045020000}"/>
    <cellStyle name="40% - Accent5 3 2" xfId="823" xr:uid="{00000000-0005-0000-0000-000046020000}"/>
    <cellStyle name="40% - Accent5 3 3" xfId="824" xr:uid="{00000000-0005-0000-0000-000047020000}"/>
    <cellStyle name="40% - Accent5 3 4" xfId="825" xr:uid="{00000000-0005-0000-0000-000048020000}"/>
    <cellStyle name="40% - Accent5 3 5" xfId="826" xr:uid="{00000000-0005-0000-0000-000049020000}"/>
    <cellStyle name="40% - Accent5 3 6" xfId="827" xr:uid="{00000000-0005-0000-0000-00004A020000}"/>
    <cellStyle name="40% - Accent5 4 2" xfId="828" xr:uid="{00000000-0005-0000-0000-00004B020000}"/>
    <cellStyle name="40% - Accent5 4 3" xfId="829" xr:uid="{00000000-0005-0000-0000-00004C020000}"/>
    <cellStyle name="40% - Accent5 4 4" xfId="830" xr:uid="{00000000-0005-0000-0000-00004D020000}"/>
    <cellStyle name="40% - Accent5 4 5" xfId="831" xr:uid="{00000000-0005-0000-0000-00004E020000}"/>
    <cellStyle name="40% - Accent5 4 6" xfId="832" xr:uid="{00000000-0005-0000-0000-00004F020000}"/>
    <cellStyle name="40% - Accent5 5 2" xfId="833" xr:uid="{00000000-0005-0000-0000-000050020000}"/>
    <cellStyle name="40% - Accent5 5 3" xfId="834" xr:uid="{00000000-0005-0000-0000-000051020000}"/>
    <cellStyle name="40% - Accent5 5 4" xfId="835" xr:uid="{00000000-0005-0000-0000-000052020000}"/>
    <cellStyle name="40% - Accent5 5 5" xfId="836" xr:uid="{00000000-0005-0000-0000-000053020000}"/>
    <cellStyle name="40% - Accent5 5 6" xfId="837" xr:uid="{00000000-0005-0000-0000-000054020000}"/>
    <cellStyle name="40% - Accent5 6 2" xfId="838" xr:uid="{00000000-0005-0000-0000-000055020000}"/>
    <cellStyle name="40% - Accent5 6 3" xfId="839" xr:uid="{00000000-0005-0000-0000-000056020000}"/>
    <cellStyle name="40% - Accent5 6 4" xfId="840" xr:uid="{00000000-0005-0000-0000-000057020000}"/>
    <cellStyle name="40% - Accent5 6 5" xfId="841" xr:uid="{00000000-0005-0000-0000-000058020000}"/>
    <cellStyle name="40% - Accent5 6 6" xfId="842" xr:uid="{00000000-0005-0000-0000-000059020000}"/>
    <cellStyle name="40% - Accent5 7 2" xfId="843" xr:uid="{00000000-0005-0000-0000-00005A020000}"/>
    <cellStyle name="40% - Accent5 7 3" xfId="844" xr:uid="{00000000-0005-0000-0000-00005B020000}"/>
    <cellStyle name="40% - Accent5 7 4" xfId="845" xr:uid="{00000000-0005-0000-0000-00005C020000}"/>
    <cellStyle name="40% - Accent5 7 5" xfId="846" xr:uid="{00000000-0005-0000-0000-00005D020000}"/>
    <cellStyle name="40% - Accent5 7 6" xfId="847" xr:uid="{00000000-0005-0000-0000-00005E020000}"/>
    <cellStyle name="40% - Accent5 8 2" xfId="848" xr:uid="{00000000-0005-0000-0000-00005F020000}"/>
    <cellStyle name="40% - Accent5 8 3" xfId="849" xr:uid="{00000000-0005-0000-0000-000060020000}"/>
    <cellStyle name="40% - Accent5 8 4" xfId="850" xr:uid="{00000000-0005-0000-0000-000061020000}"/>
    <cellStyle name="40% - Accent5 8 5" xfId="851" xr:uid="{00000000-0005-0000-0000-000062020000}"/>
    <cellStyle name="40% - Accent5 8 6" xfId="852" xr:uid="{00000000-0005-0000-0000-000063020000}"/>
    <cellStyle name="40% - Accent5 9 2" xfId="853" xr:uid="{00000000-0005-0000-0000-000064020000}"/>
    <cellStyle name="40% - Accent5 9 3" xfId="854" xr:uid="{00000000-0005-0000-0000-000065020000}"/>
    <cellStyle name="40% - Accent5 9 4" xfId="855" xr:uid="{00000000-0005-0000-0000-000066020000}"/>
    <cellStyle name="40% - Accent5 9 5" xfId="856" xr:uid="{00000000-0005-0000-0000-000067020000}"/>
    <cellStyle name="40% - Accent5 9 6" xfId="857" xr:uid="{00000000-0005-0000-0000-000068020000}"/>
    <cellStyle name="40% - Accent6 10 2" xfId="858" xr:uid="{00000000-0005-0000-0000-000069020000}"/>
    <cellStyle name="40% - Accent6 10 3" xfId="859" xr:uid="{00000000-0005-0000-0000-00006A020000}"/>
    <cellStyle name="40% - Accent6 10 4" xfId="860" xr:uid="{00000000-0005-0000-0000-00006B020000}"/>
    <cellStyle name="40% - Accent6 10 5" xfId="861" xr:uid="{00000000-0005-0000-0000-00006C020000}"/>
    <cellStyle name="40% - Accent6 10 6" xfId="862" xr:uid="{00000000-0005-0000-0000-00006D020000}"/>
    <cellStyle name="40% - Accent6 11 2" xfId="863" xr:uid="{00000000-0005-0000-0000-00006E020000}"/>
    <cellStyle name="40% - Accent6 11 3" xfId="864" xr:uid="{00000000-0005-0000-0000-00006F020000}"/>
    <cellStyle name="40% - Accent6 11 4" xfId="865" xr:uid="{00000000-0005-0000-0000-000070020000}"/>
    <cellStyle name="40% - Accent6 11 5" xfId="866" xr:uid="{00000000-0005-0000-0000-000071020000}"/>
    <cellStyle name="40% - Accent6 11 6" xfId="867" xr:uid="{00000000-0005-0000-0000-000072020000}"/>
    <cellStyle name="40% - Accent6 2" xfId="868" xr:uid="{00000000-0005-0000-0000-000073020000}"/>
    <cellStyle name="40% - Accent6 2 2" xfId="869" xr:uid="{00000000-0005-0000-0000-000074020000}"/>
    <cellStyle name="40% - Accent6 2 3" xfId="870" xr:uid="{00000000-0005-0000-0000-000075020000}"/>
    <cellStyle name="40% - Accent6 2 4" xfId="871" xr:uid="{00000000-0005-0000-0000-000076020000}"/>
    <cellStyle name="40% - Accent6 2 5" xfId="872" xr:uid="{00000000-0005-0000-0000-000077020000}"/>
    <cellStyle name="40% - Accent6 2 6" xfId="873" xr:uid="{00000000-0005-0000-0000-000078020000}"/>
    <cellStyle name="40% - Accent6 3" xfId="874" xr:uid="{00000000-0005-0000-0000-000079020000}"/>
    <cellStyle name="40% - Accent6 3 2" xfId="875" xr:uid="{00000000-0005-0000-0000-00007A020000}"/>
    <cellStyle name="40% - Accent6 3 3" xfId="876" xr:uid="{00000000-0005-0000-0000-00007B020000}"/>
    <cellStyle name="40% - Accent6 3 4" xfId="877" xr:uid="{00000000-0005-0000-0000-00007C020000}"/>
    <cellStyle name="40% - Accent6 3 5" xfId="878" xr:uid="{00000000-0005-0000-0000-00007D020000}"/>
    <cellStyle name="40% - Accent6 3 6" xfId="879" xr:uid="{00000000-0005-0000-0000-00007E020000}"/>
    <cellStyle name="40% - Accent6 4 2" xfId="880" xr:uid="{00000000-0005-0000-0000-00007F020000}"/>
    <cellStyle name="40% - Accent6 4 3" xfId="881" xr:uid="{00000000-0005-0000-0000-000080020000}"/>
    <cellStyle name="40% - Accent6 4 4" xfId="882" xr:uid="{00000000-0005-0000-0000-000081020000}"/>
    <cellStyle name="40% - Accent6 4 5" xfId="883" xr:uid="{00000000-0005-0000-0000-000082020000}"/>
    <cellStyle name="40% - Accent6 4 6" xfId="884" xr:uid="{00000000-0005-0000-0000-000083020000}"/>
    <cellStyle name="40% - Accent6 5 2" xfId="885" xr:uid="{00000000-0005-0000-0000-000084020000}"/>
    <cellStyle name="40% - Accent6 5 3" xfId="886" xr:uid="{00000000-0005-0000-0000-000085020000}"/>
    <cellStyle name="40% - Accent6 5 4" xfId="887" xr:uid="{00000000-0005-0000-0000-000086020000}"/>
    <cellStyle name="40% - Accent6 5 5" xfId="888" xr:uid="{00000000-0005-0000-0000-000087020000}"/>
    <cellStyle name="40% - Accent6 5 6" xfId="889" xr:uid="{00000000-0005-0000-0000-000088020000}"/>
    <cellStyle name="40% - Accent6 6 2" xfId="890" xr:uid="{00000000-0005-0000-0000-000089020000}"/>
    <cellStyle name="40% - Accent6 6 3" xfId="891" xr:uid="{00000000-0005-0000-0000-00008A020000}"/>
    <cellStyle name="40% - Accent6 6 4" xfId="892" xr:uid="{00000000-0005-0000-0000-00008B020000}"/>
    <cellStyle name="40% - Accent6 6 5" xfId="893" xr:uid="{00000000-0005-0000-0000-00008C020000}"/>
    <cellStyle name="40% - Accent6 6 6" xfId="894" xr:uid="{00000000-0005-0000-0000-00008D020000}"/>
    <cellStyle name="40% - Accent6 7 2" xfId="895" xr:uid="{00000000-0005-0000-0000-00008E020000}"/>
    <cellStyle name="40% - Accent6 7 3" xfId="896" xr:uid="{00000000-0005-0000-0000-00008F020000}"/>
    <cellStyle name="40% - Accent6 7 4" xfId="897" xr:uid="{00000000-0005-0000-0000-000090020000}"/>
    <cellStyle name="40% - Accent6 7 5" xfId="898" xr:uid="{00000000-0005-0000-0000-000091020000}"/>
    <cellStyle name="40% - Accent6 7 6" xfId="899" xr:uid="{00000000-0005-0000-0000-000092020000}"/>
    <cellStyle name="40% - Accent6 8 2" xfId="900" xr:uid="{00000000-0005-0000-0000-000093020000}"/>
    <cellStyle name="40% - Accent6 8 3" xfId="901" xr:uid="{00000000-0005-0000-0000-000094020000}"/>
    <cellStyle name="40% - Accent6 8 4" xfId="902" xr:uid="{00000000-0005-0000-0000-000095020000}"/>
    <cellStyle name="40% - Accent6 8 5" xfId="903" xr:uid="{00000000-0005-0000-0000-000096020000}"/>
    <cellStyle name="40% - Accent6 8 6" xfId="904" xr:uid="{00000000-0005-0000-0000-000097020000}"/>
    <cellStyle name="40% - Accent6 9 2" xfId="905" xr:uid="{00000000-0005-0000-0000-000098020000}"/>
    <cellStyle name="40% - Accent6 9 3" xfId="906" xr:uid="{00000000-0005-0000-0000-000099020000}"/>
    <cellStyle name="40% - Accent6 9 4" xfId="907" xr:uid="{00000000-0005-0000-0000-00009A020000}"/>
    <cellStyle name="40% - Accent6 9 5" xfId="908" xr:uid="{00000000-0005-0000-0000-00009B020000}"/>
    <cellStyle name="40% - Accent6 9 6" xfId="909" xr:uid="{00000000-0005-0000-0000-00009C020000}"/>
    <cellStyle name="5" xfId="46" xr:uid="{00000000-0005-0000-0000-00009D020000}"/>
    <cellStyle name="6" xfId="47" xr:uid="{00000000-0005-0000-0000-00009E020000}"/>
    <cellStyle name="60% - Accent1 10 2" xfId="910" xr:uid="{00000000-0005-0000-0000-00009F020000}"/>
    <cellStyle name="60% - Accent1 10 3" xfId="911" xr:uid="{00000000-0005-0000-0000-0000A0020000}"/>
    <cellStyle name="60% - Accent1 10 4" xfId="912" xr:uid="{00000000-0005-0000-0000-0000A1020000}"/>
    <cellStyle name="60% - Accent1 10 5" xfId="913" xr:uid="{00000000-0005-0000-0000-0000A2020000}"/>
    <cellStyle name="60% - Accent1 10 6" xfId="914" xr:uid="{00000000-0005-0000-0000-0000A3020000}"/>
    <cellStyle name="60% - Accent1 11 2" xfId="915" xr:uid="{00000000-0005-0000-0000-0000A4020000}"/>
    <cellStyle name="60% - Accent1 11 3" xfId="916" xr:uid="{00000000-0005-0000-0000-0000A5020000}"/>
    <cellStyle name="60% - Accent1 11 4" xfId="917" xr:uid="{00000000-0005-0000-0000-0000A6020000}"/>
    <cellStyle name="60% - Accent1 11 5" xfId="918" xr:uid="{00000000-0005-0000-0000-0000A7020000}"/>
    <cellStyle name="60% - Accent1 11 6" xfId="919" xr:uid="{00000000-0005-0000-0000-0000A8020000}"/>
    <cellStyle name="60% - Accent1 2" xfId="920" xr:uid="{00000000-0005-0000-0000-0000A9020000}"/>
    <cellStyle name="60% - Accent1 2 2" xfId="921" xr:uid="{00000000-0005-0000-0000-0000AA020000}"/>
    <cellStyle name="60% - Accent1 2 3" xfId="922" xr:uid="{00000000-0005-0000-0000-0000AB020000}"/>
    <cellStyle name="60% - Accent1 2 4" xfId="923" xr:uid="{00000000-0005-0000-0000-0000AC020000}"/>
    <cellStyle name="60% - Accent1 2 5" xfId="924" xr:uid="{00000000-0005-0000-0000-0000AD020000}"/>
    <cellStyle name="60% - Accent1 2 6" xfId="925" xr:uid="{00000000-0005-0000-0000-0000AE020000}"/>
    <cellStyle name="60% - Accent1 3" xfId="926" xr:uid="{00000000-0005-0000-0000-0000AF020000}"/>
    <cellStyle name="60% - Accent1 3 2" xfId="927" xr:uid="{00000000-0005-0000-0000-0000B0020000}"/>
    <cellStyle name="60% - Accent1 3 3" xfId="928" xr:uid="{00000000-0005-0000-0000-0000B1020000}"/>
    <cellStyle name="60% - Accent1 3 4" xfId="929" xr:uid="{00000000-0005-0000-0000-0000B2020000}"/>
    <cellStyle name="60% - Accent1 3 5" xfId="930" xr:uid="{00000000-0005-0000-0000-0000B3020000}"/>
    <cellStyle name="60% - Accent1 3 6" xfId="931" xr:uid="{00000000-0005-0000-0000-0000B4020000}"/>
    <cellStyle name="60% - Accent1 4 2" xfId="932" xr:uid="{00000000-0005-0000-0000-0000B5020000}"/>
    <cellStyle name="60% - Accent1 4 3" xfId="933" xr:uid="{00000000-0005-0000-0000-0000B6020000}"/>
    <cellStyle name="60% - Accent1 4 4" xfId="934" xr:uid="{00000000-0005-0000-0000-0000B7020000}"/>
    <cellStyle name="60% - Accent1 4 5" xfId="935" xr:uid="{00000000-0005-0000-0000-0000B8020000}"/>
    <cellStyle name="60% - Accent1 4 6" xfId="936" xr:uid="{00000000-0005-0000-0000-0000B9020000}"/>
    <cellStyle name="60% - Accent1 5 2" xfId="937" xr:uid="{00000000-0005-0000-0000-0000BA020000}"/>
    <cellStyle name="60% - Accent1 5 3" xfId="938" xr:uid="{00000000-0005-0000-0000-0000BB020000}"/>
    <cellStyle name="60% - Accent1 5 4" xfId="939" xr:uid="{00000000-0005-0000-0000-0000BC020000}"/>
    <cellStyle name="60% - Accent1 5 5" xfId="940" xr:uid="{00000000-0005-0000-0000-0000BD020000}"/>
    <cellStyle name="60% - Accent1 5 6" xfId="941" xr:uid="{00000000-0005-0000-0000-0000BE020000}"/>
    <cellStyle name="60% - Accent1 6 2" xfId="942" xr:uid="{00000000-0005-0000-0000-0000BF020000}"/>
    <cellStyle name="60% - Accent1 6 3" xfId="943" xr:uid="{00000000-0005-0000-0000-0000C0020000}"/>
    <cellStyle name="60% - Accent1 6 4" xfId="944" xr:uid="{00000000-0005-0000-0000-0000C1020000}"/>
    <cellStyle name="60% - Accent1 6 5" xfId="945" xr:uid="{00000000-0005-0000-0000-0000C2020000}"/>
    <cellStyle name="60% - Accent1 6 6" xfId="946" xr:uid="{00000000-0005-0000-0000-0000C3020000}"/>
    <cellStyle name="60% - Accent1 7 2" xfId="947" xr:uid="{00000000-0005-0000-0000-0000C4020000}"/>
    <cellStyle name="60% - Accent1 7 3" xfId="948" xr:uid="{00000000-0005-0000-0000-0000C5020000}"/>
    <cellStyle name="60% - Accent1 7 4" xfId="949" xr:uid="{00000000-0005-0000-0000-0000C6020000}"/>
    <cellStyle name="60% - Accent1 7 5" xfId="950" xr:uid="{00000000-0005-0000-0000-0000C7020000}"/>
    <cellStyle name="60% - Accent1 7 6" xfId="951" xr:uid="{00000000-0005-0000-0000-0000C8020000}"/>
    <cellStyle name="60% - Accent1 8 2" xfId="952" xr:uid="{00000000-0005-0000-0000-0000C9020000}"/>
    <cellStyle name="60% - Accent1 8 3" xfId="953" xr:uid="{00000000-0005-0000-0000-0000CA020000}"/>
    <cellStyle name="60% - Accent1 8 4" xfId="954" xr:uid="{00000000-0005-0000-0000-0000CB020000}"/>
    <cellStyle name="60% - Accent1 8 5" xfId="955" xr:uid="{00000000-0005-0000-0000-0000CC020000}"/>
    <cellStyle name="60% - Accent1 8 6" xfId="956" xr:uid="{00000000-0005-0000-0000-0000CD020000}"/>
    <cellStyle name="60% - Accent1 9 2" xfId="957" xr:uid="{00000000-0005-0000-0000-0000CE020000}"/>
    <cellStyle name="60% - Accent1 9 3" xfId="958" xr:uid="{00000000-0005-0000-0000-0000CF020000}"/>
    <cellStyle name="60% - Accent1 9 4" xfId="959" xr:uid="{00000000-0005-0000-0000-0000D0020000}"/>
    <cellStyle name="60% - Accent1 9 5" xfId="960" xr:uid="{00000000-0005-0000-0000-0000D1020000}"/>
    <cellStyle name="60% - Accent1 9 6" xfId="961" xr:uid="{00000000-0005-0000-0000-0000D2020000}"/>
    <cellStyle name="60% - Accent2 10 2" xfId="962" xr:uid="{00000000-0005-0000-0000-0000D3020000}"/>
    <cellStyle name="60% - Accent2 10 3" xfId="963" xr:uid="{00000000-0005-0000-0000-0000D4020000}"/>
    <cellStyle name="60% - Accent2 10 4" xfId="964" xr:uid="{00000000-0005-0000-0000-0000D5020000}"/>
    <cellStyle name="60% - Accent2 10 5" xfId="965" xr:uid="{00000000-0005-0000-0000-0000D6020000}"/>
    <cellStyle name="60% - Accent2 10 6" xfId="966" xr:uid="{00000000-0005-0000-0000-0000D7020000}"/>
    <cellStyle name="60% - Accent2 11 2" xfId="967" xr:uid="{00000000-0005-0000-0000-0000D8020000}"/>
    <cellStyle name="60% - Accent2 11 3" xfId="968" xr:uid="{00000000-0005-0000-0000-0000D9020000}"/>
    <cellStyle name="60% - Accent2 11 4" xfId="969" xr:uid="{00000000-0005-0000-0000-0000DA020000}"/>
    <cellStyle name="60% - Accent2 11 5" xfId="970" xr:uid="{00000000-0005-0000-0000-0000DB020000}"/>
    <cellStyle name="60% - Accent2 11 6" xfId="971" xr:uid="{00000000-0005-0000-0000-0000DC020000}"/>
    <cellStyle name="60% - Accent2 2" xfId="972" xr:uid="{00000000-0005-0000-0000-0000DD020000}"/>
    <cellStyle name="60% - Accent2 2 2" xfId="973" xr:uid="{00000000-0005-0000-0000-0000DE020000}"/>
    <cellStyle name="60% - Accent2 2 3" xfId="974" xr:uid="{00000000-0005-0000-0000-0000DF020000}"/>
    <cellStyle name="60% - Accent2 2 4" xfId="975" xr:uid="{00000000-0005-0000-0000-0000E0020000}"/>
    <cellStyle name="60% - Accent2 2 5" xfId="976" xr:uid="{00000000-0005-0000-0000-0000E1020000}"/>
    <cellStyle name="60% - Accent2 2 6" xfId="977" xr:uid="{00000000-0005-0000-0000-0000E2020000}"/>
    <cellStyle name="60% - Accent2 3" xfId="978" xr:uid="{00000000-0005-0000-0000-0000E3020000}"/>
    <cellStyle name="60% - Accent2 3 2" xfId="979" xr:uid="{00000000-0005-0000-0000-0000E4020000}"/>
    <cellStyle name="60% - Accent2 3 3" xfId="980" xr:uid="{00000000-0005-0000-0000-0000E5020000}"/>
    <cellStyle name="60% - Accent2 3 4" xfId="981" xr:uid="{00000000-0005-0000-0000-0000E6020000}"/>
    <cellStyle name="60% - Accent2 3 5" xfId="982" xr:uid="{00000000-0005-0000-0000-0000E7020000}"/>
    <cellStyle name="60% - Accent2 3 6" xfId="983" xr:uid="{00000000-0005-0000-0000-0000E8020000}"/>
    <cellStyle name="60% - Accent2 4 2" xfId="984" xr:uid="{00000000-0005-0000-0000-0000E9020000}"/>
    <cellStyle name="60% - Accent2 4 3" xfId="985" xr:uid="{00000000-0005-0000-0000-0000EA020000}"/>
    <cellStyle name="60% - Accent2 4 4" xfId="986" xr:uid="{00000000-0005-0000-0000-0000EB020000}"/>
    <cellStyle name="60% - Accent2 4 5" xfId="987" xr:uid="{00000000-0005-0000-0000-0000EC020000}"/>
    <cellStyle name="60% - Accent2 4 6" xfId="988" xr:uid="{00000000-0005-0000-0000-0000ED020000}"/>
    <cellStyle name="60% - Accent2 5 2" xfId="989" xr:uid="{00000000-0005-0000-0000-0000EE020000}"/>
    <cellStyle name="60% - Accent2 5 3" xfId="990" xr:uid="{00000000-0005-0000-0000-0000EF020000}"/>
    <cellStyle name="60% - Accent2 5 4" xfId="991" xr:uid="{00000000-0005-0000-0000-0000F0020000}"/>
    <cellStyle name="60% - Accent2 5 5" xfId="992" xr:uid="{00000000-0005-0000-0000-0000F1020000}"/>
    <cellStyle name="60% - Accent2 5 6" xfId="993" xr:uid="{00000000-0005-0000-0000-0000F2020000}"/>
    <cellStyle name="60% - Accent2 6 2" xfId="994" xr:uid="{00000000-0005-0000-0000-0000F3020000}"/>
    <cellStyle name="60% - Accent2 6 3" xfId="995" xr:uid="{00000000-0005-0000-0000-0000F4020000}"/>
    <cellStyle name="60% - Accent2 6 4" xfId="996" xr:uid="{00000000-0005-0000-0000-0000F5020000}"/>
    <cellStyle name="60% - Accent2 6 5" xfId="997" xr:uid="{00000000-0005-0000-0000-0000F6020000}"/>
    <cellStyle name="60% - Accent2 6 6" xfId="998" xr:uid="{00000000-0005-0000-0000-0000F7020000}"/>
    <cellStyle name="60% - Accent2 7 2" xfId="999" xr:uid="{00000000-0005-0000-0000-0000F8020000}"/>
    <cellStyle name="60% - Accent2 7 3" xfId="1000" xr:uid="{00000000-0005-0000-0000-0000F9020000}"/>
    <cellStyle name="60% - Accent2 7 4" xfId="1001" xr:uid="{00000000-0005-0000-0000-0000FA020000}"/>
    <cellStyle name="60% - Accent2 7 5" xfId="1002" xr:uid="{00000000-0005-0000-0000-0000FB020000}"/>
    <cellStyle name="60% - Accent2 7 6" xfId="1003" xr:uid="{00000000-0005-0000-0000-0000FC020000}"/>
    <cellStyle name="60% - Accent2 8 2" xfId="1004" xr:uid="{00000000-0005-0000-0000-0000FD020000}"/>
    <cellStyle name="60% - Accent2 8 3" xfId="1005" xr:uid="{00000000-0005-0000-0000-0000FE020000}"/>
    <cellStyle name="60% - Accent2 8 4" xfId="1006" xr:uid="{00000000-0005-0000-0000-0000FF020000}"/>
    <cellStyle name="60% - Accent2 8 5" xfId="1007" xr:uid="{00000000-0005-0000-0000-000000030000}"/>
    <cellStyle name="60% - Accent2 8 6" xfId="1008" xr:uid="{00000000-0005-0000-0000-000001030000}"/>
    <cellStyle name="60% - Accent2 9 2" xfId="1009" xr:uid="{00000000-0005-0000-0000-000002030000}"/>
    <cellStyle name="60% - Accent2 9 3" xfId="1010" xr:uid="{00000000-0005-0000-0000-000003030000}"/>
    <cellStyle name="60% - Accent2 9 4" xfId="1011" xr:uid="{00000000-0005-0000-0000-000004030000}"/>
    <cellStyle name="60% - Accent2 9 5" xfId="1012" xr:uid="{00000000-0005-0000-0000-000005030000}"/>
    <cellStyle name="60% - Accent2 9 6" xfId="1013" xr:uid="{00000000-0005-0000-0000-000006030000}"/>
    <cellStyle name="60% - Accent3 10 2" xfId="1014" xr:uid="{00000000-0005-0000-0000-000007030000}"/>
    <cellStyle name="60% - Accent3 10 3" xfId="1015" xr:uid="{00000000-0005-0000-0000-000008030000}"/>
    <cellStyle name="60% - Accent3 10 4" xfId="1016" xr:uid="{00000000-0005-0000-0000-000009030000}"/>
    <cellStyle name="60% - Accent3 10 5" xfId="1017" xr:uid="{00000000-0005-0000-0000-00000A030000}"/>
    <cellStyle name="60% - Accent3 10 6" xfId="1018" xr:uid="{00000000-0005-0000-0000-00000B030000}"/>
    <cellStyle name="60% - Accent3 11 2" xfId="1019" xr:uid="{00000000-0005-0000-0000-00000C030000}"/>
    <cellStyle name="60% - Accent3 11 3" xfId="1020" xr:uid="{00000000-0005-0000-0000-00000D030000}"/>
    <cellStyle name="60% - Accent3 11 4" xfId="1021" xr:uid="{00000000-0005-0000-0000-00000E030000}"/>
    <cellStyle name="60% - Accent3 11 5" xfId="1022" xr:uid="{00000000-0005-0000-0000-00000F030000}"/>
    <cellStyle name="60% - Accent3 11 6" xfId="1023" xr:uid="{00000000-0005-0000-0000-000010030000}"/>
    <cellStyle name="60% - Accent3 2" xfId="1024" xr:uid="{00000000-0005-0000-0000-000011030000}"/>
    <cellStyle name="60% - Accent3 2 2" xfId="1025" xr:uid="{00000000-0005-0000-0000-000012030000}"/>
    <cellStyle name="60% - Accent3 2 3" xfId="1026" xr:uid="{00000000-0005-0000-0000-000013030000}"/>
    <cellStyle name="60% - Accent3 2 4" xfId="1027" xr:uid="{00000000-0005-0000-0000-000014030000}"/>
    <cellStyle name="60% - Accent3 2 5" xfId="1028" xr:uid="{00000000-0005-0000-0000-000015030000}"/>
    <cellStyle name="60% - Accent3 2 6" xfId="1029" xr:uid="{00000000-0005-0000-0000-000016030000}"/>
    <cellStyle name="60% - Accent3 3" xfId="1030" xr:uid="{00000000-0005-0000-0000-000017030000}"/>
    <cellStyle name="60% - Accent3 3 2" xfId="1031" xr:uid="{00000000-0005-0000-0000-000018030000}"/>
    <cellStyle name="60% - Accent3 3 3" xfId="1032" xr:uid="{00000000-0005-0000-0000-000019030000}"/>
    <cellStyle name="60% - Accent3 3 4" xfId="1033" xr:uid="{00000000-0005-0000-0000-00001A030000}"/>
    <cellStyle name="60% - Accent3 3 5" xfId="1034" xr:uid="{00000000-0005-0000-0000-00001B030000}"/>
    <cellStyle name="60% - Accent3 3 6" xfId="1035" xr:uid="{00000000-0005-0000-0000-00001C030000}"/>
    <cellStyle name="60% - Accent3 4 2" xfId="1036" xr:uid="{00000000-0005-0000-0000-00001D030000}"/>
    <cellStyle name="60% - Accent3 4 3" xfId="1037" xr:uid="{00000000-0005-0000-0000-00001E030000}"/>
    <cellStyle name="60% - Accent3 4 4" xfId="1038" xr:uid="{00000000-0005-0000-0000-00001F030000}"/>
    <cellStyle name="60% - Accent3 4 5" xfId="1039" xr:uid="{00000000-0005-0000-0000-000020030000}"/>
    <cellStyle name="60% - Accent3 4 6" xfId="1040" xr:uid="{00000000-0005-0000-0000-000021030000}"/>
    <cellStyle name="60% - Accent3 5 2" xfId="1041" xr:uid="{00000000-0005-0000-0000-000022030000}"/>
    <cellStyle name="60% - Accent3 5 3" xfId="1042" xr:uid="{00000000-0005-0000-0000-000023030000}"/>
    <cellStyle name="60% - Accent3 5 4" xfId="1043" xr:uid="{00000000-0005-0000-0000-000024030000}"/>
    <cellStyle name="60% - Accent3 5 5" xfId="1044" xr:uid="{00000000-0005-0000-0000-000025030000}"/>
    <cellStyle name="60% - Accent3 5 6" xfId="1045" xr:uid="{00000000-0005-0000-0000-000026030000}"/>
    <cellStyle name="60% - Accent3 6 2" xfId="1046" xr:uid="{00000000-0005-0000-0000-000027030000}"/>
    <cellStyle name="60% - Accent3 6 3" xfId="1047" xr:uid="{00000000-0005-0000-0000-000028030000}"/>
    <cellStyle name="60% - Accent3 6 4" xfId="1048" xr:uid="{00000000-0005-0000-0000-000029030000}"/>
    <cellStyle name="60% - Accent3 6 5" xfId="1049" xr:uid="{00000000-0005-0000-0000-00002A030000}"/>
    <cellStyle name="60% - Accent3 6 6" xfId="1050" xr:uid="{00000000-0005-0000-0000-00002B030000}"/>
    <cellStyle name="60% - Accent3 7 2" xfId="1051" xr:uid="{00000000-0005-0000-0000-00002C030000}"/>
    <cellStyle name="60% - Accent3 7 3" xfId="1052" xr:uid="{00000000-0005-0000-0000-00002D030000}"/>
    <cellStyle name="60% - Accent3 7 4" xfId="1053" xr:uid="{00000000-0005-0000-0000-00002E030000}"/>
    <cellStyle name="60% - Accent3 7 5" xfId="1054" xr:uid="{00000000-0005-0000-0000-00002F030000}"/>
    <cellStyle name="60% - Accent3 7 6" xfId="1055" xr:uid="{00000000-0005-0000-0000-000030030000}"/>
    <cellStyle name="60% - Accent3 8 2" xfId="1056" xr:uid="{00000000-0005-0000-0000-000031030000}"/>
    <cellStyle name="60% - Accent3 8 3" xfId="1057" xr:uid="{00000000-0005-0000-0000-000032030000}"/>
    <cellStyle name="60% - Accent3 8 4" xfId="1058" xr:uid="{00000000-0005-0000-0000-000033030000}"/>
    <cellStyle name="60% - Accent3 8 5" xfId="1059" xr:uid="{00000000-0005-0000-0000-000034030000}"/>
    <cellStyle name="60% - Accent3 8 6" xfId="1060" xr:uid="{00000000-0005-0000-0000-000035030000}"/>
    <cellStyle name="60% - Accent3 9 2" xfId="1061" xr:uid="{00000000-0005-0000-0000-000036030000}"/>
    <cellStyle name="60% - Accent3 9 3" xfId="1062" xr:uid="{00000000-0005-0000-0000-000037030000}"/>
    <cellStyle name="60% - Accent3 9 4" xfId="1063" xr:uid="{00000000-0005-0000-0000-000038030000}"/>
    <cellStyle name="60% - Accent3 9 5" xfId="1064" xr:uid="{00000000-0005-0000-0000-000039030000}"/>
    <cellStyle name="60% - Accent3 9 6" xfId="1065" xr:uid="{00000000-0005-0000-0000-00003A030000}"/>
    <cellStyle name="60% - Accent4 10 2" xfId="1066" xr:uid="{00000000-0005-0000-0000-00003B030000}"/>
    <cellStyle name="60% - Accent4 10 3" xfId="1067" xr:uid="{00000000-0005-0000-0000-00003C030000}"/>
    <cellStyle name="60% - Accent4 10 4" xfId="1068" xr:uid="{00000000-0005-0000-0000-00003D030000}"/>
    <cellStyle name="60% - Accent4 10 5" xfId="1069" xr:uid="{00000000-0005-0000-0000-00003E030000}"/>
    <cellStyle name="60% - Accent4 10 6" xfId="1070" xr:uid="{00000000-0005-0000-0000-00003F030000}"/>
    <cellStyle name="60% - Accent4 11 2" xfId="1071" xr:uid="{00000000-0005-0000-0000-000040030000}"/>
    <cellStyle name="60% - Accent4 11 3" xfId="1072" xr:uid="{00000000-0005-0000-0000-000041030000}"/>
    <cellStyle name="60% - Accent4 11 4" xfId="1073" xr:uid="{00000000-0005-0000-0000-000042030000}"/>
    <cellStyle name="60% - Accent4 11 5" xfId="1074" xr:uid="{00000000-0005-0000-0000-000043030000}"/>
    <cellStyle name="60% - Accent4 11 6" xfId="1075" xr:uid="{00000000-0005-0000-0000-000044030000}"/>
    <cellStyle name="60% - Accent4 2" xfId="1076" xr:uid="{00000000-0005-0000-0000-000045030000}"/>
    <cellStyle name="60% - Accent4 2 2" xfId="1077" xr:uid="{00000000-0005-0000-0000-000046030000}"/>
    <cellStyle name="60% - Accent4 2 3" xfId="1078" xr:uid="{00000000-0005-0000-0000-000047030000}"/>
    <cellStyle name="60% - Accent4 2 4" xfId="1079" xr:uid="{00000000-0005-0000-0000-000048030000}"/>
    <cellStyle name="60% - Accent4 2 5" xfId="1080" xr:uid="{00000000-0005-0000-0000-000049030000}"/>
    <cellStyle name="60% - Accent4 2 6" xfId="1081" xr:uid="{00000000-0005-0000-0000-00004A030000}"/>
    <cellStyle name="60% - Accent4 3" xfId="1082" xr:uid="{00000000-0005-0000-0000-00004B030000}"/>
    <cellStyle name="60% - Accent4 3 2" xfId="1083" xr:uid="{00000000-0005-0000-0000-00004C030000}"/>
    <cellStyle name="60% - Accent4 3 3" xfId="1084" xr:uid="{00000000-0005-0000-0000-00004D030000}"/>
    <cellStyle name="60% - Accent4 3 4" xfId="1085" xr:uid="{00000000-0005-0000-0000-00004E030000}"/>
    <cellStyle name="60% - Accent4 3 5" xfId="1086" xr:uid="{00000000-0005-0000-0000-00004F030000}"/>
    <cellStyle name="60% - Accent4 3 6" xfId="1087" xr:uid="{00000000-0005-0000-0000-000050030000}"/>
    <cellStyle name="60% - Accent4 4 2" xfId="1088" xr:uid="{00000000-0005-0000-0000-000051030000}"/>
    <cellStyle name="60% - Accent4 4 3" xfId="1089" xr:uid="{00000000-0005-0000-0000-000052030000}"/>
    <cellStyle name="60% - Accent4 4 4" xfId="1090" xr:uid="{00000000-0005-0000-0000-000053030000}"/>
    <cellStyle name="60% - Accent4 4 5" xfId="1091" xr:uid="{00000000-0005-0000-0000-000054030000}"/>
    <cellStyle name="60% - Accent4 4 6" xfId="1092" xr:uid="{00000000-0005-0000-0000-000055030000}"/>
    <cellStyle name="60% - Accent4 5 2" xfId="1093" xr:uid="{00000000-0005-0000-0000-000056030000}"/>
    <cellStyle name="60% - Accent4 5 3" xfId="1094" xr:uid="{00000000-0005-0000-0000-000057030000}"/>
    <cellStyle name="60% - Accent4 5 4" xfId="1095" xr:uid="{00000000-0005-0000-0000-000058030000}"/>
    <cellStyle name="60% - Accent4 5 5" xfId="1096" xr:uid="{00000000-0005-0000-0000-000059030000}"/>
    <cellStyle name="60% - Accent4 5 6" xfId="1097" xr:uid="{00000000-0005-0000-0000-00005A030000}"/>
    <cellStyle name="60% - Accent4 6 2" xfId="1098" xr:uid="{00000000-0005-0000-0000-00005B030000}"/>
    <cellStyle name="60% - Accent4 6 3" xfId="1099" xr:uid="{00000000-0005-0000-0000-00005C030000}"/>
    <cellStyle name="60% - Accent4 6 4" xfId="1100" xr:uid="{00000000-0005-0000-0000-00005D030000}"/>
    <cellStyle name="60% - Accent4 6 5" xfId="1101" xr:uid="{00000000-0005-0000-0000-00005E030000}"/>
    <cellStyle name="60% - Accent4 6 6" xfId="1102" xr:uid="{00000000-0005-0000-0000-00005F030000}"/>
    <cellStyle name="60% - Accent4 7 2" xfId="1103" xr:uid="{00000000-0005-0000-0000-000060030000}"/>
    <cellStyle name="60% - Accent4 7 3" xfId="1104" xr:uid="{00000000-0005-0000-0000-000061030000}"/>
    <cellStyle name="60% - Accent4 7 4" xfId="1105" xr:uid="{00000000-0005-0000-0000-000062030000}"/>
    <cellStyle name="60% - Accent4 7 5" xfId="1106" xr:uid="{00000000-0005-0000-0000-000063030000}"/>
    <cellStyle name="60% - Accent4 7 6" xfId="1107" xr:uid="{00000000-0005-0000-0000-000064030000}"/>
    <cellStyle name="60% - Accent4 8 2" xfId="1108" xr:uid="{00000000-0005-0000-0000-000065030000}"/>
    <cellStyle name="60% - Accent4 8 3" xfId="1109" xr:uid="{00000000-0005-0000-0000-000066030000}"/>
    <cellStyle name="60% - Accent4 8 4" xfId="1110" xr:uid="{00000000-0005-0000-0000-000067030000}"/>
    <cellStyle name="60% - Accent4 8 5" xfId="1111" xr:uid="{00000000-0005-0000-0000-000068030000}"/>
    <cellStyle name="60% - Accent4 8 6" xfId="1112" xr:uid="{00000000-0005-0000-0000-000069030000}"/>
    <cellStyle name="60% - Accent4 9 2" xfId="1113" xr:uid="{00000000-0005-0000-0000-00006A030000}"/>
    <cellStyle name="60% - Accent4 9 3" xfId="1114" xr:uid="{00000000-0005-0000-0000-00006B030000}"/>
    <cellStyle name="60% - Accent4 9 4" xfId="1115" xr:uid="{00000000-0005-0000-0000-00006C030000}"/>
    <cellStyle name="60% - Accent4 9 5" xfId="1116" xr:uid="{00000000-0005-0000-0000-00006D030000}"/>
    <cellStyle name="60% - Accent4 9 6" xfId="1117" xr:uid="{00000000-0005-0000-0000-00006E030000}"/>
    <cellStyle name="60% - Accent5 10 2" xfId="1118" xr:uid="{00000000-0005-0000-0000-00006F030000}"/>
    <cellStyle name="60% - Accent5 10 3" xfId="1119" xr:uid="{00000000-0005-0000-0000-000070030000}"/>
    <cellStyle name="60% - Accent5 10 4" xfId="1120" xr:uid="{00000000-0005-0000-0000-000071030000}"/>
    <cellStyle name="60% - Accent5 10 5" xfId="1121" xr:uid="{00000000-0005-0000-0000-000072030000}"/>
    <cellStyle name="60% - Accent5 10 6" xfId="1122" xr:uid="{00000000-0005-0000-0000-000073030000}"/>
    <cellStyle name="60% - Accent5 11 2" xfId="1123" xr:uid="{00000000-0005-0000-0000-000074030000}"/>
    <cellStyle name="60% - Accent5 11 3" xfId="1124" xr:uid="{00000000-0005-0000-0000-000075030000}"/>
    <cellStyle name="60% - Accent5 11 4" xfId="1125" xr:uid="{00000000-0005-0000-0000-000076030000}"/>
    <cellStyle name="60% - Accent5 11 5" xfId="1126" xr:uid="{00000000-0005-0000-0000-000077030000}"/>
    <cellStyle name="60% - Accent5 11 6" xfId="1127" xr:uid="{00000000-0005-0000-0000-000078030000}"/>
    <cellStyle name="60% - Accent5 2" xfId="1128" xr:uid="{00000000-0005-0000-0000-000079030000}"/>
    <cellStyle name="60% - Accent5 2 2" xfId="1129" xr:uid="{00000000-0005-0000-0000-00007A030000}"/>
    <cellStyle name="60% - Accent5 2 3" xfId="1130" xr:uid="{00000000-0005-0000-0000-00007B030000}"/>
    <cellStyle name="60% - Accent5 2 4" xfId="1131" xr:uid="{00000000-0005-0000-0000-00007C030000}"/>
    <cellStyle name="60% - Accent5 2 5" xfId="1132" xr:uid="{00000000-0005-0000-0000-00007D030000}"/>
    <cellStyle name="60% - Accent5 2 6" xfId="1133" xr:uid="{00000000-0005-0000-0000-00007E030000}"/>
    <cellStyle name="60% - Accent5 3" xfId="1134" xr:uid="{00000000-0005-0000-0000-00007F030000}"/>
    <cellStyle name="60% - Accent5 3 2" xfId="1135" xr:uid="{00000000-0005-0000-0000-000080030000}"/>
    <cellStyle name="60% - Accent5 3 3" xfId="1136" xr:uid="{00000000-0005-0000-0000-000081030000}"/>
    <cellStyle name="60% - Accent5 3 4" xfId="1137" xr:uid="{00000000-0005-0000-0000-000082030000}"/>
    <cellStyle name="60% - Accent5 3 5" xfId="1138" xr:uid="{00000000-0005-0000-0000-000083030000}"/>
    <cellStyle name="60% - Accent5 3 6" xfId="1139" xr:uid="{00000000-0005-0000-0000-000084030000}"/>
    <cellStyle name="60% - Accent5 4 2" xfId="1140" xr:uid="{00000000-0005-0000-0000-000085030000}"/>
    <cellStyle name="60% - Accent5 4 3" xfId="1141" xr:uid="{00000000-0005-0000-0000-000086030000}"/>
    <cellStyle name="60% - Accent5 4 4" xfId="1142" xr:uid="{00000000-0005-0000-0000-000087030000}"/>
    <cellStyle name="60% - Accent5 4 5" xfId="1143" xr:uid="{00000000-0005-0000-0000-000088030000}"/>
    <cellStyle name="60% - Accent5 4 6" xfId="1144" xr:uid="{00000000-0005-0000-0000-000089030000}"/>
    <cellStyle name="60% - Accent5 5 2" xfId="1145" xr:uid="{00000000-0005-0000-0000-00008A030000}"/>
    <cellStyle name="60% - Accent5 5 3" xfId="1146" xr:uid="{00000000-0005-0000-0000-00008B030000}"/>
    <cellStyle name="60% - Accent5 5 4" xfId="1147" xr:uid="{00000000-0005-0000-0000-00008C030000}"/>
    <cellStyle name="60% - Accent5 5 5" xfId="1148" xr:uid="{00000000-0005-0000-0000-00008D030000}"/>
    <cellStyle name="60% - Accent5 5 6" xfId="1149" xr:uid="{00000000-0005-0000-0000-00008E030000}"/>
    <cellStyle name="60% - Accent5 6 2" xfId="1150" xr:uid="{00000000-0005-0000-0000-00008F030000}"/>
    <cellStyle name="60% - Accent5 6 3" xfId="1151" xr:uid="{00000000-0005-0000-0000-000090030000}"/>
    <cellStyle name="60% - Accent5 6 4" xfId="1152" xr:uid="{00000000-0005-0000-0000-000091030000}"/>
    <cellStyle name="60% - Accent5 6 5" xfId="1153" xr:uid="{00000000-0005-0000-0000-000092030000}"/>
    <cellStyle name="60% - Accent5 6 6" xfId="1154" xr:uid="{00000000-0005-0000-0000-000093030000}"/>
    <cellStyle name="60% - Accent5 7 2" xfId="1155" xr:uid="{00000000-0005-0000-0000-000094030000}"/>
    <cellStyle name="60% - Accent5 7 3" xfId="1156" xr:uid="{00000000-0005-0000-0000-000095030000}"/>
    <cellStyle name="60% - Accent5 7 4" xfId="1157" xr:uid="{00000000-0005-0000-0000-000096030000}"/>
    <cellStyle name="60% - Accent5 7 5" xfId="1158" xr:uid="{00000000-0005-0000-0000-000097030000}"/>
    <cellStyle name="60% - Accent5 7 6" xfId="1159" xr:uid="{00000000-0005-0000-0000-000098030000}"/>
    <cellStyle name="60% - Accent5 8 2" xfId="1160" xr:uid="{00000000-0005-0000-0000-000099030000}"/>
    <cellStyle name="60% - Accent5 8 3" xfId="1161" xr:uid="{00000000-0005-0000-0000-00009A030000}"/>
    <cellStyle name="60% - Accent5 8 4" xfId="1162" xr:uid="{00000000-0005-0000-0000-00009B030000}"/>
    <cellStyle name="60% - Accent5 8 5" xfId="1163" xr:uid="{00000000-0005-0000-0000-00009C030000}"/>
    <cellStyle name="60% - Accent5 8 6" xfId="1164" xr:uid="{00000000-0005-0000-0000-00009D030000}"/>
    <cellStyle name="60% - Accent5 9 2" xfId="1165" xr:uid="{00000000-0005-0000-0000-00009E030000}"/>
    <cellStyle name="60% - Accent5 9 3" xfId="1166" xr:uid="{00000000-0005-0000-0000-00009F030000}"/>
    <cellStyle name="60% - Accent5 9 4" xfId="1167" xr:uid="{00000000-0005-0000-0000-0000A0030000}"/>
    <cellStyle name="60% - Accent5 9 5" xfId="1168" xr:uid="{00000000-0005-0000-0000-0000A1030000}"/>
    <cellStyle name="60% - Accent5 9 6" xfId="1169" xr:uid="{00000000-0005-0000-0000-0000A2030000}"/>
    <cellStyle name="60% - Accent6 10 2" xfId="1170" xr:uid="{00000000-0005-0000-0000-0000A3030000}"/>
    <cellStyle name="60% - Accent6 10 3" xfId="1171" xr:uid="{00000000-0005-0000-0000-0000A4030000}"/>
    <cellStyle name="60% - Accent6 10 4" xfId="1172" xr:uid="{00000000-0005-0000-0000-0000A5030000}"/>
    <cellStyle name="60% - Accent6 10 5" xfId="1173" xr:uid="{00000000-0005-0000-0000-0000A6030000}"/>
    <cellStyle name="60% - Accent6 10 6" xfId="1174" xr:uid="{00000000-0005-0000-0000-0000A7030000}"/>
    <cellStyle name="60% - Accent6 11 2" xfId="1175" xr:uid="{00000000-0005-0000-0000-0000A8030000}"/>
    <cellStyle name="60% - Accent6 11 3" xfId="1176" xr:uid="{00000000-0005-0000-0000-0000A9030000}"/>
    <cellStyle name="60% - Accent6 11 4" xfId="1177" xr:uid="{00000000-0005-0000-0000-0000AA030000}"/>
    <cellStyle name="60% - Accent6 11 5" xfId="1178" xr:uid="{00000000-0005-0000-0000-0000AB030000}"/>
    <cellStyle name="60% - Accent6 11 6" xfId="1179" xr:uid="{00000000-0005-0000-0000-0000AC030000}"/>
    <cellStyle name="60% - Accent6 2" xfId="1180" xr:uid="{00000000-0005-0000-0000-0000AD030000}"/>
    <cellStyle name="60% - Accent6 2 2" xfId="1181" xr:uid="{00000000-0005-0000-0000-0000AE030000}"/>
    <cellStyle name="60% - Accent6 2 3" xfId="1182" xr:uid="{00000000-0005-0000-0000-0000AF030000}"/>
    <cellStyle name="60% - Accent6 2 4" xfId="1183" xr:uid="{00000000-0005-0000-0000-0000B0030000}"/>
    <cellStyle name="60% - Accent6 2 5" xfId="1184" xr:uid="{00000000-0005-0000-0000-0000B1030000}"/>
    <cellStyle name="60% - Accent6 2 6" xfId="1185" xr:uid="{00000000-0005-0000-0000-0000B2030000}"/>
    <cellStyle name="60% - Accent6 3" xfId="1186" xr:uid="{00000000-0005-0000-0000-0000B3030000}"/>
    <cellStyle name="60% - Accent6 3 2" xfId="1187" xr:uid="{00000000-0005-0000-0000-0000B4030000}"/>
    <cellStyle name="60% - Accent6 3 3" xfId="1188" xr:uid="{00000000-0005-0000-0000-0000B5030000}"/>
    <cellStyle name="60% - Accent6 3 4" xfId="1189" xr:uid="{00000000-0005-0000-0000-0000B6030000}"/>
    <cellStyle name="60% - Accent6 3 5" xfId="1190" xr:uid="{00000000-0005-0000-0000-0000B7030000}"/>
    <cellStyle name="60% - Accent6 3 6" xfId="1191" xr:uid="{00000000-0005-0000-0000-0000B8030000}"/>
    <cellStyle name="60% - Accent6 4 2" xfId="1192" xr:uid="{00000000-0005-0000-0000-0000B9030000}"/>
    <cellStyle name="60% - Accent6 4 3" xfId="1193" xr:uid="{00000000-0005-0000-0000-0000BA030000}"/>
    <cellStyle name="60% - Accent6 4 4" xfId="1194" xr:uid="{00000000-0005-0000-0000-0000BB030000}"/>
    <cellStyle name="60% - Accent6 4 5" xfId="1195" xr:uid="{00000000-0005-0000-0000-0000BC030000}"/>
    <cellStyle name="60% - Accent6 4 6" xfId="1196" xr:uid="{00000000-0005-0000-0000-0000BD030000}"/>
    <cellStyle name="60% - Accent6 5 2" xfId="1197" xr:uid="{00000000-0005-0000-0000-0000BE030000}"/>
    <cellStyle name="60% - Accent6 5 3" xfId="1198" xr:uid="{00000000-0005-0000-0000-0000BF030000}"/>
    <cellStyle name="60% - Accent6 5 4" xfId="1199" xr:uid="{00000000-0005-0000-0000-0000C0030000}"/>
    <cellStyle name="60% - Accent6 5 5" xfId="1200" xr:uid="{00000000-0005-0000-0000-0000C1030000}"/>
    <cellStyle name="60% - Accent6 5 6" xfId="1201" xr:uid="{00000000-0005-0000-0000-0000C2030000}"/>
    <cellStyle name="60% - Accent6 6 2" xfId="1202" xr:uid="{00000000-0005-0000-0000-0000C3030000}"/>
    <cellStyle name="60% - Accent6 6 3" xfId="1203" xr:uid="{00000000-0005-0000-0000-0000C4030000}"/>
    <cellStyle name="60% - Accent6 6 4" xfId="1204" xr:uid="{00000000-0005-0000-0000-0000C5030000}"/>
    <cellStyle name="60% - Accent6 6 5" xfId="1205" xr:uid="{00000000-0005-0000-0000-0000C6030000}"/>
    <cellStyle name="60% - Accent6 6 6" xfId="1206" xr:uid="{00000000-0005-0000-0000-0000C7030000}"/>
    <cellStyle name="60% - Accent6 7 2" xfId="1207" xr:uid="{00000000-0005-0000-0000-0000C8030000}"/>
    <cellStyle name="60% - Accent6 7 3" xfId="1208" xr:uid="{00000000-0005-0000-0000-0000C9030000}"/>
    <cellStyle name="60% - Accent6 7 4" xfId="1209" xr:uid="{00000000-0005-0000-0000-0000CA030000}"/>
    <cellStyle name="60% - Accent6 7 5" xfId="1210" xr:uid="{00000000-0005-0000-0000-0000CB030000}"/>
    <cellStyle name="60% - Accent6 7 6" xfId="1211" xr:uid="{00000000-0005-0000-0000-0000CC030000}"/>
    <cellStyle name="60% - Accent6 8 2" xfId="1212" xr:uid="{00000000-0005-0000-0000-0000CD030000}"/>
    <cellStyle name="60% - Accent6 8 3" xfId="1213" xr:uid="{00000000-0005-0000-0000-0000CE030000}"/>
    <cellStyle name="60% - Accent6 8 4" xfId="1214" xr:uid="{00000000-0005-0000-0000-0000CF030000}"/>
    <cellStyle name="60% - Accent6 8 5" xfId="1215" xr:uid="{00000000-0005-0000-0000-0000D0030000}"/>
    <cellStyle name="60% - Accent6 8 6" xfId="1216" xr:uid="{00000000-0005-0000-0000-0000D1030000}"/>
    <cellStyle name="60% - Accent6 9 2" xfId="1217" xr:uid="{00000000-0005-0000-0000-0000D2030000}"/>
    <cellStyle name="60% - Accent6 9 3" xfId="1218" xr:uid="{00000000-0005-0000-0000-0000D3030000}"/>
    <cellStyle name="60% - Accent6 9 4" xfId="1219" xr:uid="{00000000-0005-0000-0000-0000D4030000}"/>
    <cellStyle name="60% - Accent6 9 5" xfId="1220" xr:uid="{00000000-0005-0000-0000-0000D5030000}"/>
    <cellStyle name="60% - Accent6 9 6" xfId="1221" xr:uid="{00000000-0005-0000-0000-0000D6030000}"/>
    <cellStyle name="7" xfId="48" xr:uid="{00000000-0005-0000-0000-0000D7030000}"/>
    <cellStyle name="8" xfId="49" xr:uid="{00000000-0005-0000-0000-0000D8030000}"/>
    <cellStyle name="9" xfId="50" xr:uid="{00000000-0005-0000-0000-0000D9030000}"/>
    <cellStyle name="Accent1 - 20%" xfId="51" xr:uid="{00000000-0005-0000-0000-0000DA030000}"/>
    <cellStyle name="Accent1 - 40%" xfId="52" xr:uid="{00000000-0005-0000-0000-0000DB030000}"/>
    <cellStyle name="Accent1 - 60%" xfId="53" xr:uid="{00000000-0005-0000-0000-0000DC030000}"/>
    <cellStyle name="Accent1 10 2" xfId="1222" xr:uid="{00000000-0005-0000-0000-0000DD030000}"/>
    <cellStyle name="Accent1 10 3" xfId="1223" xr:uid="{00000000-0005-0000-0000-0000DE030000}"/>
    <cellStyle name="Accent1 10 4" xfId="1224" xr:uid="{00000000-0005-0000-0000-0000DF030000}"/>
    <cellStyle name="Accent1 10 5" xfId="1225" xr:uid="{00000000-0005-0000-0000-0000E0030000}"/>
    <cellStyle name="Accent1 10 6" xfId="1226" xr:uid="{00000000-0005-0000-0000-0000E1030000}"/>
    <cellStyle name="Accent1 11 2" xfId="1227" xr:uid="{00000000-0005-0000-0000-0000E2030000}"/>
    <cellStyle name="Accent1 11 3" xfId="1228" xr:uid="{00000000-0005-0000-0000-0000E3030000}"/>
    <cellStyle name="Accent1 11 4" xfId="1229" xr:uid="{00000000-0005-0000-0000-0000E4030000}"/>
    <cellStyle name="Accent1 11 5" xfId="1230" xr:uid="{00000000-0005-0000-0000-0000E5030000}"/>
    <cellStyle name="Accent1 11 6" xfId="1231" xr:uid="{00000000-0005-0000-0000-0000E6030000}"/>
    <cellStyle name="Accent1 2" xfId="54" xr:uid="{00000000-0005-0000-0000-0000E7030000}"/>
    <cellStyle name="Accent1 2 2" xfId="1232" xr:uid="{00000000-0005-0000-0000-0000E8030000}"/>
    <cellStyle name="Accent1 2 3" xfId="1233" xr:uid="{00000000-0005-0000-0000-0000E9030000}"/>
    <cellStyle name="Accent1 2 4" xfId="1234" xr:uid="{00000000-0005-0000-0000-0000EA030000}"/>
    <cellStyle name="Accent1 2 5" xfId="1235" xr:uid="{00000000-0005-0000-0000-0000EB030000}"/>
    <cellStyle name="Accent1 2 6" xfId="1236" xr:uid="{00000000-0005-0000-0000-0000EC030000}"/>
    <cellStyle name="Accent1 3" xfId="55" xr:uid="{00000000-0005-0000-0000-0000ED030000}"/>
    <cellStyle name="Accent1 3 2" xfId="1238" xr:uid="{00000000-0005-0000-0000-0000EE030000}"/>
    <cellStyle name="Accent1 3 3" xfId="1239" xr:uid="{00000000-0005-0000-0000-0000EF030000}"/>
    <cellStyle name="Accent1 3 4" xfId="1240" xr:uid="{00000000-0005-0000-0000-0000F0030000}"/>
    <cellStyle name="Accent1 3 5" xfId="1241" xr:uid="{00000000-0005-0000-0000-0000F1030000}"/>
    <cellStyle name="Accent1 3 6" xfId="1242" xr:uid="{00000000-0005-0000-0000-0000F2030000}"/>
    <cellStyle name="Accent1 3 7" xfId="1243" xr:uid="{00000000-0005-0000-0000-0000F3030000}"/>
    <cellStyle name="Accent1 3 8" xfId="1237" xr:uid="{00000000-0005-0000-0000-0000F4030000}"/>
    <cellStyle name="Accent1 4" xfId="56" xr:uid="{00000000-0005-0000-0000-0000F5030000}"/>
    <cellStyle name="Accent1 4 2" xfId="1245" xr:uid="{00000000-0005-0000-0000-0000F6030000}"/>
    <cellStyle name="Accent1 4 3" xfId="1246" xr:uid="{00000000-0005-0000-0000-0000F7030000}"/>
    <cellStyle name="Accent1 4 4" xfId="1247" xr:uid="{00000000-0005-0000-0000-0000F8030000}"/>
    <cellStyle name="Accent1 4 5" xfId="1248" xr:uid="{00000000-0005-0000-0000-0000F9030000}"/>
    <cellStyle name="Accent1 4 6" xfId="1249" xr:uid="{00000000-0005-0000-0000-0000FA030000}"/>
    <cellStyle name="Accent1 4 7" xfId="1250" xr:uid="{00000000-0005-0000-0000-0000FB030000}"/>
    <cellStyle name="Accent1 4 8" xfId="1244" xr:uid="{00000000-0005-0000-0000-0000FC030000}"/>
    <cellStyle name="Accent1 5" xfId="57" xr:uid="{00000000-0005-0000-0000-0000FD030000}"/>
    <cellStyle name="Accent1 5 2" xfId="1251" xr:uid="{00000000-0005-0000-0000-0000FE030000}"/>
    <cellStyle name="Accent1 5 3" xfId="1252" xr:uid="{00000000-0005-0000-0000-0000FF030000}"/>
    <cellStyle name="Accent1 5 4" xfId="1253" xr:uid="{00000000-0005-0000-0000-000000040000}"/>
    <cellStyle name="Accent1 5 5" xfId="1254" xr:uid="{00000000-0005-0000-0000-000001040000}"/>
    <cellStyle name="Accent1 5 6" xfId="1255" xr:uid="{00000000-0005-0000-0000-000002040000}"/>
    <cellStyle name="Accent1 6" xfId="58" xr:uid="{00000000-0005-0000-0000-000003040000}"/>
    <cellStyle name="Accent1 6 2" xfId="1256" xr:uid="{00000000-0005-0000-0000-000004040000}"/>
    <cellStyle name="Accent1 6 3" xfId="1257" xr:uid="{00000000-0005-0000-0000-000005040000}"/>
    <cellStyle name="Accent1 6 4" xfId="1258" xr:uid="{00000000-0005-0000-0000-000006040000}"/>
    <cellStyle name="Accent1 6 5" xfId="1259" xr:uid="{00000000-0005-0000-0000-000007040000}"/>
    <cellStyle name="Accent1 6 6" xfId="1260" xr:uid="{00000000-0005-0000-0000-000008040000}"/>
    <cellStyle name="Accent1 7" xfId="59" xr:uid="{00000000-0005-0000-0000-000009040000}"/>
    <cellStyle name="Accent1 7 2" xfId="1261" xr:uid="{00000000-0005-0000-0000-00000A040000}"/>
    <cellStyle name="Accent1 7 3" xfId="1262" xr:uid="{00000000-0005-0000-0000-00000B040000}"/>
    <cellStyle name="Accent1 7 4" xfId="1263" xr:uid="{00000000-0005-0000-0000-00000C040000}"/>
    <cellStyle name="Accent1 7 5" xfId="1264" xr:uid="{00000000-0005-0000-0000-00000D040000}"/>
    <cellStyle name="Accent1 7 6" xfId="1265" xr:uid="{00000000-0005-0000-0000-00000E040000}"/>
    <cellStyle name="Accent1 8 2" xfId="1266" xr:uid="{00000000-0005-0000-0000-00000F040000}"/>
    <cellStyle name="Accent1 8 3" xfId="1267" xr:uid="{00000000-0005-0000-0000-000010040000}"/>
    <cellStyle name="Accent1 8 4" xfId="1268" xr:uid="{00000000-0005-0000-0000-000011040000}"/>
    <cellStyle name="Accent1 8 5" xfId="1269" xr:uid="{00000000-0005-0000-0000-000012040000}"/>
    <cellStyle name="Accent1 8 6" xfId="1270" xr:uid="{00000000-0005-0000-0000-000013040000}"/>
    <cellStyle name="Accent1 9 2" xfId="1271" xr:uid="{00000000-0005-0000-0000-000014040000}"/>
    <cellStyle name="Accent1 9 3" xfId="1272" xr:uid="{00000000-0005-0000-0000-000015040000}"/>
    <cellStyle name="Accent1 9 4" xfId="1273" xr:uid="{00000000-0005-0000-0000-000016040000}"/>
    <cellStyle name="Accent1 9 5" xfId="1274" xr:uid="{00000000-0005-0000-0000-000017040000}"/>
    <cellStyle name="Accent1 9 6" xfId="1275" xr:uid="{00000000-0005-0000-0000-000018040000}"/>
    <cellStyle name="Accent2 - 20%" xfId="60" xr:uid="{00000000-0005-0000-0000-000019040000}"/>
    <cellStyle name="Accent2 - 40%" xfId="61" xr:uid="{00000000-0005-0000-0000-00001A040000}"/>
    <cellStyle name="Accent2 - 60%" xfId="62" xr:uid="{00000000-0005-0000-0000-00001B040000}"/>
    <cellStyle name="Accent2 10 2" xfId="1276" xr:uid="{00000000-0005-0000-0000-00001C040000}"/>
    <cellStyle name="Accent2 10 3" xfId="1277" xr:uid="{00000000-0005-0000-0000-00001D040000}"/>
    <cellStyle name="Accent2 10 4" xfId="1278" xr:uid="{00000000-0005-0000-0000-00001E040000}"/>
    <cellStyle name="Accent2 10 5" xfId="1279" xr:uid="{00000000-0005-0000-0000-00001F040000}"/>
    <cellStyle name="Accent2 10 6" xfId="1280" xr:uid="{00000000-0005-0000-0000-000020040000}"/>
    <cellStyle name="Accent2 11 2" xfId="1281" xr:uid="{00000000-0005-0000-0000-000021040000}"/>
    <cellStyle name="Accent2 11 3" xfId="1282" xr:uid="{00000000-0005-0000-0000-000022040000}"/>
    <cellStyle name="Accent2 11 4" xfId="1283" xr:uid="{00000000-0005-0000-0000-000023040000}"/>
    <cellStyle name="Accent2 11 5" xfId="1284" xr:uid="{00000000-0005-0000-0000-000024040000}"/>
    <cellStyle name="Accent2 11 6" xfId="1285" xr:uid="{00000000-0005-0000-0000-000025040000}"/>
    <cellStyle name="Accent2 2" xfId="63" xr:uid="{00000000-0005-0000-0000-000026040000}"/>
    <cellStyle name="Accent2 2 2" xfId="1286" xr:uid="{00000000-0005-0000-0000-000027040000}"/>
    <cellStyle name="Accent2 2 3" xfId="1287" xr:uid="{00000000-0005-0000-0000-000028040000}"/>
    <cellStyle name="Accent2 2 4" xfId="1288" xr:uid="{00000000-0005-0000-0000-000029040000}"/>
    <cellStyle name="Accent2 2 5" xfId="1289" xr:uid="{00000000-0005-0000-0000-00002A040000}"/>
    <cellStyle name="Accent2 2 6" xfId="1290" xr:uid="{00000000-0005-0000-0000-00002B040000}"/>
    <cellStyle name="Accent2 3" xfId="64" xr:uid="{00000000-0005-0000-0000-00002C040000}"/>
    <cellStyle name="Accent2 3 2" xfId="1292" xr:uid="{00000000-0005-0000-0000-00002D040000}"/>
    <cellStyle name="Accent2 3 3" xfId="1293" xr:uid="{00000000-0005-0000-0000-00002E040000}"/>
    <cellStyle name="Accent2 3 4" xfId="1294" xr:uid="{00000000-0005-0000-0000-00002F040000}"/>
    <cellStyle name="Accent2 3 5" xfId="1295" xr:uid="{00000000-0005-0000-0000-000030040000}"/>
    <cellStyle name="Accent2 3 6" xfId="1296" xr:uid="{00000000-0005-0000-0000-000031040000}"/>
    <cellStyle name="Accent2 3 7" xfId="1297" xr:uid="{00000000-0005-0000-0000-000032040000}"/>
    <cellStyle name="Accent2 3 8" xfId="1291" xr:uid="{00000000-0005-0000-0000-000033040000}"/>
    <cellStyle name="Accent2 4" xfId="65" xr:uid="{00000000-0005-0000-0000-000034040000}"/>
    <cellStyle name="Accent2 4 2" xfId="1299" xr:uid="{00000000-0005-0000-0000-000035040000}"/>
    <cellStyle name="Accent2 4 3" xfId="1300" xr:uid="{00000000-0005-0000-0000-000036040000}"/>
    <cellStyle name="Accent2 4 4" xfId="1301" xr:uid="{00000000-0005-0000-0000-000037040000}"/>
    <cellStyle name="Accent2 4 5" xfId="1302" xr:uid="{00000000-0005-0000-0000-000038040000}"/>
    <cellStyle name="Accent2 4 6" xfId="1303" xr:uid="{00000000-0005-0000-0000-000039040000}"/>
    <cellStyle name="Accent2 4 7" xfId="1304" xr:uid="{00000000-0005-0000-0000-00003A040000}"/>
    <cellStyle name="Accent2 4 8" xfId="1298" xr:uid="{00000000-0005-0000-0000-00003B040000}"/>
    <cellStyle name="Accent2 5" xfId="66" xr:uid="{00000000-0005-0000-0000-00003C040000}"/>
    <cellStyle name="Accent2 5 2" xfId="1305" xr:uid="{00000000-0005-0000-0000-00003D040000}"/>
    <cellStyle name="Accent2 5 3" xfId="1306" xr:uid="{00000000-0005-0000-0000-00003E040000}"/>
    <cellStyle name="Accent2 5 4" xfId="1307" xr:uid="{00000000-0005-0000-0000-00003F040000}"/>
    <cellStyle name="Accent2 5 5" xfId="1308" xr:uid="{00000000-0005-0000-0000-000040040000}"/>
    <cellStyle name="Accent2 5 6" xfId="1309" xr:uid="{00000000-0005-0000-0000-000041040000}"/>
    <cellStyle name="Accent2 6" xfId="67" xr:uid="{00000000-0005-0000-0000-000042040000}"/>
    <cellStyle name="Accent2 6 2" xfId="1310" xr:uid="{00000000-0005-0000-0000-000043040000}"/>
    <cellStyle name="Accent2 6 3" xfId="1311" xr:uid="{00000000-0005-0000-0000-000044040000}"/>
    <cellStyle name="Accent2 6 4" xfId="1312" xr:uid="{00000000-0005-0000-0000-000045040000}"/>
    <cellStyle name="Accent2 6 5" xfId="1313" xr:uid="{00000000-0005-0000-0000-000046040000}"/>
    <cellStyle name="Accent2 6 6" xfId="1314" xr:uid="{00000000-0005-0000-0000-000047040000}"/>
    <cellStyle name="Accent2 7" xfId="68" xr:uid="{00000000-0005-0000-0000-000048040000}"/>
    <cellStyle name="Accent2 7 2" xfId="1315" xr:uid="{00000000-0005-0000-0000-000049040000}"/>
    <cellStyle name="Accent2 7 3" xfId="1316" xr:uid="{00000000-0005-0000-0000-00004A040000}"/>
    <cellStyle name="Accent2 7 4" xfId="1317" xr:uid="{00000000-0005-0000-0000-00004B040000}"/>
    <cellStyle name="Accent2 7 5" xfId="1318" xr:uid="{00000000-0005-0000-0000-00004C040000}"/>
    <cellStyle name="Accent2 7 6" xfId="1319" xr:uid="{00000000-0005-0000-0000-00004D040000}"/>
    <cellStyle name="Accent2 8 2" xfId="1320" xr:uid="{00000000-0005-0000-0000-00004E040000}"/>
    <cellStyle name="Accent2 8 3" xfId="1321" xr:uid="{00000000-0005-0000-0000-00004F040000}"/>
    <cellStyle name="Accent2 8 4" xfId="1322" xr:uid="{00000000-0005-0000-0000-000050040000}"/>
    <cellStyle name="Accent2 8 5" xfId="1323" xr:uid="{00000000-0005-0000-0000-000051040000}"/>
    <cellStyle name="Accent2 8 6" xfId="1324" xr:uid="{00000000-0005-0000-0000-000052040000}"/>
    <cellStyle name="Accent2 9 2" xfId="1325" xr:uid="{00000000-0005-0000-0000-000053040000}"/>
    <cellStyle name="Accent2 9 3" xfId="1326" xr:uid="{00000000-0005-0000-0000-000054040000}"/>
    <cellStyle name="Accent2 9 4" xfId="1327" xr:uid="{00000000-0005-0000-0000-000055040000}"/>
    <cellStyle name="Accent2 9 5" xfId="1328" xr:uid="{00000000-0005-0000-0000-000056040000}"/>
    <cellStyle name="Accent2 9 6" xfId="1329" xr:uid="{00000000-0005-0000-0000-000057040000}"/>
    <cellStyle name="Accent3 - 20%" xfId="69" xr:uid="{00000000-0005-0000-0000-000058040000}"/>
    <cellStyle name="Accent3 - 40%" xfId="70" xr:uid="{00000000-0005-0000-0000-000059040000}"/>
    <cellStyle name="Accent3 - 60%" xfId="71" xr:uid="{00000000-0005-0000-0000-00005A040000}"/>
    <cellStyle name="Accent3 10 2" xfId="1330" xr:uid="{00000000-0005-0000-0000-00005B040000}"/>
    <cellStyle name="Accent3 10 3" xfId="1331" xr:uid="{00000000-0005-0000-0000-00005C040000}"/>
    <cellStyle name="Accent3 10 4" xfId="1332" xr:uid="{00000000-0005-0000-0000-00005D040000}"/>
    <cellStyle name="Accent3 10 5" xfId="1333" xr:uid="{00000000-0005-0000-0000-00005E040000}"/>
    <cellStyle name="Accent3 10 6" xfId="1334" xr:uid="{00000000-0005-0000-0000-00005F040000}"/>
    <cellStyle name="Accent3 11 2" xfId="1335" xr:uid="{00000000-0005-0000-0000-000060040000}"/>
    <cellStyle name="Accent3 11 3" xfId="1336" xr:uid="{00000000-0005-0000-0000-000061040000}"/>
    <cellStyle name="Accent3 11 4" xfId="1337" xr:uid="{00000000-0005-0000-0000-000062040000}"/>
    <cellStyle name="Accent3 11 5" xfId="1338" xr:uid="{00000000-0005-0000-0000-000063040000}"/>
    <cellStyle name="Accent3 11 6" xfId="1339" xr:uid="{00000000-0005-0000-0000-000064040000}"/>
    <cellStyle name="Accent3 2" xfId="72" xr:uid="{00000000-0005-0000-0000-000065040000}"/>
    <cellStyle name="Accent3 2 2" xfId="1340" xr:uid="{00000000-0005-0000-0000-000066040000}"/>
    <cellStyle name="Accent3 2 3" xfId="1341" xr:uid="{00000000-0005-0000-0000-000067040000}"/>
    <cellStyle name="Accent3 2 4" xfId="1342" xr:uid="{00000000-0005-0000-0000-000068040000}"/>
    <cellStyle name="Accent3 2 5" xfId="1343" xr:uid="{00000000-0005-0000-0000-000069040000}"/>
    <cellStyle name="Accent3 2 6" xfId="1344" xr:uid="{00000000-0005-0000-0000-00006A040000}"/>
    <cellStyle name="Accent3 3" xfId="73" xr:uid="{00000000-0005-0000-0000-00006B040000}"/>
    <cellStyle name="Accent3 3 2" xfId="1346" xr:uid="{00000000-0005-0000-0000-00006C040000}"/>
    <cellStyle name="Accent3 3 3" xfId="1347" xr:uid="{00000000-0005-0000-0000-00006D040000}"/>
    <cellStyle name="Accent3 3 4" xfId="1348" xr:uid="{00000000-0005-0000-0000-00006E040000}"/>
    <cellStyle name="Accent3 3 5" xfId="1349" xr:uid="{00000000-0005-0000-0000-00006F040000}"/>
    <cellStyle name="Accent3 3 6" xfId="1350" xr:uid="{00000000-0005-0000-0000-000070040000}"/>
    <cellStyle name="Accent3 3 7" xfId="1351" xr:uid="{00000000-0005-0000-0000-000071040000}"/>
    <cellStyle name="Accent3 3 8" xfId="1345" xr:uid="{00000000-0005-0000-0000-000072040000}"/>
    <cellStyle name="Accent3 4" xfId="74" xr:uid="{00000000-0005-0000-0000-000073040000}"/>
    <cellStyle name="Accent3 4 2" xfId="1353" xr:uid="{00000000-0005-0000-0000-000074040000}"/>
    <cellStyle name="Accent3 4 3" xfId="1354" xr:uid="{00000000-0005-0000-0000-000075040000}"/>
    <cellStyle name="Accent3 4 4" xfId="1355" xr:uid="{00000000-0005-0000-0000-000076040000}"/>
    <cellStyle name="Accent3 4 5" xfId="1356" xr:uid="{00000000-0005-0000-0000-000077040000}"/>
    <cellStyle name="Accent3 4 6" xfId="1357" xr:uid="{00000000-0005-0000-0000-000078040000}"/>
    <cellStyle name="Accent3 4 7" xfId="1358" xr:uid="{00000000-0005-0000-0000-000079040000}"/>
    <cellStyle name="Accent3 4 8" xfId="1352" xr:uid="{00000000-0005-0000-0000-00007A040000}"/>
    <cellStyle name="Accent3 5" xfId="75" xr:uid="{00000000-0005-0000-0000-00007B040000}"/>
    <cellStyle name="Accent3 5 2" xfId="1359" xr:uid="{00000000-0005-0000-0000-00007C040000}"/>
    <cellStyle name="Accent3 5 3" xfId="1360" xr:uid="{00000000-0005-0000-0000-00007D040000}"/>
    <cellStyle name="Accent3 5 4" xfId="1361" xr:uid="{00000000-0005-0000-0000-00007E040000}"/>
    <cellStyle name="Accent3 5 5" xfId="1362" xr:uid="{00000000-0005-0000-0000-00007F040000}"/>
    <cellStyle name="Accent3 5 6" xfId="1363" xr:uid="{00000000-0005-0000-0000-000080040000}"/>
    <cellStyle name="Accent3 6" xfId="76" xr:uid="{00000000-0005-0000-0000-000081040000}"/>
    <cellStyle name="Accent3 6 2" xfId="1364" xr:uid="{00000000-0005-0000-0000-000082040000}"/>
    <cellStyle name="Accent3 6 3" xfId="1365" xr:uid="{00000000-0005-0000-0000-000083040000}"/>
    <cellStyle name="Accent3 6 4" xfId="1366" xr:uid="{00000000-0005-0000-0000-000084040000}"/>
    <cellStyle name="Accent3 6 5" xfId="1367" xr:uid="{00000000-0005-0000-0000-000085040000}"/>
    <cellStyle name="Accent3 6 6" xfId="1368" xr:uid="{00000000-0005-0000-0000-000086040000}"/>
    <cellStyle name="Accent3 7" xfId="77" xr:uid="{00000000-0005-0000-0000-000087040000}"/>
    <cellStyle name="Accent3 7 2" xfId="1369" xr:uid="{00000000-0005-0000-0000-000088040000}"/>
    <cellStyle name="Accent3 7 3" xfId="1370" xr:uid="{00000000-0005-0000-0000-000089040000}"/>
    <cellStyle name="Accent3 7 4" xfId="1371" xr:uid="{00000000-0005-0000-0000-00008A040000}"/>
    <cellStyle name="Accent3 7 5" xfId="1372" xr:uid="{00000000-0005-0000-0000-00008B040000}"/>
    <cellStyle name="Accent3 7 6" xfId="1373" xr:uid="{00000000-0005-0000-0000-00008C040000}"/>
    <cellStyle name="Accent3 8 2" xfId="1374" xr:uid="{00000000-0005-0000-0000-00008D040000}"/>
    <cellStyle name="Accent3 8 3" xfId="1375" xr:uid="{00000000-0005-0000-0000-00008E040000}"/>
    <cellStyle name="Accent3 8 4" xfId="1376" xr:uid="{00000000-0005-0000-0000-00008F040000}"/>
    <cellStyle name="Accent3 8 5" xfId="1377" xr:uid="{00000000-0005-0000-0000-000090040000}"/>
    <cellStyle name="Accent3 8 6" xfId="1378" xr:uid="{00000000-0005-0000-0000-000091040000}"/>
    <cellStyle name="Accent3 9 2" xfId="1379" xr:uid="{00000000-0005-0000-0000-000092040000}"/>
    <cellStyle name="Accent3 9 3" xfId="1380" xr:uid="{00000000-0005-0000-0000-000093040000}"/>
    <cellStyle name="Accent3 9 4" xfId="1381" xr:uid="{00000000-0005-0000-0000-000094040000}"/>
    <cellStyle name="Accent3 9 5" xfId="1382" xr:uid="{00000000-0005-0000-0000-000095040000}"/>
    <cellStyle name="Accent3 9 6" xfId="1383" xr:uid="{00000000-0005-0000-0000-000096040000}"/>
    <cellStyle name="Accent4 - 20%" xfId="78" xr:uid="{00000000-0005-0000-0000-000097040000}"/>
    <cellStyle name="Accent4 - 40%" xfId="79" xr:uid="{00000000-0005-0000-0000-000098040000}"/>
    <cellStyle name="Accent4 - 60%" xfId="80" xr:uid="{00000000-0005-0000-0000-000099040000}"/>
    <cellStyle name="Accent4 10 2" xfId="1384" xr:uid="{00000000-0005-0000-0000-00009A040000}"/>
    <cellStyle name="Accent4 10 3" xfId="1385" xr:uid="{00000000-0005-0000-0000-00009B040000}"/>
    <cellStyle name="Accent4 10 4" xfId="1386" xr:uid="{00000000-0005-0000-0000-00009C040000}"/>
    <cellStyle name="Accent4 10 5" xfId="1387" xr:uid="{00000000-0005-0000-0000-00009D040000}"/>
    <cellStyle name="Accent4 10 6" xfId="1388" xr:uid="{00000000-0005-0000-0000-00009E040000}"/>
    <cellStyle name="Accent4 11 2" xfId="1389" xr:uid="{00000000-0005-0000-0000-00009F040000}"/>
    <cellStyle name="Accent4 11 3" xfId="1390" xr:uid="{00000000-0005-0000-0000-0000A0040000}"/>
    <cellStyle name="Accent4 11 4" xfId="1391" xr:uid="{00000000-0005-0000-0000-0000A1040000}"/>
    <cellStyle name="Accent4 11 5" xfId="1392" xr:uid="{00000000-0005-0000-0000-0000A2040000}"/>
    <cellStyle name="Accent4 11 6" xfId="1393" xr:uid="{00000000-0005-0000-0000-0000A3040000}"/>
    <cellStyle name="Accent4 2" xfId="81" xr:uid="{00000000-0005-0000-0000-0000A4040000}"/>
    <cellStyle name="Accent4 2 2" xfId="1394" xr:uid="{00000000-0005-0000-0000-0000A5040000}"/>
    <cellStyle name="Accent4 2 3" xfId="1395" xr:uid="{00000000-0005-0000-0000-0000A6040000}"/>
    <cellStyle name="Accent4 2 4" xfId="1396" xr:uid="{00000000-0005-0000-0000-0000A7040000}"/>
    <cellStyle name="Accent4 2 5" xfId="1397" xr:uid="{00000000-0005-0000-0000-0000A8040000}"/>
    <cellStyle name="Accent4 2 6" xfId="1398" xr:uid="{00000000-0005-0000-0000-0000A9040000}"/>
    <cellStyle name="Accent4 3" xfId="82" xr:uid="{00000000-0005-0000-0000-0000AA040000}"/>
    <cellStyle name="Accent4 3 2" xfId="1400" xr:uid="{00000000-0005-0000-0000-0000AB040000}"/>
    <cellStyle name="Accent4 3 3" xfId="1401" xr:uid="{00000000-0005-0000-0000-0000AC040000}"/>
    <cellStyle name="Accent4 3 4" xfId="1402" xr:uid="{00000000-0005-0000-0000-0000AD040000}"/>
    <cellStyle name="Accent4 3 5" xfId="1403" xr:uid="{00000000-0005-0000-0000-0000AE040000}"/>
    <cellStyle name="Accent4 3 6" xfId="1404" xr:uid="{00000000-0005-0000-0000-0000AF040000}"/>
    <cellStyle name="Accent4 3 7" xfId="1405" xr:uid="{00000000-0005-0000-0000-0000B0040000}"/>
    <cellStyle name="Accent4 3 8" xfId="1399" xr:uid="{00000000-0005-0000-0000-0000B1040000}"/>
    <cellStyle name="Accent4 4" xfId="83" xr:uid="{00000000-0005-0000-0000-0000B2040000}"/>
    <cellStyle name="Accent4 4 2" xfId="1407" xr:uid="{00000000-0005-0000-0000-0000B3040000}"/>
    <cellStyle name="Accent4 4 3" xfId="1408" xr:uid="{00000000-0005-0000-0000-0000B4040000}"/>
    <cellStyle name="Accent4 4 4" xfId="1409" xr:uid="{00000000-0005-0000-0000-0000B5040000}"/>
    <cellStyle name="Accent4 4 5" xfId="1410" xr:uid="{00000000-0005-0000-0000-0000B6040000}"/>
    <cellStyle name="Accent4 4 6" xfId="1411" xr:uid="{00000000-0005-0000-0000-0000B7040000}"/>
    <cellStyle name="Accent4 4 7" xfId="1412" xr:uid="{00000000-0005-0000-0000-0000B8040000}"/>
    <cellStyle name="Accent4 4 8" xfId="1406" xr:uid="{00000000-0005-0000-0000-0000B9040000}"/>
    <cellStyle name="Accent4 5" xfId="84" xr:uid="{00000000-0005-0000-0000-0000BA040000}"/>
    <cellStyle name="Accent4 5 2" xfId="1413" xr:uid="{00000000-0005-0000-0000-0000BB040000}"/>
    <cellStyle name="Accent4 5 3" xfId="1414" xr:uid="{00000000-0005-0000-0000-0000BC040000}"/>
    <cellStyle name="Accent4 5 4" xfId="1415" xr:uid="{00000000-0005-0000-0000-0000BD040000}"/>
    <cellStyle name="Accent4 5 5" xfId="1416" xr:uid="{00000000-0005-0000-0000-0000BE040000}"/>
    <cellStyle name="Accent4 5 6" xfId="1417" xr:uid="{00000000-0005-0000-0000-0000BF040000}"/>
    <cellStyle name="Accent4 6" xfId="85" xr:uid="{00000000-0005-0000-0000-0000C0040000}"/>
    <cellStyle name="Accent4 6 2" xfId="1418" xr:uid="{00000000-0005-0000-0000-0000C1040000}"/>
    <cellStyle name="Accent4 6 3" xfId="1419" xr:uid="{00000000-0005-0000-0000-0000C2040000}"/>
    <cellStyle name="Accent4 6 4" xfId="1420" xr:uid="{00000000-0005-0000-0000-0000C3040000}"/>
    <cellStyle name="Accent4 6 5" xfId="1421" xr:uid="{00000000-0005-0000-0000-0000C4040000}"/>
    <cellStyle name="Accent4 6 6" xfId="1422" xr:uid="{00000000-0005-0000-0000-0000C5040000}"/>
    <cellStyle name="Accent4 7" xfId="86" xr:uid="{00000000-0005-0000-0000-0000C6040000}"/>
    <cellStyle name="Accent4 7 2" xfId="1423" xr:uid="{00000000-0005-0000-0000-0000C7040000}"/>
    <cellStyle name="Accent4 7 3" xfId="1424" xr:uid="{00000000-0005-0000-0000-0000C8040000}"/>
    <cellStyle name="Accent4 7 4" xfId="1425" xr:uid="{00000000-0005-0000-0000-0000C9040000}"/>
    <cellStyle name="Accent4 7 5" xfId="1426" xr:uid="{00000000-0005-0000-0000-0000CA040000}"/>
    <cellStyle name="Accent4 7 6" xfId="1427" xr:uid="{00000000-0005-0000-0000-0000CB040000}"/>
    <cellStyle name="Accent4 8 2" xfId="1428" xr:uid="{00000000-0005-0000-0000-0000CC040000}"/>
    <cellStyle name="Accent4 8 3" xfId="1429" xr:uid="{00000000-0005-0000-0000-0000CD040000}"/>
    <cellStyle name="Accent4 8 4" xfId="1430" xr:uid="{00000000-0005-0000-0000-0000CE040000}"/>
    <cellStyle name="Accent4 8 5" xfId="1431" xr:uid="{00000000-0005-0000-0000-0000CF040000}"/>
    <cellStyle name="Accent4 8 6" xfId="1432" xr:uid="{00000000-0005-0000-0000-0000D0040000}"/>
    <cellStyle name="Accent4 9 2" xfId="1433" xr:uid="{00000000-0005-0000-0000-0000D1040000}"/>
    <cellStyle name="Accent4 9 3" xfId="1434" xr:uid="{00000000-0005-0000-0000-0000D2040000}"/>
    <cellStyle name="Accent4 9 4" xfId="1435" xr:uid="{00000000-0005-0000-0000-0000D3040000}"/>
    <cellStyle name="Accent4 9 5" xfId="1436" xr:uid="{00000000-0005-0000-0000-0000D4040000}"/>
    <cellStyle name="Accent4 9 6" xfId="1437" xr:uid="{00000000-0005-0000-0000-0000D5040000}"/>
    <cellStyle name="Accent5 - 20%" xfId="87" xr:uid="{00000000-0005-0000-0000-0000D6040000}"/>
    <cellStyle name="Accent5 - 40%" xfId="88" xr:uid="{00000000-0005-0000-0000-0000D7040000}"/>
    <cellStyle name="Accent5 - 60%" xfId="89" xr:uid="{00000000-0005-0000-0000-0000D8040000}"/>
    <cellStyle name="Accent5 10 2" xfId="1438" xr:uid="{00000000-0005-0000-0000-0000D9040000}"/>
    <cellStyle name="Accent5 10 3" xfId="1439" xr:uid="{00000000-0005-0000-0000-0000DA040000}"/>
    <cellStyle name="Accent5 10 4" xfId="1440" xr:uid="{00000000-0005-0000-0000-0000DB040000}"/>
    <cellStyle name="Accent5 10 5" xfId="1441" xr:uid="{00000000-0005-0000-0000-0000DC040000}"/>
    <cellStyle name="Accent5 10 6" xfId="1442" xr:uid="{00000000-0005-0000-0000-0000DD040000}"/>
    <cellStyle name="Accent5 11 2" xfId="1443" xr:uid="{00000000-0005-0000-0000-0000DE040000}"/>
    <cellStyle name="Accent5 11 3" xfId="1444" xr:uid="{00000000-0005-0000-0000-0000DF040000}"/>
    <cellStyle name="Accent5 11 4" xfId="1445" xr:uid="{00000000-0005-0000-0000-0000E0040000}"/>
    <cellStyle name="Accent5 11 5" xfId="1446" xr:uid="{00000000-0005-0000-0000-0000E1040000}"/>
    <cellStyle name="Accent5 11 6" xfId="1447" xr:uid="{00000000-0005-0000-0000-0000E2040000}"/>
    <cellStyle name="Accent5 2" xfId="90" xr:uid="{00000000-0005-0000-0000-0000E3040000}"/>
    <cellStyle name="Accent5 2 2" xfId="1448" xr:uid="{00000000-0005-0000-0000-0000E4040000}"/>
    <cellStyle name="Accent5 2 3" xfId="1449" xr:uid="{00000000-0005-0000-0000-0000E5040000}"/>
    <cellStyle name="Accent5 2 4" xfId="1450" xr:uid="{00000000-0005-0000-0000-0000E6040000}"/>
    <cellStyle name="Accent5 2 5" xfId="1451" xr:uid="{00000000-0005-0000-0000-0000E7040000}"/>
    <cellStyle name="Accent5 2 6" xfId="1452" xr:uid="{00000000-0005-0000-0000-0000E8040000}"/>
    <cellStyle name="Accent5 3" xfId="91" xr:uid="{00000000-0005-0000-0000-0000E9040000}"/>
    <cellStyle name="Accent5 3 2" xfId="1454" xr:uid="{00000000-0005-0000-0000-0000EA040000}"/>
    <cellStyle name="Accent5 3 3" xfId="1455" xr:uid="{00000000-0005-0000-0000-0000EB040000}"/>
    <cellStyle name="Accent5 3 4" xfId="1456" xr:uid="{00000000-0005-0000-0000-0000EC040000}"/>
    <cellStyle name="Accent5 3 5" xfId="1457" xr:uid="{00000000-0005-0000-0000-0000ED040000}"/>
    <cellStyle name="Accent5 3 6" xfId="1458" xr:uid="{00000000-0005-0000-0000-0000EE040000}"/>
    <cellStyle name="Accent5 3 7" xfId="1459" xr:uid="{00000000-0005-0000-0000-0000EF040000}"/>
    <cellStyle name="Accent5 3 8" xfId="1453" xr:uid="{00000000-0005-0000-0000-0000F0040000}"/>
    <cellStyle name="Accent5 4" xfId="92" xr:uid="{00000000-0005-0000-0000-0000F1040000}"/>
    <cellStyle name="Accent5 4 2" xfId="1461" xr:uid="{00000000-0005-0000-0000-0000F2040000}"/>
    <cellStyle name="Accent5 4 3" xfId="1462" xr:uid="{00000000-0005-0000-0000-0000F3040000}"/>
    <cellStyle name="Accent5 4 4" xfId="1463" xr:uid="{00000000-0005-0000-0000-0000F4040000}"/>
    <cellStyle name="Accent5 4 5" xfId="1464" xr:uid="{00000000-0005-0000-0000-0000F5040000}"/>
    <cellStyle name="Accent5 4 6" xfId="1465" xr:uid="{00000000-0005-0000-0000-0000F6040000}"/>
    <cellStyle name="Accent5 4 7" xfId="1466" xr:uid="{00000000-0005-0000-0000-0000F7040000}"/>
    <cellStyle name="Accent5 4 8" xfId="1460" xr:uid="{00000000-0005-0000-0000-0000F8040000}"/>
    <cellStyle name="Accent5 5" xfId="93" xr:uid="{00000000-0005-0000-0000-0000F9040000}"/>
    <cellStyle name="Accent5 5 2" xfId="1467" xr:uid="{00000000-0005-0000-0000-0000FA040000}"/>
    <cellStyle name="Accent5 5 3" xfId="1468" xr:uid="{00000000-0005-0000-0000-0000FB040000}"/>
    <cellStyle name="Accent5 5 4" xfId="1469" xr:uid="{00000000-0005-0000-0000-0000FC040000}"/>
    <cellStyle name="Accent5 5 5" xfId="1470" xr:uid="{00000000-0005-0000-0000-0000FD040000}"/>
    <cellStyle name="Accent5 5 6" xfId="1471" xr:uid="{00000000-0005-0000-0000-0000FE040000}"/>
    <cellStyle name="Accent5 6" xfId="94" xr:uid="{00000000-0005-0000-0000-0000FF040000}"/>
    <cellStyle name="Accent5 6 2" xfId="1472" xr:uid="{00000000-0005-0000-0000-000000050000}"/>
    <cellStyle name="Accent5 6 3" xfId="1473" xr:uid="{00000000-0005-0000-0000-000001050000}"/>
    <cellStyle name="Accent5 6 4" xfId="1474" xr:uid="{00000000-0005-0000-0000-000002050000}"/>
    <cellStyle name="Accent5 6 5" xfId="1475" xr:uid="{00000000-0005-0000-0000-000003050000}"/>
    <cellStyle name="Accent5 6 6" xfId="1476" xr:uid="{00000000-0005-0000-0000-000004050000}"/>
    <cellStyle name="Accent5 7" xfId="95" xr:uid="{00000000-0005-0000-0000-000005050000}"/>
    <cellStyle name="Accent5 7 2" xfId="1477" xr:uid="{00000000-0005-0000-0000-000006050000}"/>
    <cellStyle name="Accent5 7 3" xfId="1478" xr:uid="{00000000-0005-0000-0000-000007050000}"/>
    <cellStyle name="Accent5 7 4" xfId="1479" xr:uid="{00000000-0005-0000-0000-000008050000}"/>
    <cellStyle name="Accent5 7 5" xfId="1480" xr:uid="{00000000-0005-0000-0000-000009050000}"/>
    <cellStyle name="Accent5 7 6" xfId="1481" xr:uid="{00000000-0005-0000-0000-00000A050000}"/>
    <cellStyle name="Accent5 8 2" xfId="1482" xr:uid="{00000000-0005-0000-0000-00000B050000}"/>
    <cellStyle name="Accent5 8 3" xfId="1483" xr:uid="{00000000-0005-0000-0000-00000C050000}"/>
    <cellStyle name="Accent5 8 4" xfId="1484" xr:uid="{00000000-0005-0000-0000-00000D050000}"/>
    <cellStyle name="Accent5 8 5" xfId="1485" xr:uid="{00000000-0005-0000-0000-00000E050000}"/>
    <cellStyle name="Accent5 8 6" xfId="1486" xr:uid="{00000000-0005-0000-0000-00000F050000}"/>
    <cellStyle name="Accent5 9 2" xfId="1487" xr:uid="{00000000-0005-0000-0000-000010050000}"/>
    <cellStyle name="Accent5 9 3" xfId="1488" xr:uid="{00000000-0005-0000-0000-000011050000}"/>
    <cellStyle name="Accent5 9 4" xfId="1489" xr:uid="{00000000-0005-0000-0000-000012050000}"/>
    <cellStyle name="Accent5 9 5" xfId="1490" xr:uid="{00000000-0005-0000-0000-000013050000}"/>
    <cellStyle name="Accent5 9 6" xfId="1491" xr:uid="{00000000-0005-0000-0000-000014050000}"/>
    <cellStyle name="Accent6 - 20%" xfId="96" xr:uid="{00000000-0005-0000-0000-000015050000}"/>
    <cellStyle name="Accent6 - 40%" xfId="97" xr:uid="{00000000-0005-0000-0000-000016050000}"/>
    <cellStyle name="Accent6 - 60%" xfId="98" xr:uid="{00000000-0005-0000-0000-000017050000}"/>
    <cellStyle name="Accent6 10 2" xfId="1492" xr:uid="{00000000-0005-0000-0000-000018050000}"/>
    <cellStyle name="Accent6 10 3" xfId="1493" xr:uid="{00000000-0005-0000-0000-000019050000}"/>
    <cellStyle name="Accent6 10 4" xfId="1494" xr:uid="{00000000-0005-0000-0000-00001A050000}"/>
    <cellStyle name="Accent6 10 5" xfId="1495" xr:uid="{00000000-0005-0000-0000-00001B050000}"/>
    <cellStyle name="Accent6 10 6" xfId="1496" xr:uid="{00000000-0005-0000-0000-00001C050000}"/>
    <cellStyle name="Accent6 11 2" xfId="1497" xr:uid="{00000000-0005-0000-0000-00001D050000}"/>
    <cellStyle name="Accent6 11 3" xfId="1498" xr:uid="{00000000-0005-0000-0000-00001E050000}"/>
    <cellStyle name="Accent6 11 4" xfId="1499" xr:uid="{00000000-0005-0000-0000-00001F050000}"/>
    <cellStyle name="Accent6 11 5" xfId="1500" xr:uid="{00000000-0005-0000-0000-000020050000}"/>
    <cellStyle name="Accent6 11 6" xfId="1501" xr:uid="{00000000-0005-0000-0000-000021050000}"/>
    <cellStyle name="Accent6 2" xfId="99" xr:uid="{00000000-0005-0000-0000-000022050000}"/>
    <cellStyle name="Accent6 2 2" xfId="1502" xr:uid="{00000000-0005-0000-0000-000023050000}"/>
    <cellStyle name="Accent6 2 3" xfId="1503" xr:uid="{00000000-0005-0000-0000-000024050000}"/>
    <cellStyle name="Accent6 2 4" xfId="1504" xr:uid="{00000000-0005-0000-0000-000025050000}"/>
    <cellStyle name="Accent6 2 5" xfId="1505" xr:uid="{00000000-0005-0000-0000-000026050000}"/>
    <cellStyle name="Accent6 2 6" xfId="1506" xr:uid="{00000000-0005-0000-0000-000027050000}"/>
    <cellStyle name="Accent6 3" xfId="100" xr:uid="{00000000-0005-0000-0000-000028050000}"/>
    <cellStyle name="Accent6 3 2" xfId="1508" xr:uid="{00000000-0005-0000-0000-000029050000}"/>
    <cellStyle name="Accent6 3 3" xfId="1509" xr:uid="{00000000-0005-0000-0000-00002A050000}"/>
    <cellStyle name="Accent6 3 4" xfId="1510" xr:uid="{00000000-0005-0000-0000-00002B050000}"/>
    <cellStyle name="Accent6 3 5" xfId="1511" xr:uid="{00000000-0005-0000-0000-00002C050000}"/>
    <cellStyle name="Accent6 3 6" xfId="1512" xr:uid="{00000000-0005-0000-0000-00002D050000}"/>
    <cellStyle name="Accent6 3 7" xfId="1513" xr:uid="{00000000-0005-0000-0000-00002E050000}"/>
    <cellStyle name="Accent6 3 8" xfId="1507" xr:uid="{00000000-0005-0000-0000-00002F050000}"/>
    <cellStyle name="Accent6 4" xfId="101" xr:uid="{00000000-0005-0000-0000-000030050000}"/>
    <cellStyle name="Accent6 4 2" xfId="1515" xr:uid="{00000000-0005-0000-0000-000031050000}"/>
    <cellStyle name="Accent6 4 3" xfId="1516" xr:uid="{00000000-0005-0000-0000-000032050000}"/>
    <cellStyle name="Accent6 4 4" xfId="1517" xr:uid="{00000000-0005-0000-0000-000033050000}"/>
    <cellStyle name="Accent6 4 5" xfId="1518" xr:uid="{00000000-0005-0000-0000-000034050000}"/>
    <cellStyle name="Accent6 4 6" xfId="1519" xr:uid="{00000000-0005-0000-0000-000035050000}"/>
    <cellStyle name="Accent6 4 7" xfId="1520" xr:uid="{00000000-0005-0000-0000-000036050000}"/>
    <cellStyle name="Accent6 4 8" xfId="1514" xr:uid="{00000000-0005-0000-0000-000037050000}"/>
    <cellStyle name="Accent6 5" xfId="102" xr:uid="{00000000-0005-0000-0000-000038050000}"/>
    <cellStyle name="Accent6 5 2" xfId="1521" xr:uid="{00000000-0005-0000-0000-000039050000}"/>
    <cellStyle name="Accent6 5 3" xfId="1522" xr:uid="{00000000-0005-0000-0000-00003A050000}"/>
    <cellStyle name="Accent6 5 4" xfId="1523" xr:uid="{00000000-0005-0000-0000-00003B050000}"/>
    <cellStyle name="Accent6 5 5" xfId="1524" xr:uid="{00000000-0005-0000-0000-00003C050000}"/>
    <cellStyle name="Accent6 5 6" xfId="1525" xr:uid="{00000000-0005-0000-0000-00003D050000}"/>
    <cellStyle name="Accent6 6" xfId="103" xr:uid="{00000000-0005-0000-0000-00003E050000}"/>
    <cellStyle name="Accent6 6 2" xfId="1526" xr:uid="{00000000-0005-0000-0000-00003F050000}"/>
    <cellStyle name="Accent6 6 3" xfId="1527" xr:uid="{00000000-0005-0000-0000-000040050000}"/>
    <cellStyle name="Accent6 6 4" xfId="1528" xr:uid="{00000000-0005-0000-0000-000041050000}"/>
    <cellStyle name="Accent6 6 5" xfId="1529" xr:uid="{00000000-0005-0000-0000-000042050000}"/>
    <cellStyle name="Accent6 6 6" xfId="1530" xr:uid="{00000000-0005-0000-0000-000043050000}"/>
    <cellStyle name="Accent6 7" xfId="104" xr:uid="{00000000-0005-0000-0000-000044050000}"/>
    <cellStyle name="Accent6 7 2" xfId="1531" xr:uid="{00000000-0005-0000-0000-000045050000}"/>
    <cellStyle name="Accent6 7 3" xfId="1532" xr:uid="{00000000-0005-0000-0000-000046050000}"/>
    <cellStyle name="Accent6 7 4" xfId="1533" xr:uid="{00000000-0005-0000-0000-000047050000}"/>
    <cellStyle name="Accent6 7 5" xfId="1534" xr:uid="{00000000-0005-0000-0000-000048050000}"/>
    <cellStyle name="Accent6 7 6" xfId="1535" xr:uid="{00000000-0005-0000-0000-000049050000}"/>
    <cellStyle name="Accent6 8 2" xfId="1536" xr:uid="{00000000-0005-0000-0000-00004A050000}"/>
    <cellStyle name="Accent6 8 3" xfId="1537" xr:uid="{00000000-0005-0000-0000-00004B050000}"/>
    <cellStyle name="Accent6 8 4" xfId="1538" xr:uid="{00000000-0005-0000-0000-00004C050000}"/>
    <cellStyle name="Accent6 8 5" xfId="1539" xr:uid="{00000000-0005-0000-0000-00004D050000}"/>
    <cellStyle name="Accent6 8 6" xfId="1540" xr:uid="{00000000-0005-0000-0000-00004E050000}"/>
    <cellStyle name="Accent6 9 2" xfId="1541" xr:uid="{00000000-0005-0000-0000-00004F050000}"/>
    <cellStyle name="Accent6 9 3" xfId="1542" xr:uid="{00000000-0005-0000-0000-000050050000}"/>
    <cellStyle name="Accent6 9 4" xfId="1543" xr:uid="{00000000-0005-0000-0000-000051050000}"/>
    <cellStyle name="Accent6 9 5" xfId="1544" xr:uid="{00000000-0005-0000-0000-000052050000}"/>
    <cellStyle name="Accent6 9 6" xfId="1545" xr:uid="{00000000-0005-0000-0000-000053050000}"/>
    <cellStyle name="Bad 10 2" xfId="1546" xr:uid="{00000000-0005-0000-0000-000054050000}"/>
    <cellStyle name="Bad 10 3" xfId="1547" xr:uid="{00000000-0005-0000-0000-000055050000}"/>
    <cellStyle name="Bad 10 4" xfId="1548" xr:uid="{00000000-0005-0000-0000-000056050000}"/>
    <cellStyle name="Bad 10 5" xfId="1549" xr:uid="{00000000-0005-0000-0000-000057050000}"/>
    <cellStyle name="Bad 10 6" xfId="1550" xr:uid="{00000000-0005-0000-0000-000058050000}"/>
    <cellStyle name="Bad 11 2" xfId="1551" xr:uid="{00000000-0005-0000-0000-000059050000}"/>
    <cellStyle name="Bad 11 3" xfId="1552" xr:uid="{00000000-0005-0000-0000-00005A050000}"/>
    <cellStyle name="Bad 11 4" xfId="1553" xr:uid="{00000000-0005-0000-0000-00005B050000}"/>
    <cellStyle name="Bad 11 5" xfId="1554" xr:uid="{00000000-0005-0000-0000-00005C050000}"/>
    <cellStyle name="Bad 11 6" xfId="1555" xr:uid="{00000000-0005-0000-0000-00005D050000}"/>
    <cellStyle name="Bad 2" xfId="105" xr:uid="{00000000-0005-0000-0000-00005E050000}"/>
    <cellStyle name="Bad 2 2" xfId="1556" xr:uid="{00000000-0005-0000-0000-00005F050000}"/>
    <cellStyle name="Bad 2 3" xfId="1557" xr:uid="{00000000-0005-0000-0000-000060050000}"/>
    <cellStyle name="Bad 2 4" xfId="1558" xr:uid="{00000000-0005-0000-0000-000061050000}"/>
    <cellStyle name="Bad 2 5" xfId="1559" xr:uid="{00000000-0005-0000-0000-000062050000}"/>
    <cellStyle name="Bad 2 6" xfId="1560" xr:uid="{00000000-0005-0000-0000-000063050000}"/>
    <cellStyle name="Bad 3" xfId="106" xr:uid="{00000000-0005-0000-0000-000064050000}"/>
    <cellStyle name="Bad 3 2" xfId="1562" xr:uid="{00000000-0005-0000-0000-000065050000}"/>
    <cellStyle name="Bad 3 3" xfId="1563" xr:uid="{00000000-0005-0000-0000-000066050000}"/>
    <cellStyle name="Bad 3 4" xfId="1564" xr:uid="{00000000-0005-0000-0000-000067050000}"/>
    <cellStyle name="Bad 3 5" xfId="1565" xr:uid="{00000000-0005-0000-0000-000068050000}"/>
    <cellStyle name="Bad 3 6" xfId="1566" xr:uid="{00000000-0005-0000-0000-000069050000}"/>
    <cellStyle name="Bad 3 7" xfId="1567" xr:uid="{00000000-0005-0000-0000-00006A050000}"/>
    <cellStyle name="Bad 3 8" xfId="1561" xr:uid="{00000000-0005-0000-0000-00006B050000}"/>
    <cellStyle name="Bad 4" xfId="107" xr:uid="{00000000-0005-0000-0000-00006C050000}"/>
    <cellStyle name="Bad 4 2" xfId="1569" xr:uid="{00000000-0005-0000-0000-00006D050000}"/>
    <cellStyle name="Bad 4 3" xfId="1570" xr:uid="{00000000-0005-0000-0000-00006E050000}"/>
    <cellStyle name="Bad 4 4" xfId="1571" xr:uid="{00000000-0005-0000-0000-00006F050000}"/>
    <cellStyle name="Bad 4 5" xfId="1572" xr:uid="{00000000-0005-0000-0000-000070050000}"/>
    <cellStyle name="Bad 4 6" xfId="1573" xr:uid="{00000000-0005-0000-0000-000071050000}"/>
    <cellStyle name="Bad 4 7" xfId="1574" xr:uid="{00000000-0005-0000-0000-000072050000}"/>
    <cellStyle name="Bad 4 8" xfId="1568" xr:uid="{00000000-0005-0000-0000-000073050000}"/>
    <cellStyle name="Bad 5" xfId="108" xr:uid="{00000000-0005-0000-0000-000074050000}"/>
    <cellStyle name="Bad 5 2" xfId="1575" xr:uid="{00000000-0005-0000-0000-000075050000}"/>
    <cellStyle name="Bad 5 3" xfId="1576" xr:uid="{00000000-0005-0000-0000-000076050000}"/>
    <cellStyle name="Bad 5 4" xfId="1577" xr:uid="{00000000-0005-0000-0000-000077050000}"/>
    <cellStyle name="Bad 5 5" xfId="1578" xr:uid="{00000000-0005-0000-0000-000078050000}"/>
    <cellStyle name="Bad 5 6" xfId="1579" xr:uid="{00000000-0005-0000-0000-000079050000}"/>
    <cellStyle name="Bad 6" xfId="109" xr:uid="{00000000-0005-0000-0000-00007A050000}"/>
    <cellStyle name="Bad 6 2" xfId="1580" xr:uid="{00000000-0005-0000-0000-00007B050000}"/>
    <cellStyle name="Bad 6 3" xfId="1581" xr:uid="{00000000-0005-0000-0000-00007C050000}"/>
    <cellStyle name="Bad 6 4" xfId="1582" xr:uid="{00000000-0005-0000-0000-00007D050000}"/>
    <cellStyle name="Bad 6 5" xfId="1583" xr:uid="{00000000-0005-0000-0000-00007E050000}"/>
    <cellStyle name="Bad 6 6" xfId="1584" xr:uid="{00000000-0005-0000-0000-00007F050000}"/>
    <cellStyle name="Bad 7" xfId="110" xr:uid="{00000000-0005-0000-0000-000080050000}"/>
    <cellStyle name="Bad 7 2" xfId="1585" xr:uid="{00000000-0005-0000-0000-000081050000}"/>
    <cellStyle name="Bad 7 3" xfId="1586" xr:uid="{00000000-0005-0000-0000-000082050000}"/>
    <cellStyle name="Bad 7 4" xfId="1587" xr:uid="{00000000-0005-0000-0000-000083050000}"/>
    <cellStyle name="Bad 7 5" xfId="1588" xr:uid="{00000000-0005-0000-0000-000084050000}"/>
    <cellStyle name="Bad 7 6" xfId="1589" xr:uid="{00000000-0005-0000-0000-000085050000}"/>
    <cellStyle name="Bad 8 2" xfId="1590" xr:uid="{00000000-0005-0000-0000-000086050000}"/>
    <cellStyle name="Bad 8 3" xfId="1591" xr:uid="{00000000-0005-0000-0000-000087050000}"/>
    <cellStyle name="Bad 8 4" xfId="1592" xr:uid="{00000000-0005-0000-0000-000088050000}"/>
    <cellStyle name="Bad 8 5" xfId="1593" xr:uid="{00000000-0005-0000-0000-000089050000}"/>
    <cellStyle name="Bad 8 6" xfId="1594" xr:uid="{00000000-0005-0000-0000-00008A050000}"/>
    <cellStyle name="Bad 9 2" xfId="1595" xr:uid="{00000000-0005-0000-0000-00008B050000}"/>
    <cellStyle name="Bad 9 3" xfId="1596" xr:uid="{00000000-0005-0000-0000-00008C050000}"/>
    <cellStyle name="Bad 9 4" xfId="1597" xr:uid="{00000000-0005-0000-0000-00008D050000}"/>
    <cellStyle name="Bad 9 5" xfId="1598" xr:uid="{00000000-0005-0000-0000-00008E050000}"/>
    <cellStyle name="Bad 9 6" xfId="1599" xr:uid="{00000000-0005-0000-0000-00008F050000}"/>
    <cellStyle name="Bold Border" xfId="111" xr:uid="{00000000-0005-0000-0000-000090050000}"/>
    <cellStyle name="Bottom bold border" xfId="112" xr:uid="{00000000-0005-0000-0000-000091050000}"/>
    <cellStyle name="Bottom single border" xfId="113" xr:uid="{00000000-0005-0000-0000-000092050000}"/>
    <cellStyle name="Calculation 10 2" xfId="1600" xr:uid="{00000000-0005-0000-0000-000093050000}"/>
    <cellStyle name="Calculation 10 2 2" xfId="2603" xr:uid="{00000000-0005-0000-0000-000094050000}"/>
    <cellStyle name="Calculation 10 2 2 2" xfId="3250" xr:uid="{00000000-0005-0000-0000-000098050000}"/>
    <cellStyle name="Calculation 10 3" xfId="1601" xr:uid="{00000000-0005-0000-0000-000095050000}"/>
    <cellStyle name="Calculation 10 3 2" xfId="2604" xr:uid="{00000000-0005-0000-0000-000096050000}"/>
    <cellStyle name="Calculation 10 3 2 2" xfId="3249" xr:uid="{00000000-0005-0000-0000-00009B050000}"/>
    <cellStyle name="Calculation 10 4" xfId="1602" xr:uid="{00000000-0005-0000-0000-000097050000}"/>
    <cellStyle name="Calculation 10 4 2" xfId="2605" xr:uid="{00000000-0005-0000-0000-000098050000}"/>
    <cellStyle name="Calculation 10 4 2 2" xfId="3248" xr:uid="{00000000-0005-0000-0000-00009E050000}"/>
    <cellStyle name="Calculation 10 5" xfId="1603" xr:uid="{00000000-0005-0000-0000-000099050000}"/>
    <cellStyle name="Calculation 10 5 2" xfId="2606" xr:uid="{00000000-0005-0000-0000-00009A050000}"/>
    <cellStyle name="Calculation 10 5 2 2" xfId="3247" xr:uid="{00000000-0005-0000-0000-0000A1050000}"/>
    <cellStyle name="Calculation 10 6" xfId="1604" xr:uid="{00000000-0005-0000-0000-00009B050000}"/>
    <cellStyle name="Calculation 10 6 2" xfId="2607" xr:uid="{00000000-0005-0000-0000-00009C050000}"/>
    <cellStyle name="Calculation 10 6 2 2" xfId="3246" xr:uid="{00000000-0005-0000-0000-0000A4050000}"/>
    <cellStyle name="Calculation 11 2" xfId="1605" xr:uid="{00000000-0005-0000-0000-00009D050000}"/>
    <cellStyle name="Calculation 11 2 2" xfId="2608" xr:uid="{00000000-0005-0000-0000-00009E050000}"/>
    <cellStyle name="Calculation 11 2 2 2" xfId="3245" xr:uid="{00000000-0005-0000-0000-0000A7050000}"/>
    <cellStyle name="Calculation 11 3" xfId="1606" xr:uid="{00000000-0005-0000-0000-00009F050000}"/>
    <cellStyle name="Calculation 11 3 2" xfId="2609" xr:uid="{00000000-0005-0000-0000-0000A0050000}"/>
    <cellStyle name="Calculation 11 3 2 2" xfId="3244" xr:uid="{00000000-0005-0000-0000-0000AA050000}"/>
    <cellStyle name="Calculation 11 4" xfId="1607" xr:uid="{00000000-0005-0000-0000-0000A1050000}"/>
    <cellStyle name="Calculation 11 4 2" xfId="2610" xr:uid="{00000000-0005-0000-0000-0000A2050000}"/>
    <cellStyle name="Calculation 11 4 2 2" xfId="3243" xr:uid="{00000000-0005-0000-0000-0000AD050000}"/>
    <cellStyle name="Calculation 11 5" xfId="1608" xr:uid="{00000000-0005-0000-0000-0000A3050000}"/>
    <cellStyle name="Calculation 11 5 2" xfId="2611" xr:uid="{00000000-0005-0000-0000-0000A4050000}"/>
    <cellStyle name="Calculation 11 5 2 2" xfId="3242" xr:uid="{00000000-0005-0000-0000-0000B0050000}"/>
    <cellStyle name="Calculation 11 6" xfId="1609" xr:uid="{00000000-0005-0000-0000-0000A5050000}"/>
    <cellStyle name="Calculation 11 6 2" xfId="2612" xr:uid="{00000000-0005-0000-0000-0000A6050000}"/>
    <cellStyle name="Calculation 11 6 2 2" xfId="3241" xr:uid="{00000000-0005-0000-0000-0000B3050000}"/>
    <cellStyle name="Calculation 2" xfId="114" xr:uid="{00000000-0005-0000-0000-0000A7050000}"/>
    <cellStyle name="Calculation 2 2" xfId="1610" xr:uid="{00000000-0005-0000-0000-0000A8050000}"/>
    <cellStyle name="Calculation 2 2 2" xfId="2613" xr:uid="{00000000-0005-0000-0000-0000A9050000}"/>
    <cellStyle name="Calculation 2 2 2 2" xfId="3240" xr:uid="{00000000-0005-0000-0000-0000B7050000}"/>
    <cellStyle name="Calculation 2 3" xfId="1611" xr:uid="{00000000-0005-0000-0000-0000AA050000}"/>
    <cellStyle name="Calculation 2 3 2" xfId="2614" xr:uid="{00000000-0005-0000-0000-0000AB050000}"/>
    <cellStyle name="Calculation 2 3 2 2" xfId="3239" xr:uid="{00000000-0005-0000-0000-0000BA050000}"/>
    <cellStyle name="Calculation 2 4" xfId="1612" xr:uid="{00000000-0005-0000-0000-0000AC050000}"/>
    <cellStyle name="Calculation 2 4 2" xfId="2615" xr:uid="{00000000-0005-0000-0000-0000AD050000}"/>
    <cellStyle name="Calculation 2 4 2 2" xfId="3238" xr:uid="{00000000-0005-0000-0000-0000BD050000}"/>
    <cellStyle name="Calculation 2 5" xfId="1613" xr:uid="{00000000-0005-0000-0000-0000AE050000}"/>
    <cellStyle name="Calculation 2 5 2" xfId="2616" xr:uid="{00000000-0005-0000-0000-0000AF050000}"/>
    <cellStyle name="Calculation 2 5 2 2" xfId="3237" xr:uid="{00000000-0005-0000-0000-0000C0050000}"/>
    <cellStyle name="Calculation 2 6" xfId="1614" xr:uid="{00000000-0005-0000-0000-0000B0050000}"/>
    <cellStyle name="Calculation 2 6 2" xfId="2617" xr:uid="{00000000-0005-0000-0000-0000B1050000}"/>
    <cellStyle name="Calculation 2 6 2 2" xfId="3236" xr:uid="{00000000-0005-0000-0000-0000C3050000}"/>
    <cellStyle name="Calculation 2 7" xfId="2554" xr:uid="{00000000-0005-0000-0000-0000B2050000}"/>
    <cellStyle name="Calculation 2 7 2" xfId="3299" xr:uid="{00000000-0005-0000-0000-0000C5050000}"/>
    <cellStyle name="Calculation 3" xfId="115" xr:uid="{00000000-0005-0000-0000-0000B3050000}"/>
    <cellStyle name="Calculation 3 2" xfId="1616" xr:uid="{00000000-0005-0000-0000-0000B4050000}"/>
    <cellStyle name="Calculation 3 2 2" xfId="2619" xr:uid="{00000000-0005-0000-0000-0000B5050000}"/>
    <cellStyle name="Calculation 3 2 2 2" xfId="3234" xr:uid="{00000000-0005-0000-0000-0000C9050000}"/>
    <cellStyle name="Calculation 3 3" xfId="1617" xr:uid="{00000000-0005-0000-0000-0000B6050000}"/>
    <cellStyle name="Calculation 3 3 2" xfId="2620" xr:uid="{00000000-0005-0000-0000-0000B7050000}"/>
    <cellStyle name="Calculation 3 3 2 2" xfId="3233" xr:uid="{00000000-0005-0000-0000-0000CC050000}"/>
    <cellStyle name="Calculation 3 4" xfId="1618" xr:uid="{00000000-0005-0000-0000-0000B8050000}"/>
    <cellStyle name="Calculation 3 4 2" xfId="2621" xr:uid="{00000000-0005-0000-0000-0000B9050000}"/>
    <cellStyle name="Calculation 3 4 2 2" xfId="3232" xr:uid="{00000000-0005-0000-0000-0000CF050000}"/>
    <cellStyle name="Calculation 3 5" xfId="1619" xr:uid="{00000000-0005-0000-0000-0000BA050000}"/>
    <cellStyle name="Calculation 3 5 2" xfId="2622" xr:uid="{00000000-0005-0000-0000-0000BB050000}"/>
    <cellStyle name="Calculation 3 5 2 2" xfId="3231" xr:uid="{00000000-0005-0000-0000-0000D2050000}"/>
    <cellStyle name="Calculation 3 6" xfId="1620" xr:uid="{00000000-0005-0000-0000-0000BC050000}"/>
    <cellStyle name="Calculation 3 6 2" xfId="2623" xr:uid="{00000000-0005-0000-0000-0000BD050000}"/>
    <cellStyle name="Calculation 3 6 2 2" xfId="3230" xr:uid="{00000000-0005-0000-0000-0000D5050000}"/>
    <cellStyle name="Calculation 3 7" xfId="1621" xr:uid="{00000000-0005-0000-0000-0000BE050000}"/>
    <cellStyle name="Calculation 3 7 2" xfId="2624" xr:uid="{00000000-0005-0000-0000-0000BF050000}"/>
    <cellStyle name="Calculation 3 7 2 2" xfId="3229" xr:uid="{00000000-0005-0000-0000-0000D8050000}"/>
    <cellStyle name="Calculation 3 8" xfId="1615" xr:uid="{00000000-0005-0000-0000-0000C0050000}"/>
    <cellStyle name="Calculation 3 8 2" xfId="2618" xr:uid="{00000000-0005-0000-0000-0000C1050000}"/>
    <cellStyle name="Calculation 3 8 2 2" xfId="3235" xr:uid="{00000000-0005-0000-0000-0000DB050000}"/>
    <cellStyle name="Calculation 3 9" xfId="2555" xr:uid="{00000000-0005-0000-0000-0000C2050000}"/>
    <cellStyle name="Calculation 3 9 2" xfId="3298" xr:uid="{00000000-0005-0000-0000-0000DD050000}"/>
    <cellStyle name="Calculation 4" xfId="116" xr:uid="{00000000-0005-0000-0000-0000C3050000}"/>
    <cellStyle name="Calculation 4 2" xfId="1623" xr:uid="{00000000-0005-0000-0000-0000C4050000}"/>
    <cellStyle name="Calculation 4 2 2" xfId="2626" xr:uid="{00000000-0005-0000-0000-0000C5050000}"/>
    <cellStyle name="Calculation 4 2 2 2" xfId="3227" xr:uid="{00000000-0005-0000-0000-0000E1050000}"/>
    <cellStyle name="Calculation 4 3" xfId="1624" xr:uid="{00000000-0005-0000-0000-0000C6050000}"/>
    <cellStyle name="Calculation 4 3 2" xfId="2627" xr:uid="{00000000-0005-0000-0000-0000C7050000}"/>
    <cellStyle name="Calculation 4 3 2 2" xfId="3226" xr:uid="{00000000-0005-0000-0000-0000E4050000}"/>
    <cellStyle name="Calculation 4 4" xfId="1625" xr:uid="{00000000-0005-0000-0000-0000C8050000}"/>
    <cellStyle name="Calculation 4 4 2" xfId="2628" xr:uid="{00000000-0005-0000-0000-0000C9050000}"/>
    <cellStyle name="Calculation 4 4 2 2" xfId="3225" xr:uid="{00000000-0005-0000-0000-0000E7050000}"/>
    <cellStyle name="Calculation 4 5" xfId="1626" xr:uid="{00000000-0005-0000-0000-0000CA050000}"/>
    <cellStyle name="Calculation 4 5 2" xfId="2629" xr:uid="{00000000-0005-0000-0000-0000CB050000}"/>
    <cellStyle name="Calculation 4 5 2 2" xfId="3224" xr:uid="{00000000-0005-0000-0000-0000EA050000}"/>
    <cellStyle name="Calculation 4 6" xfId="1627" xr:uid="{00000000-0005-0000-0000-0000CC050000}"/>
    <cellStyle name="Calculation 4 6 2" xfId="2630" xr:uid="{00000000-0005-0000-0000-0000CD050000}"/>
    <cellStyle name="Calculation 4 6 2 2" xfId="3223" xr:uid="{00000000-0005-0000-0000-0000ED050000}"/>
    <cellStyle name="Calculation 4 7" xfId="1628" xr:uid="{00000000-0005-0000-0000-0000CE050000}"/>
    <cellStyle name="Calculation 4 7 2" xfId="2631" xr:uid="{00000000-0005-0000-0000-0000CF050000}"/>
    <cellStyle name="Calculation 4 7 2 2" xfId="3222" xr:uid="{00000000-0005-0000-0000-0000F0050000}"/>
    <cellStyle name="Calculation 4 8" xfId="1622" xr:uid="{00000000-0005-0000-0000-0000D0050000}"/>
    <cellStyle name="Calculation 4 8 2" xfId="2625" xr:uid="{00000000-0005-0000-0000-0000D1050000}"/>
    <cellStyle name="Calculation 4 8 2 2" xfId="3228" xr:uid="{00000000-0005-0000-0000-0000F3050000}"/>
    <cellStyle name="Calculation 4 9" xfId="2556" xr:uid="{00000000-0005-0000-0000-0000D2050000}"/>
    <cellStyle name="Calculation 4 9 2" xfId="3297" xr:uid="{00000000-0005-0000-0000-0000F5050000}"/>
    <cellStyle name="Calculation 5" xfId="117" xr:uid="{00000000-0005-0000-0000-0000D3050000}"/>
    <cellStyle name="Calculation 5 2" xfId="1629" xr:uid="{00000000-0005-0000-0000-0000D4050000}"/>
    <cellStyle name="Calculation 5 2 2" xfId="2632" xr:uid="{00000000-0005-0000-0000-0000D5050000}"/>
    <cellStyle name="Calculation 5 2 2 2" xfId="3221" xr:uid="{00000000-0005-0000-0000-0000F9050000}"/>
    <cellStyle name="Calculation 5 3" xfId="1630" xr:uid="{00000000-0005-0000-0000-0000D6050000}"/>
    <cellStyle name="Calculation 5 3 2" xfId="2633" xr:uid="{00000000-0005-0000-0000-0000D7050000}"/>
    <cellStyle name="Calculation 5 3 2 2" xfId="3220" xr:uid="{00000000-0005-0000-0000-0000FC050000}"/>
    <cellStyle name="Calculation 5 4" xfId="1631" xr:uid="{00000000-0005-0000-0000-0000D8050000}"/>
    <cellStyle name="Calculation 5 4 2" xfId="2634" xr:uid="{00000000-0005-0000-0000-0000D9050000}"/>
    <cellStyle name="Calculation 5 4 2 2" xfId="3219" xr:uid="{00000000-0005-0000-0000-0000FF050000}"/>
    <cellStyle name="Calculation 5 5" xfId="1632" xr:uid="{00000000-0005-0000-0000-0000DA050000}"/>
    <cellStyle name="Calculation 5 5 2" xfId="2635" xr:uid="{00000000-0005-0000-0000-0000DB050000}"/>
    <cellStyle name="Calculation 5 5 2 2" xfId="3218" xr:uid="{00000000-0005-0000-0000-000002060000}"/>
    <cellStyle name="Calculation 5 6" xfId="1633" xr:uid="{00000000-0005-0000-0000-0000DC050000}"/>
    <cellStyle name="Calculation 5 6 2" xfId="2636" xr:uid="{00000000-0005-0000-0000-0000DD050000}"/>
    <cellStyle name="Calculation 5 6 2 2" xfId="3217" xr:uid="{00000000-0005-0000-0000-000005060000}"/>
    <cellStyle name="Calculation 5 7" xfId="2557" xr:uid="{00000000-0005-0000-0000-0000DE050000}"/>
    <cellStyle name="Calculation 5 7 2" xfId="3296" xr:uid="{00000000-0005-0000-0000-000007060000}"/>
    <cellStyle name="Calculation 6" xfId="118" xr:uid="{00000000-0005-0000-0000-0000DF050000}"/>
    <cellStyle name="Calculation 6 2" xfId="1634" xr:uid="{00000000-0005-0000-0000-0000E0050000}"/>
    <cellStyle name="Calculation 6 2 2" xfId="2637" xr:uid="{00000000-0005-0000-0000-0000E1050000}"/>
    <cellStyle name="Calculation 6 2 2 2" xfId="3216" xr:uid="{00000000-0005-0000-0000-00000B060000}"/>
    <cellStyle name="Calculation 6 3" xfId="1635" xr:uid="{00000000-0005-0000-0000-0000E2050000}"/>
    <cellStyle name="Calculation 6 3 2" xfId="2638" xr:uid="{00000000-0005-0000-0000-0000E3050000}"/>
    <cellStyle name="Calculation 6 3 2 2" xfId="3215" xr:uid="{00000000-0005-0000-0000-00000E060000}"/>
    <cellStyle name="Calculation 6 4" xfId="1636" xr:uid="{00000000-0005-0000-0000-0000E4050000}"/>
    <cellStyle name="Calculation 6 4 2" xfId="2639" xr:uid="{00000000-0005-0000-0000-0000E5050000}"/>
    <cellStyle name="Calculation 6 4 2 2" xfId="3214" xr:uid="{00000000-0005-0000-0000-000011060000}"/>
    <cellStyle name="Calculation 6 5" xfId="1637" xr:uid="{00000000-0005-0000-0000-0000E6050000}"/>
    <cellStyle name="Calculation 6 5 2" xfId="2640" xr:uid="{00000000-0005-0000-0000-0000E7050000}"/>
    <cellStyle name="Calculation 6 5 2 2" xfId="3213" xr:uid="{00000000-0005-0000-0000-000014060000}"/>
    <cellStyle name="Calculation 6 6" xfId="1638" xr:uid="{00000000-0005-0000-0000-0000E8050000}"/>
    <cellStyle name="Calculation 6 6 2" xfId="2641" xr:uid="{00000000-0005-0000-0000-0000E9050000}"/>
    <cellStyle name="Calculation 6 6 2 2" xfId="3212" xr:uid="{00000000-0005-0000-0000-000017060000}"/>
    <cellStyle name="Calculation 6 7" xfId="2558" xr:uid="{00000000-0005-0000-0000-0000EA050000}"/>
    <cellStyle name="Calculation 6 7 2" xfId="3295" xr:uid="{00000000-0005-0000-0000-000019060000}"/>
    <cellStyle name="Calculation 7" xfId="119" xr:uid="{00000000-0005-0000-0000-0000EB050000}"/>
    <cellStyle name="Calculation 7 2" xfId="1639" xr:uid="{00000000-0005-0000-0000-0000EC050000}"/>
    <cellStyle name="Calculation 7 2 2" xfId="2642" xr:uid="{00000000-0005-0000-0000-0000ED050000}"/>
    <cellStyle name="Calculation 7 2 2 2" xfId="3211" xr:uid="{00000000-0005-0000-0000-00001D060000}"/>
    <cellStyle name="Calculation 7 3" xfId="1640" xr:uid="{00000000-0005-0000-0000-0000EE050000}"/>
    <cellStyle name="Calculation 7 3 2" xfId="2643" xr:uid="{00000000-0005-0000-0000-0000EF050000}"/>
    <cellStyle name="Calculation 7 3 2 2" xfId="3210" xr:uid="{00000000-0005-0000-0000-000020060000}"/>
    <cellStyle name="Calculation 7 4" xfId="1641" xr:uid="{00000000-0005-0000-0000-0000F0050000}"/>
    <cellStyle name="Calculation 7 4 2" xfId="2644" xr:uid="{00000000-0005-0000-0000-0000F1050000}"/>
    <cellStyle name="Calculation 7 4 2 2" xfId="3209" xr:uid="{00000000-0005-0000-0000-000023060000}"/>
    <cellStyle name="Calculation 7 5" xfId="1642" xr:uid="{00000000-0005-0000-0000-0000F2050000}"/>
    <cellStyle name="Calculation 7 5 2" xfId="2645" xr:uid="{00000000-0005-0000-0000-0000F3050000}"/>
    <cellStyle name="Calculation 7 5 2 2" xfId="3208" xr:uid="{00000000-0005-0000-0000-000026060000}"/>
    <cellStyle name="Calculation 7 6" xfId="1643" xr:uid="{00000000-0005-0000-0000-0000F4050000}"/>
    <cellStyle name="Calculation 7 6 2" xfId="2646" xr:uid="{00000000-0005-0000-0000-0000F5050000}"/>
    <cellStyle name="Calculation 7 6 2 2" xfId="3207" xr:uid="{00000000-0005-0000-0000-000029060000}"/>
    <cellStyle name="Calculation 7 7" xfId="2559" xr:uid="{00000000-0005-0000-0000-0000F6050000}"/>
    <cellStyle name="Calculation 7 7 2" xfId="3294" xr:uid="{00000000-0005-0000-0000-00002B060000}"/>
    <cellStyle name="Calculation 8 2" xfId="1644" xr:uid="{00000000-0005-0000-0000-0000F7050000}"/>
    <cellStyle name="Calculation 8 2 2" xfId="2647" xr:uid="{00000000-0005-0000-0000-0000F8050000}"/>
    <cellStyle name="Calculation 8 2 2 2" xfId="3206" xr:uid="{00000000-0005-0000-0000-00002E060000}"/>
    <cellStyle name="Calculation 8 3" xfId="1645" xr:uid="{00000000-0005-0000-0000-0000F9050000}"/>
    <cellStyle name="Calculation 8 3 2" xfId="2648" xr:uid="{00000000-0005-0000-0000-0000FA050000}"/>
    <cellStyle name="Calculation 8 3 2 2" xfId="3205" xr:uid="{00000000-0005-0000-0000-000031060000}"/>
    <cellStyle name="Calculation 8 4" xfId="1646" xr:uid="{00000000-0005-0000-0000-0000FB050000}"/>
    <cellStyle name="Calculation 8 4 2" xfId="2649" xr:uid="{00000000-0005-0000-0000-0000FC050000}"/>
    <cellStyle name="Calculation 8 4 2 2" xfId="3204" xr:uid="{00000000-0005-0000-0000-000034060000}"/>
    <cellStyle name="Calculation 8 5" xfId="1647" xr:uid="{00000000-0005-0000-0000-0000FD050000}"/>
    <cellStyle name="Calculation 8 5 2" xfId="2650" xr:uid="{00000000-0005-0000-0000-0000FE050000}"/>
    <cellStyle name="Calculation 8 5 2 2" xfId="3203" xr:uid="{00000000-0005-0000-0000-000037060000}"/>
    <cellStyle name="Calculation 8 6" xfId="1648" xr:uid="{00000000-0005-0000-0000-0000FF050000}"/>
    <cellStyle name="Calculation 8 6 2" xfId="2651" xr:uid="{00000000-0005-0000-0000-000000060000}"/>
    <cellStyle name="Calculation 8 6 2 2" xfId="3202" xr:uid="{00000000-0005-0000-0000-00003A060000}"/>
    <cellStyle name="Calculation 9 2" xfId="1649" xr:uid="{00000000-0005-0000-0000-000001060000}"/>
    <cellStyle name="Calculation 9 2 2" xfId="2652" xr:uid="{00000000-0005-0000-0000-000002060000}"/>
    <cellStyle name="Calculation 9 2 2 2" xfId="3201" xr:uid="{00000000-0005-0000-0000-00003D060000}"/>
    <cellStyle name="Calculation 9 3" xfId="1650" xr:uid="{00000000-0005-0000-0000-000003060000}"/>
    <cellStyle name="Calculation 9 3 2" xfId="2653" xr:uid="{00000000-0005-0000-0000-000004060000}"/>
    <cellStyle name="Calculation 9 3 2 2" xfId="3200" xr:uid="{00000000-0005-0000-0000-000040060000}"/>
    <cellStyle name="Calculation 9 4" xfId="1651" xr:uid="{00000000-0005-0000-0000-000005060000}"/>
    <cellStyle name="Calculation 9 4 2" xfId="2654" xr:uid="{00000000-0005-0000-0000-000006060000}"/>
    <cellStyle name="Calculation 9 4 2 2" xfId="3199" xr:uid="{00000000-0005-0000-0000-000043060000}"/>
    <cellStyle name="Calculation 9 5" xfId="1652" xr:uid="{00000000-0005-0000-0000-000007060000}"/>
    <cellStyle name="Calculation 9 5 2" xfId="2655" xr:uid="{00000000-0005-0000-0000-000008060000}"/>
    <cellStyle name="Calculation 9 5 2 2" xfId="3198" xr:uid="{00000000-0005-0000-0000-000046060000}"/>
    <cellStyle name="Calculation 9 6" xfId="1653" xr:uid="{00000000-0005-0000-0000-000009060000}"/>
    <cellStyle name="Calculation 9 6 2" xfId="2656" xr:uid="{00000000-0005-0000-0000-00000A060000}"/>
    <cellStyle name="Calculation 9 6 2 2" xfId="3197" xr:uid="{00000000-0005-0000-0000-000049060000}"/>
    <cellStyle name="Check Cell 10 2" xfId="1654" xr:uid="{00000000-0005-0000-0000-00000B060000}"/>
    <cellStyle name="Check Cell 10 3" xfId="1655" xr:uid="{00000000-0005-0000-0000-00000C060000}"/>
    <cellStyle name="Check Cell 10 4" xfId="1656" xr:uid="{00000000-0005-0000-0000-00000D060000}"/>
    <cellStyle name="Check Cell 10 5" xfId="1657" xr:uid="{00000000-0005-0000-0000-00000E060000}"/>
    <cellStyle name="Check Cell 10 6" xfId="1658" xr:uid="{00000000-0005-0000-0000-00000F060000}"/>
    <cellStyle name="Check Cell 11 2" xfId="1659" xr:uid="{00000000-0005-0000-0000-000010060000}"/>
    <cellStyle name="Check Cell 11 3" xfId="1660" xr:uid="{00000000-0005-0000-0000-000011060000}"/>
    <cellStyle name="Check Cell 11 4" xfId="1661" xr:uid="{00000000-0005-0000-0000-000012060000}"/>
    <cellStyle name="Check Cell 11 5" xfId="1662" xr:uid="{00000000-0005-0000-0000-000013060000}"/>
    <cellStyle name="Check Cell 11 6" xfId="1663" xr:uid="{00000000-0005-0000-0000-000014060000}"/>
    <cellStyle name="Check Cell 2" xfId="120" xr:uid="{00000000-0005-0000-0000-000015060000}"/>
    <cellStyle name="Check Cell 2 2" xfId="1664" xr:uid="{00000000-0005-0000-0000-000016060000}"/>
    <cellStyle name="Check Cell 2 3" xfId="1665" xr:uid="{00000000-0005-0000-0000-000017060000}"/>
    <cellStyle name="Check Cell 2 4" xfId="1666" xr:uid="{00000000-0005-0000-0000-000018060000}"/>
    <cellStyle name="Check Cell 2 5" xfId="1667" xr:uid="{00000000-0005-0000-0000-000019060000}"/>
    <cellStyle name="Check Cell 2 6" xfId="1668" xr:uid="{00000000-0005-0000-0000-00001A060000}"/>
    <cellStyle name="Check Cell 3" xfId="121" xr:uid="{00000000-0005-0000-0000-00001B060000}"/>
    <cellStyle name="Check Cell 3 2" xfId="1670" xr:uid="{00000000-0005-0000-0000-00001C060000}"/>
    <cellStyle name="Check Cell 3 3" xfId="1671" xr:uid="{00000000-0005-0000-0000-00001D060000}"/>
    <cellStyle name="Check Cell 3 4" xfId="1672" xr:uid="{00000000-0005-0000-0000-00001E060000}"/>
    <cellStyle name="Check Cell 3 5" xfId="1673" xr:uid="{00000000-0005-0000-0000-00001F060000}"/>
    <cellStyle name="Check Cell 3 6" xfId="1674" xr:uid="{00000000-0005-0000-0000-000020060000}"/>
    <cellStyle name="Check Cell 3 7" xfId="1675" xr:uid="{00000000-0005-0000-0000-000021060000}"/>
    <cellStyle name="Check Cell 3 8" xfId="1669" xr:uid="{00000000-0005-0000-0000-000022060000}"/>
    <cellStyle name="Check Cell 4" xfId="122" xr:uid="{00000000-0005-0000-0000-000023060000}"/>
    <cellStyle name="Check Cell 4 2" xfId="1677" xr:uid="{00000000-0005-0000-0000-000024060000}"/>
    <cellStyle name="Check Cell 4 3" xfId="1678" xr:uid="{00000000-0005-0000-0000-000025060000}"/>
    <cellStyle name="Check Cell 4 4" xfId="1679" xr:uid="{00000000-0005-0000-0000-000026060000}"/>
    <cellStyle name="Check Cell 4 5" xfId="1680" xr:uid="{00000000-0005-0000-0000-000027060000}"/>
    <cellStyle name="Check Cell 4 6" xfId="1681" xr:uid="{00000000-0005-0000-0000-000028060000}"/>
    <cellStyle name="Check Cell 4 7" xfId="1682" xr:uid="{00000000-0005-0000-0000-000029060000}"/>
    <cellStyle name="Check Cell 4 8" xfId="1676" xr:uid="{00000000-0005-0000-0000-00002A060000}"/>
    <cellStyle name="Check Cell 5" xfId="123" xr:uid="{00000000-0005-0000-0000-00002B060000}"/>
    <cellStyle name="Check Cell 5 2" xfId="1683" xr:uid="{00000000-0005-0000-0000-00002C060000}"/>
    <cellStyle name="Check Cell 5 3" xfId="1684" xr:uid="{00000000-0005-0000-0000-00002D060000}"/>
    <cellStyle name="Check Cell 5 4" xfId="1685" xr:uid="{00000000-0005-0000-0000-00002E060000}"/>
    <cellStyle name="Check Cell 5 5" xfId="1686" xr:uid="{00000000-0005-0000-0000-00002F060000}"/>
    <cellStyle name="Check Cell 5 6" xfId="1687" xr:uid="{00000000-0005-0000-0000-000030060000}"/>
    <cellStyle name="Check Cell 6" xfId="124" xr:uid="{00000000-0005-0000-0000-000031060000}"/>
    <cellStyle name="Check Cell 6 2" xfId="1688" xr:uid="{00000000-0005-0000-0000-000032060000}"/>
    <cellStyle name="Check Cell 6 3" xfId="1689" xr:uid="{00000000-0005-0000-0000-000033060000}"/>
    <cellStyle name="Check Cell 6 4" xfId="1690" xr:uid="{00000000-0005-0000-0000-000034060000}"/>
    <cellStyle name="Check Cell 6 5" xfId="1691" xr:uid="{00000000-0005-0000-0000-000035060000}"/>
    <cellStyle name="Check Cell 6 6" xfId="1692" xr:uid="{00000000-0005-0000-0000-000036060000}"/>
    <cellStyle name="Check Cell 7" xfId="125" xr:uid="{00000000-0005-0000-0000-000037060000}"/>
    <cellStyle name="Check Cell 7 2" xfId="1693" xr:uid="{00000000-0005-0000-0000-000038060000}"/>
    <cellStyle name="Check Cell 7 3" xfId="1694" xr:uid="{00000000-0005-0000-0000-000039060000}"/>
    <cellStyle name="Check Cell 7 4" xfId="1695" xr:uid="{00000000-0005-0000-0000-00003A060000}"/>
    <cellStyle name="Check Cell 7 5" xfId="1696" xr:uid="{00000000-0005-0000-0000-00003B060000}"/>
    <cellStyle name="Check Cell 7 6" xfId="1697" xr:uid="{00000000-0005-0000-0000-00003C060000}"/>
    <cellStyle name="Check Cell 8 2" xfId="1698" xr:uid="{00000000-0005-0000-0000-00003D060000}"/>
    <cellStyle name="Check Cell 8 3" xfId="1699" xr:uid="{00000000-0005-0000-0000-00003E060000}"/>
    <cellStyle name="Check Cell 8 4" xfId="1700" xr:uid="{00000000-0005-0000-0000-00003F060000}"/>
    <cellStyle name="Check Cell 8 5" xfId="1701" xr:uid="{00000000-0005-0000-0000-000040060000}"/>
    <cellStyle name="Check Cell 8 6" xfId="1702" xr:uid="{00000000-0005-0000-0000-000041060000}"/>
    <cellStyle name="Check Cell 9 2" xfId="1703" xr:uid="{00000000-0005-0000-0000-000042060000}"/>
    <cellStyle name="Check Cell 9 3" xfId="1704" xr:uid="{00000000-0005-0000-0000-000043060000}"/>
    <cellStyle name="Check Cell 9 4" xfId="1705" xr:uid="{00000000-0005-0000-0000-000044060000}"/>
    <cellStyle name="Check Cell 9 5" xfId="1706" xr:uid="{00000000-0005-0000-0000-000045060000}"/>
    <cellStyle name="Check Cell 9 6" xfId="1707" xr:uid="{00000000-0005-0000-0000-000046060000}"/>
    <cellStyle name="Client Name" xfId="126" xr:uid="{00000000-0005-0000-0000-000047060000}"/>
    <cellStyle name="Column Headings" xfId="127" xr:uid="{00000000-0005-0000-0000-000048060000}"/>
    <cellStyle name="Comma" xfId="1" builtinId="3"/>
    <cellStyle name="Comma 18" xfId="1708" xr:uid="{00000000-0005-0000-0000-00004A060000}"/>
    <cellStyle name="Comma 19" xfId="1709" xr:uid="{00000000-0005-0000-0000-00004B060000}"/>
    <cellStyle name="Comma 19 2" xfId="1710" xr:uid="{00000000-0005-0000-0000-00004C060000}"/>
    <cellStyle name="Comma 2" xfId="128" xr:uid="{00000000-0005-0000-0000-00004D060000}"/>
    <cellStyle name="Comma 2 2" xfId="129" xr:uid="{00000000-0005-0000-0000-00004E060000}"/>
    <cellStyle name="Comma 2 3" xfId="130" xr:uid="{00000000-0005-0000-0000-00004F060000}"/>
    <cellStyle name="Comma 2 3 2" xfId="1711" xr:uid="{00000000-0005-0000-0000-000050060000}"/>
    <cellStyle name="Comma 2 4" xfId="131" xr:uid="{00000000-0005-0000-0000-000051060000}"/>
    <cellStyle name="Comma 2 4 2" xfId="2535" xr:uid="{00000000-0005-0000-0000-000052060000}"/>
    <cellStyle name="Comma 2 4 3" xfId="2964" xr:uid="{00000000-0005-0000-0000-000092060000}"/>
    <cellStyle name="Comma 20" xfId="1712" xr:uid="{00000000-0005-0000-0000-000053060000}"/>
    <cellStyle name="Comma 20 2" xfId="1713" xr:uid="{00000000-0005-0000-0000-000054060000}"/>
    <cellStyle name="Comma 21" xfId="1714" xr:uid="{00000000-0005-0000-0000-000055060000}"/>
    <cellStyle name="Comma 21 2" xfId="1715" xr:uid="{00000000-0005-0000-0000-000056060000}"/>
    <cellStyle name="Comma 22" xfId="1716" xr:uid="{00000000-0005-0000-0000-000057060000}"/>
    <cellStyle name="Comma 22 2" xfId="1717" xr:uid="{00000000-0005-0000-0000-000058060000}"/>
    <cellStyle name="Comma 23" xfId="1718" xr:uid="{00000000-0005-0000-0000-000059060000}"/>
    <cellStyle name="Comma 23 2" xfId="1719" xr:uid="{00000000-0005-0000-0000-00005A060000}"/>
    <cellStyle name="Comma 24" xfId="1720" xr:uid="{00000000-0005-0000-0000-00005B060000}"/>
    <cellStyle name="Comma 24 2" xfId="1721" xr:uid="{00000000-0005-0000-0000-00005C060000}"/>
    <cellStyle name="Comma 27" xfId="1722" xr:uid="{00000000-0005-0000-0000-00005D060000}"/>
    <cellStyle name="Comma 27 2" xfId="1723" xr:uid="{00000000-0005-0000-0000-00005E060000}"/>
    <cellStyle name="Comma 28" xfId="1724" xr:uid="{00000000-0005-0000-0000-00005F060000}"/>
    <cellStyle name="Comma 28 2" xfId="1725" xr:uid="{00000000-0005-0000-0000-000060060000}"/>
    <cellStyle name="Comma 3" xfId="132" xr:uid="{00000000-0005-0000-0000-000061060000}"/>
    <cellStyle name="Comma 3 10" xfId="2923" xr:uid="{00000000-0005-0000-0000-0000A1060000}"/>
    <cellStyle name="Comma 3 2" xfId="133" xr:uid="{00000000-0005-0000-0000-000062060000}"/>
    <cellStyle name="Comma 3 3" xfId="134" xr:uid="{00000000-0005-0000-0000-000063060000}"/>
    <cellStyle name="Comma 3 3 2" xfId="2534" xr:uid="{00000000-0005-0000-0000-000064060000}"/>
    <cellStyle name="Comma 3 3 3" xfId="2966" xr:uid="{00000000-0005-0000-0000-0000A5060000}"/>
    <cellStyle name="Comma 3 4" xfId="1726" xr:uid="{00000000-0005-0000-0000-000065060000}"/>
    <cellStyle name="Comma 3 4 2" xfId="2850" xr:uid="{00000000-0005-0000-0000-000066060000}"/>
    <cellStyle name="Comma 3 4 2 2" xfId="2897" xr:uid="{00000000-0005-0000-0000-000066060000}"/>
    <cellStyle name="Comma 3 4 2 2 2" xfId="2998" xr:uid="{00000000-0005-0000-0000-0000A8060000}"/>
    <cellStyle name="Comma 3 4 2 3" xfId="3442" xr:uid="{00000000-0005-0000-0000-0000A9060000}"/>
    <cellStyle name="Comma 3 4 2 4" xfId="2942" xr:uid="{00000000-0005-0000-0000-0000A7060000}"/>
    <cellStyle name="Comma 3 4 3" xfId="2880" xr:uid="{00000000-0005-0000-0000-000065060000}"/>
    <cellStyle name="Comma 3 4 3 2" xfId="2976" xr:uid="{00000000-0005-0000-0000-0000AA060000}"/>
    <cellStyle name="Comma 3 4 4" xfId="3418" xr:uid="{00000000-0005-0000-0000-0000AB060000}"/>
    <cellStyle name="Comma 3 4 5" xfId="2925" xr:uid="{00000000-0005-0000-0000-0000A6060000}"/>
    <cellStyle name="Comma 3 5" xfId="2531" xr:uid="{00000000-0005-0000-0000-000067060000}"/>
    <cellStyle name="Comma 3 5 2" xfId="2854" xr:uid="{00000000-0005-0000-0000-000068060000}"/>
    <cellStyle name="Comma 3 5 2 2" xfId="2901" xr:uid="{00000000-0005-0000-0000-000068060000}"/>
    <cellStyle name="Comma 3 5 2 2 2" xfId="3002" xr:uid="{00000000-0005-0000-0000-0000AE060000}"/>
    <cellStyle name="Comma 3 5 2 3" xfId="3446" xr:uid="{00000000-0005-0000-0000-0000AF060000}"/>
    <cellStyle name="Comma 3 5 2 4" xfId="2946" xr:uid="{00000000-0005-0000-0000-0000AD060000}"/>
    <cellStyle name="Comma 3 5 3" xfId="2884" xr:uid="{00000000-0005-0000-0000-000067060000}"/>
    <cellStyle name="Comma 3 5 3 2" xfId="2985" xr:uid="{00000000-0005-0000-0000-0000B0060000}"/>
    <cellStyle name="Comma 3 5 4" xfId="3428" xr:uid="{00000000-0005-0000-0000-0000B1060000}"/>
    <cellStyle name="Comma 3 5 5" xfId="2929" xr:uid="{00000000-0005-0000-0000-0000AC060000}"/>
    <cellStyle name="Comma 3 6" xfId="2540" xr:uid="{00000000-0005-0000-0000-000069060000}"/>
    <cellStyle name="Comma 3 6 2" xfId="2858" xr:uid="{00000000-0005-0000-0000-00006A060000}"/>
    <cellStyle name="Comma 3 6 2 2" xfId="2905" xr:uid="{00000000-0005-0000-0000-00006A060000}"/>
    <cellStyle name="Comma 3 6 2 2 2" xfId="3006" xr:uid="{00000000-0005-0000-0000-0000B4060000}"/>
    <cellStyle name="Comma 3 6 2 3" xfId="3450" xr:uid="{00000000-0005-0000-0000-0000B5060000}"/>
    <cellStyle name="Comma 3 6 2 4" xfId="2950" xr:uid="{00000000-0005-0000-0000-0000B3060000}"/>
    <cellStyle name="Comma 3 6 3" xfId="2888" xr:uid="{00000000-0005-0000-0000-000069060000}"/>
    <cellStyle name="Comma 3 6 3 2" xfId="2989" xr:uid="{00000000-0005-0000-0000-0000B6060000}"/>
    <cellStyle name="Comma 3 6 4" xfId="3432" xr:uid="{00000000-0005-0000-0000-0000B7060000}"/>
    <cellStyle name="Comma 3 6 5" xfId="2933" xr:uid="{00000000-0005-0000-0000-0000B2060000}"/>
    <cellStyle name="Comma 3 7" xfId="2848" xr:uid="{00000000-0005-0000-0000-00006B060000}"/>
    <cellStyle name="Comma 3 7 2" xfId="2895" xr:uid="{00000000-0005-0000-0000-00006B060000}"/>
    <cellStyle name="Comma 3 7 2 2" xfId="2996" xr:uid="{00000000-0005-0000-0000-0000B9060000}"/>
    <cellStyle name="Comma 3 7 3" xfId="3440" xr:uid="{00000000-0005-0000-0000-0000BA060000}"/>
    <cellStyle name="Comma 3 7 4" xfId="2940" xr:uid="{00000000-0005-0000-0000-0000B8060000}"/>
    <cellStyle name="Comma 3 8" xfId="2878" xr:uid="{00000000-0005-0000-0000-000061060000}"/>
    <cellStyle name="Comma 3 8 2" xfId="2965" xr:uid="{00000000-0005-0000-0000-0000BB060000}"/>
    <cellStyle name="Comma 3 9" xfId="3033" xr:uid="{00000000-0005-0000-0000-0000BC060000}"/>
    <cellStyle name="Comma 30" xfId="1727" xr:uid="{00000000-0005-0000-0000-00006C060000}"/>
    <cellStyle name="Comma 30 2" xfId="1728" xr:uid="{00000000-0005-0000-0000-00006D060000}"/>
    <cellStyle name="Comma 36" xfId="1729" xr:uid="{00000000-0005-0000-0000-00006E060000}"/>
    <cellStyle name="Comma 36 2" xfId="1730" xr:uid="{00000000-0005-0000-0000-00006F060000}"/>
    <cellStyle name="Comma 39 2" xfId="1731" xr:uid="{00000000-0005-0000-0000-000070060000}"/>
    <cellStyle name="Comma 4" xfId="135" xr:uid="{00000000-0005-0000-0000-000071060000}"/>
    <cellStyle name="Comma 4 2" xfId="136" xr:uid="{00000000-0005-0000-0000-000072060000}"/>
    <cellStyle name="Comma 4 3" xfId="1732" xr:uid="{00000000-0005-0000-0000-000073060000}"/>
    <cellStyle name="Comma 5" xfId="2861" xr:uid="{00000000-0005-0000-0000-000074060000}"/>
    <cellStyle name="Comma 5 2" xfId="2908" xr:uid="{00000000-0005-0000-0000-000074060000}"/>
    <cellStyle name="Comma 5 2 2" xfId="3009" xr:uid="{00000000-0005-0000-0000-0000C6060000}"/>
    <cellStyle name="Comma 5 3" xfId="3453" xr:uid="{00000000-0005-0000-0000-0000C7060000}"/>
    <cellStyle name="Comma 5 4" xfId="2953" xr:uid="{00000000-0005-0000-0000-0000C5060000}"/>
    <cellStyle name="Comma 58 2" xfId="1733" xr:uid="{00000000-0005-0000-0000-000075060000}"/>
    <cellStyle name="Comma 6" xfId="3474" xr:uid="{00000000-0005-0000-0000-0000C9060000}"/>
    <cellStyle name="Comma0" xfId="137" xr:uid="{00000000-0005-0000-0000-000076060000}"/>
    <cellStyle name="Comma0 2" xfId="2533" xr:uid="{00000000-0005-0000-0000-000077060000}"/>
    <cellStyle name="Comma0 3" xfId="2967" xr:uid="{00000000-0005-0000-0000-0000CC060000}"/>
    <cellStyle name="Currency 18" xfId="1734" xr:uid="{00000000-0005-0000-0000-000078060000}"/>
    <cellStyle name="Currency 18 2" xfId="1735" xr:uid="{00000000-0005-0000-0000-000079060000}"/>
    <cellStyle name="Currency 19" xfId="1736" xr:uid="{00000000-0005-0000-0000-00007A060000}"/>
    <cellStyle name="Currency 19 2" xfId="1737" xr:uid="{00000000-0005-0000-0000-00007B060000}"/>
    <cellStyle name="Currency 2" xfId="138" xr:uid="{00000000-0005-0000-0000-00007C060000}"/>
    <cellStyle name="Currency 2 2" xfId="139" xr:uid="{00000000-0005-0000-0000-00007D060000}"/>
    <cellStyle name="Currency 2 3" xfId="140" xr:uid="{00000000-0005-0000-0000-00007E060000}"/>
    <cellStyle name="Currency 2 3 2" xfId="1739" xr:uid="{00000000-0005-0000-0000-00007F060000}"/>
    <cellStyle name="Currency 2 3 2 2" xfId="2977" xr:uid="{00000000-0005-0000-0000-0000D5060000}"/>
    <cellStyle name="Currency 2 3 3" xfId="1738" xr:uid="{00000000-0005-0000-0000-000080060000}"/>
    <cellStyle name="Currency 2 3 4" xfId="2968" xr:uid="{00000000-0005-0000-0000-0000D7060000}"/>
    <cellStyle name="Currency 2 4" xfId="1740" xr:uid="{00000000-0005-0000-0000-000081060000}"/>
    <cellStyle name="Currency 2 4 2" xfId="2978" xr:uid="{00000000-0005-0000-0000-0000D9060000}"/>
    <cellStyle name="Currency 20" xfId="1741" xr:uid="{00000000-0005-0000-0000-000082060000}"/>
    <cellStyle name="Currency 20 2" xfId="1742" xr:uid="{00000000-0005-0000-0000-000083060000}"/>
    <cellStyle name="Currency 21" xfId="1743" xr:uid="{00000000-0005-0000-0000-000084060000}"/>
    <cellStyle name="Currency 21 2" xfId="1744" xr:uid="{00000000-0005-0000-0000-000085060000}"/>
    <cellStyle name="Currency 22" xfId="1745" xr:uid="{00000000-0005-0000-0000-000086060000}"/>
    <cellStyle name="Currency 22 2" xfId="1746" xr:uid="{00000000-0005-0000-0000-000087060000}"/>
    <cellStyle name="Currency 23" xfId="1747" xr:uid="{00000000-0005-0000-0000-000088060000}"/>
    <cellStyle name="Currency 23 2" xfId="1748" xr:uid="{00000000-0005-0000-0000-000089060000}"/>
    <cellStyle name="Currency 24" xfId="1749" xr:uid="{00000000-0005-0000-0000-00008A060000}"/>
    <cellStyle name="Currency 24 2" xfId="1750" xr:uid="{00000000-0005-0000-0000-00008B060000}"/>
    <cellStyle name="Currency 27" xfId="1751" xr:uid="{00000000-0005-0000-0000-00008C060000}"/>
    <cellStyle name="Currency 27 2" xfId="1752" xr:uid="{00000000-0005-0000-0000-00008D060000}"/>
    <cellStyle name="Currency 28" xfId="1753" xr:uid="{00000000-0005-0000-0000-00008E060000}"/>
    <cellStyle name="Currency 28 2" xfId="1754" xr:uid="{00000000-0005-0000-0000-00008F060000}"/>
    <cellStyle name="Currency 3" xfId="141" xr:uid="{00000000-0005-0000-0000-000090060000}"/>
    <cellStyle name="Currency 3 2" xfId="1755" xr:uid="{00000000-0005-0000-0000-000091060000}"/>
    <cellStyle name="Currency 36" xfId="1756" xr:uid="{00000000-0005-0000-0000-000092060000}"/>
    <cellStyle name="Currency 36 2" xfId="1757" xr:uid="{00000000-0005-0000-0000-000093060000}"/>
    <cellStyle name="Currency 39 2" xfId="1758" xr:uid="{00000000-0005-0000-0000-000094060000}"/>
    <cellStyle name="Currency 43 2" xfId="1759" xr:uid="{00000000-0005-0000-0000-000095060000}"/>
    <cellStyle name="Currency0" xfId="142" xr:uid="{00000000-0005-0000-0000-000096060000}"/>
    <cellStyle name="Currency0 2" xfId="2532" xr:uid="{00000000-0005-0000-0000-000097060000}"/>
    <cellStyle name="Currency0 3" xfId="2969" xr:uid="{00000000-0005-0000-0000-0000F0060000}"/>
    <cellStyle name="Date" xfId="143" xr:uid="{00000000-0005-0000-0000-000098060000}"/>
    <cellStyle name="Decimal 2 (e.g. 1,000.00)" xfId="144" xr:uid="{00000000-0005-0000-0000-000099060000}"/>
    <cellStyle name="Double Underline" xfId="145" xr:uid="{00000000-0005-0000-0000-00009A060000}"/>
    <cellStyle name="Double Underscore" xfId="146" xr:uid="{00000000-0005-0000-0000-00009B060000}"/>
    <cellStyle name="Emphasis 1" xfId="147" xr:uid="{00000000-0005-0000-0000-00009C060000}"/>
    <cellStyle name="Emphasis 2" xfId="148" xr:uid="{00000000-0005-0000-0000-00009D060000}"/>
    <cellStyle name="Emphasis 3" xfId="149" xr:uid="{00000000-0005-0000-0000-00009E060000}"/>
    <cellStyle name="Explanatory Text 10 2" xfId="1760" xr:uid="{00000000-0005-0000-0000-00009F060000}"/>
    <cellStyle name="Explanatory Text 10 3" xfId="1761" xr:uid="{00000000-0005-0000-0000-0000A0060000}"/>
    <cellStyle name="Explanatory Text 10 4" xfId="1762" xr:uid="{00000000-0005-0000-0000-0000A1060000}"/>
    <cellStyle name="Explanatory Text 10 5" xfId="1763" xr:uid="{00000000-0005-0000-0000-0000A2060000}"/>
    <cellStyle name="Explanatory Text 10 6" xfId="1764" xr:uid="{00000000-0005-0000-0000-0000A3060000}"/>
    <cellStyle name="Explanatory Text 11 2" xfId="1765" xr:uid="{00000000-0005-0000-0000-0000A4060000}"/>
    <cellStyle name="Explanatory Text 11 3" xfId="1766" xr:uid="{00000000-0005-0000-0000-0000A5060000}"/>
    <cellStyle name="Explanatory Text 11 4" xfId="1767" xr:uid="{00000000-0005-0000-0000-0000A6060000}"/>
    <cellStyle name="Explanatory Text 11 5" xfId="1768" xr:uid="{00000000-0005-0000-0000-0000A7060000}"/>
    <cellStyle name="Explanatory Text 11 6" xfId="1769" xr:uid="{00000000-0005-0000-0000-0000A8060000}"/>
    <cellStyle name="Explanatory Text 2" xfId="1770" xr:uid="{00000000-0005-0000-0000-0000A9060000}"/>
    <cellStyle name="Explanatory Text 2 2" xfId="1771" xr:uid="{00000000-0005-0000-0000-0000AA060000}"/>
    <cellStyle name="Explanatory Text 2 3" xfId="1772" xr:uid="{00000000-0005-0000-0000-0000AB060000}"/>
    <cellStyle name="Explanatory Text 2 4" xfId="1773" xr:uid="{00000000-0005-0000-0000-0000AC060000}"/>
    <cellStyle name="Explanatory Text 2 5" xfId="1774" xr:uid="{00000000-0005-0000-0000-0000AD060000}"/>
    <cellStyle name="Explanatory Text 2 6" xfId="1775" xr:uid="{00000000-0005-0000-0000-0000AE060000}"/>
    <cellStyle name="Explanatory Text 3" xfId="1776" xr:uid="{00000000-0005-0000-0000-0000AF060000}"/>
    <cellStyle name="Explanatory Text 3 2" xfId="1777" xr:uid="{00000000-0005-0000-0000-0000B0060000}"/>
    <cellStyle name="Explanatory Text 3 3" xfId="1778" xr:uid="{00000000-0005-0000-0000-0000B1060000}"/>
    <cellStyle name="Explanatory Text 3 4" xfId="1779" xr:uid="{00000000-0005-0000-0000-0000B2060000}"/>
    <cellStyle name="Explanatory Text 3 5" xfId="1780" xr:uid="{00000000-0005-0000-0000-0000B3060000}"/>
    <cellStyle name="Explanatory Text 3 6" xfId="1781" xr:uid="{00000000-0005-0000-0000-0000B4060000}"/>
    <cellStyle name="Explanatory Text 4 2" xfId="1782" xr:uid="{00000000-0005-0000-0000-0000B5060000}"/>
    <cellStyle name="Explanatory Text 4 3" xfId="1783" xr:uid="{00000000-0005-0000-0000-0000B6060000}"/>
    <cellStyle name="Explanatory Text 4 4" xfId="1784" xr:uid="{00000000-0005-0000-0000-0000B7060000}"/>
    <cellStyle name="Explanatory Text 4 5" xfId="1785" xr:uid="{00000000-0005-0000-0000-0000B8060000}"/>
    <cellStyle name="Explanatory Text 4 6" xfId="1786" xr:uid="{00000000-0005-0000-0000-0000B9060000}"/>
    <cellStyle name="Explanatory Text 5 2" xfId="1787" xr:uid="{00000000-0005-0000-0000-0000BA060000}"/>
    <cellStyle name="Explanatory Text 5 3" xfId="1788" xr:uid="{00000000-0005-0000-0000-0000BB060000}"/>
    <cellStyle name="Explanatory Text 5 4" xfId="1789" xr:uid="{00000000-0005-0000-0000-0000BC060000}"/>
    <cellStyle name="Explanatory Text 5 5" xfId="1790" xr:uid="{00000000-0005-0000-0000-0000BD060000}"/>
    <cellStyle name="Explanatory Text 5 6" xfId="1791" xr:uid="{00000000-0005-0000-0000-0000BE060000}"/>
    <cellStyle name="Explanatory Text 6 2" xfId="1792" xr:uid="{00000000-0005-0000-0000-0000BF060000}"/>
    <cellStyle name="Explanatory Text 6 3" xfId="1793" xr:uid="{00000000-0005-0000-0000-0000C0060000}"/>
    <cellStyle name="Explanatory Text 6 4" xfId="1794" xr:uid="{00000000-0005-0000-0000-0000C1060000}"/>
    <cellStyle name="Explanatory Text 6 5" xfId="1795" xr:uid="{00000000-0005-0000-0000-0000C2060000}"/>
    <cellStyle name="Explanatory Text 6 6" xfId="1796" xr:uid="{00000000-0005-0000-0000-0000C3060000}"/>
    <cellStyle name="Explanatory Text 7 2" xfId="1797" xr:uid="{00000000-0005-0000-0000-0000C4060000}"/>
    <cellStyle name="Explanatory Text 7 3" xfId="1798" xr:uid="{00000000-0005-0000-0000-0000C5060000}"/>
    <cellStyle name="Explanatory Text 7 4" xfId="1799" xr:uid="{00000000-0005-0000-0000-0000C6060000}"/>
    <cellStyle name="Explanatory Text 7 5" xfId="1800" xr:uid="{00000000-0005-0000-0000-0000C7060000}"/>
    <cellStyle name="Explanatory Text 7 6" xfId="1801" xr:uid="{00000000-0005-0000-0000-0000C8060000}"/>
    <cellStyle name="Explanatory Text 8 2" xfId="1802" xr:uid="{00000000-0005-0000-0000-0000C9060000}"/>
    <cellStyle name="Explanatory Text 8 3" xfId="1803" xr:uid="{00000000-0005-0000-0000-0000CA060000}"/>
    <cellStyle name="Explanatory Text 8 4" xfId="1804" xr:uid="{00000000-0005-0000-0000-0000CB060000}"/>
    <cellStyle name="Explanatory Text 8 5" xfId="1805" xr:uid="{00000000-0005-0000-0000-0000CC060000}"/>
    <cellStyle name="Explanatory Text 8 6" xfId="1806" xr:uid="{00000000-0005-0000-0000-0000CD060000}"/>
    <cellStyle name="Explanatory Text 9 2" xfId="1807" xr:uid="{00000000-0005-0000-0000-0000CE060000}"/>
    <cellStyle name="Explanatory Text 9 3" xfId="1808" xr:uid="{00000000-0005-0000-0000-0000CF060000}"/>
    <cellStyle name="Explanatory Text 9 4" xfId="1809" xr:uid="{00000000-0005-0000-0000-0000D0060000}"/>
    <cellStyle name="Explanatory Text 9 5" xfId="1810" xr:uid="{00000000-0005-0000-0000-0000D1060000}"/>
    <cellStyle name="Explanatory Text 9 6" xfId="1811" xr:uid="{00000000-0005-0000-0000-0000D2060000}"/>
    <cellStyle name="F2" xfId="150" xr:uid="{00000000-0005-0000-0000-0000D3060000}"/>
    <cellStyle name="F3" xfId="151" xr:uid="{00000000-0005-0000-0000-0000D4060000}"/>
    <cellStyle name="F4" xfId="152" xr:uid="{00000000-0005-0000-0000-0000D5060000}"/>
    <cellStyle name="F5" xfId="153" xr:uid="{00000000-0005-0000-0000-0000D6060000}"/>
    <cellStyle name="F6" xfId="154" xr:uid="{00000000-0005-0000-0000-0000D7060000}"/>
    <cellStyle name="F7" xfId="155" xr:uid="{00000000-0005-0000-0000-0000D8060000}"/>
    <cellStyle name="F8" xfId="156" xr:uid="{00000000-0005-0000-0000-0000D9060000}"/>
    <cellStyle name="Fixed" xfId="157" xr:uid="{00000000-0005-0000-0000-0000DA060000}"/>
    <cellStyle name="Good 10 2" xfId="1812" xr:uid="{00000000-0005-0000-0000-0000DB060000}"/>
    <cellStyle name="Good 10 3" xfId="1813" xr:uid="{00000000-0005-0000-0000-0000DC060000}"/>
    <cellStyle name="Good 10 4" xfId="1814" xr:uid="{00000000-0005-0000-0000-0000DD060000}"/>
    <cellStyle name="Good 10 5" xfId="1815" xr:uid="{00000000-0005-0000-0000-0000DE060000}"/>
    <cellStyle name="Good 10 6" xfId="1816" xr:uid="{00000000-0005-0000-0000-0000DF060000}"/>
    <cellStyle name="Good 11 2" xfId="1817" xr:uid="{00000000-0005-0000-0000-0000E0060000}"/>
    <cellStyle name="Good 11 3" xfId="1818" xr:uid="{00000000-0005-0000-0000-0000E1060000}"/>
    <cellStyle name="Good 11 4" xfId="1819" xr:uid="{00000000-0005-0000-0000-0000E2060000}"/>
    <cellStyle name="Good 11 5" xfId="1820" xr:uid="{00000000-0005-0000-0000-0000E3060000}"/>
    <cellStyle name="Good 11 6" xfId="1821" xr:uid="{00000000-0005-0000-0000-0000E4060000}"/>
    <cellStyle name="Good 2" xfId="158" xr:uid="{00000000-0005-0000-0000-0000E5060000}"/>
    <cellStyle name="Good 2 2" xfId="1822" xr:uid="{00000000-0005-0000-0000-0000E6060000}"/>
    <cellStyle name="Good 2 3" xfId="1823" xr:uid="{00000000-0005-0000-0000-0000E7060000}"/>
    <cellStyle name="Good 2 4" xfId="1824" xr:uid="{00000000-0005-0000-0000-0000E8060000}"/>
    <cellStyle name="Good 2 5" xfId="1825" xr:uid="{00000000-0005-0000-0000-0000E9060000}"/>
    <cellStyle name="Good 2 6" xfId="1826" xr:uid="{00000000-0005-0000-0000-0000EA060000}"/>
    <cellStyle name="Good 3" xfId="159" xr:uid="{00000000-0005-0000-0000-0000EB060000}"/>
    <cellStyle name="Good 3 2" xfId="1828" xr:uid="{00000000-0005-0000-0000-0000EC060000}"/>
    <cellStyle name="Good 3 3" xfId="1829" xr:uid="{00000000-0005-0000-0000-0000ED060000}"/>
    <cellStyle name="Good 3 4" xfId="1830" xr:uid="{00000000-0005-0000-0000-0000EE060000}"/>
    <cellStyle name="Good 3 5" xfId="1831" xr:uid="{00000000-0005-0000-0000-0000EF060000}"/>
    <cellStyle name="Good 3 6" xfId="1832" xr:uid="{00000000-0005-0000-0000-0000F0060000}"/>
    <cellStyle name="Good 3 7" xfId="1833" xr:uid="{00000000-0005-0000-0000-0000F1060000}"/>
    <cellStyle name="Good 3 8" xfId="1827" xr:uid="{00000000-0005-0000-0000-0000F2060000}"/>
    <cellStyle name="Good 4" xfId="160" xr:uid="{00000000-0005-0000-0000-0000F3060000}"/>
    <cellStyle name="Good 4 2" xfId="1835" xr:uid="{00000000-0005-0000-0000-0000F4060000}"/>
    <cellStyle name="Good 4 3" xfId="1836" xr:uid="{00000000-0005-0000-0000-0000F5060000}"/>
    <cellStyle name="Good 4 4" xfId="1837" xr:uid="{00000000-0005-0000-0000-0000F6060000}"/>
    <cellStyle name="Good 4 5" xfId="1838" xr:uid="{00000000-0005-0000-0000-0000F7060000}"/>
    <cellStyle name="Good 4 6" xfId="1839" xr:uid="{00000000-0005-0000-0000-0000F8060000}"/>
    <cellStyle name="Good 4 7" xfId="1840" xr:uid="{00000000-0005-0000-0000-0000F9060000}"/>
    <cellStyle name="Good 4 8" xfId="1834" xr:uid="{00000000-0005-0000-0000-0000FA060000}"/>
    <cellStyle name="Good 5" xfId="161" xr:uid="{00000000-0005-0000-0000-0000FB060000}"/>
    <cellStyle name="Good 5 2" xfId="1841" xr:uid="{00000000-0005-0000-0000-0000FC060000}"/>
    <cellStyle name="Good 5 3" xfId="1842" xr:uid="{00000000-0005-0000-0000-0000FD060000}"/>
    <cellStyle name="Good 5 4" xfId="1843" xr:uid="{00000000-0005-0000-0000-0000FE060000}"/>
    <cellStyle name="Good 5 5" xfId="1844" xr:uid="{00000000-0005-0000-0000-0000FF060000}"/>
    <cellStyle name="Good 5 6" xfId="1845" xr:uid="{00000000-0005-0000-0000-000000070000}"/>
    <cellStyle name="Good 6" xfId="162" xr:uid="{00000000-0005-0000-0000-000001070000}"/>
    <cellStyle name="Good 6 2" xfId="1846" xr:uid="{00000000-0005-0000-0000-000002070000}"/>
    <cellStyle name="Good 6 3" xfId="1847" xr:uid="{00000000-0005-0000-0000-000003070000}"/>
    <cellStyle name="Good 6 4" xfId="1848" xr:uid="{00000000-0005-0000-0000-000004070000}"/>
    <cellStyle name="Good 6 5" xfId="1849" xr:uid="{00000000-0005-0000-0000-000005070000}"/>
    <cellStyle name="Good 6 6" xfId="1850" xr:uid="{00000000-0005-0000-0000-000006070000}"/>
    <cellStyle name="Good 7" xfId="163" xr:uid="{00000000-0005-0000-0000-000007070000}"/>
    <cellStyle name="Good 7 2" xfId="1851" xr:uid="{00000000-0005-0000-0000-000008070000}"/>
    <cellStyle name="Good 7 3" xfId="1852" xr:uid="{00000000-0005-0000-0000-000009070000}"/>
    <cellStyle name="Good 7 4" xfId="1853" xr:uid="{00000000-0005-0000-0000-00000A070000}"/>
    <cellStyle name="Good 7 5" xfId="1854" xr:uid="{00000000-0005-0000-0000-00000B070000}"/>
    <cellStyle name="Good 7 6" xfId="1855" xr:uid="{00000000-0005-0000-0000-00000C070000}"/>
    <cellStyle name="Good 8 2" xfId="1856" xr:uid="{00000000-0005-0000-0000-00000D070000}"/>
    <cellStyle name="Good 8 3" xfId="1857" xr:uid="{00000000-0005-0000-0000-00000E070000}"/>
    <cellStyle name="Good 8 4" xfId="1858" xr:uid="{00000000-0005-0000-0000-00000F070000}"/>
    <cellStyle name="Good 8 5" xfId="1859" xr:uid="{00000000-0005-0000-0000-000010070000}"/>
    <cellStyle name="Good 8 6" xfId="1860" xr:uid="{00000000-0005-0000-0000-000011070000}"/>
    <cellStyle name="Good 9 2" xfId="1861" xr:uid="{00000000-0005-0000-0000-000012070000}"/>
    <cellStyle name="Good 9 3" xfId="1862" xr:uid="{00000000-0005-0000-0000-000013070000}"/>
    <cellStyle name="Good 9 4" xfId="1863" xr:uid="{00000000-0005-0000-0000-000014070000}"/>
    <cellStyle name="Good 9 5" xfId="1864" xr:uid="{00000000-0005-0000-0000-000015070000}"/>
    <cellStyle name="Good 9 6" xfId="1865" xr:uid="{00000000-0005-0000-0000-000016070000}"/>
    <cellStyle name="Heading 1 10 2" xfId="1866" xr:uid="{00000000-0005-0000-0000-000017070000}"/>
    <cellStyle name="Heading 1 10 3" xfId="1867" xr:uid="{00000000-0005-0000-0000-000018070000}"/>
    <cellStyle name="Heading 1 10 4" xfId="1868" xr:uid="{00000000-0005-0000-0000-000019070000}"/>
    <cellStyle name="Heading 1 10 5" xfId="1869" xr:uid="{00000000-0005-0000-0000-00001A070000}"/>
    <cellStyle name="Heading 1 10 6" xfId="1870" xr:uid="{00000000-0005-0000-0000-00001B070000}"/>
    <cellStyle name="Heading 1 11 2" xfId="1871" xr:uid="{00000000-0005-0000-0000-00001C070000}"/>
    <cellStyle name="Heading 1 11 3" xfId="1872" xr:uid="{00000000-0005-0000-0000-00001D070000}"/>
    <cellStyle name="Heading 1 11 4" xfId="1873" xr:uid="{00000000-0005-0000-0000-00001E070000}"/>
    <cellStyle name="Heading 1 11 5" xfId="1874" xr:uid="{00000000-0005-0000-0000-00001F070000}"/>
    <cellStyle name="Heading 1 11 6" xfId="1875" xr:uid="{00000000-0005-0000-0000-000020070000}"/>
    <cellStyle name="Heading 1 2" xfId="164" xr:uid="{00000000-0005-0000-0000-000021070000}"/>
    <cellStyle name="Heading 1 2 2" xfId="1876" xr:uid="{00000000-0005-0000-0000-000022070000}"/>
    <cellStyle name="Heading 1 2 3" xfId="1877" xr:uid="{00000000-0005-0000-0000-000023070000}"/>
    <cellStyle name="Heading 1 2 4" xfId="1878" xr:uid="{00000000-0005-0000-0000-000024070000}"/>
    <cellStyle name="Heading 1 2 5" xfId="1879" xr:uid="{00000000-0005-0000-0000-000025070000}"/>
    <cellStyle name="Heading 1 2 6" xfId="1880" xr:uid="{00000000-0005-0000-0000-000026070000}"/>
    <cellStyle name="Heading 1 3" xfId="165" xr:uid="{00000000-0005-0000-0000-000027070000}"/>
    <cellStyle name="Heading 1 3 2" xfId="1882" xr:uid="{00000000-0005-0000-0000-000028070000}"/>
    <cellStyle name="Heading 1 3 3" xfId="1883" xr:uid="{00000000-0005-0000-0000-000029070000}"/>
    <cellStyle name="Heading 1 3 4" xfId="1884" xr:uid="{00000000-0005-0000-0000-00002A070000}"/>
    <cellStyle name="Heading 1 3 5" xfId="1885" xr:uid="{00000000-0005-0000-0000-00002B070000}"/>
    <cellStyle name="Heading 1 3 6" xfId="1886" xr:uid="{00000000-0005-0000-0000-00002C070000}"/>
    <cellStyle name="Heading 1 3 7" xfId="1887" xr:uid="{00000000-0005-0000-0000-00002D070000}"/>
    <cellStyle name="Heading 1 3 8" xfId="1881" xr:uid="{00000000-0005-0000-0000-00002E070000}"/>
    <cellStyle name="Heading 1 4" xfId="166" xr:uid="{00000000-0005-0000-0000-00002F070000}"/>
    <cellStyle name="Heading 1 4 2" xfId="1889" xr:uid="{00000000-0005-0000-0000-000030070000}"/>
    <cellStyle name="Heading 1 4 3" xfId="1890" xr:uid="{00000000-0005-0000-0000-000031070000}"/>
    <cellStyle name="Heading 1 4 4" xfId="1891" xr:uid="{00000000-0005-0000-0000-000032070000}"/>
    <cellStyle name="Heading 1 4 5" xfId="1892" xr:uid="{00000000-0005-0000-0000-000033070000}"/>
    <cellStyle name="Heading 1 4 6" xfId="1893" xr:uid="{00000000-0005-0000-0000-000034070000}"/>
    <cellStyle name="Heading 1 4 7" xfId="1894" xr:uid="{00000000-0005-0000-0000-000035070000}"/>
    <cellStyle name="Heading 1 4 8" xfId="1888" xr:uid="{00000000-0005-0000-0000-000036070000}"/>
    <cellStyle name="Heading 1 5" xfId="167" xr:uid="{00000000-0005-0000-0000-000037070000}"/>
    <cellStyle name="Heading 1 5 2" xfId="1895" xr:uid="{00000000-0005-0000-0000-000038070000}"/>
    <cellStyle name="Heading 1 5 3" xfId="1896" xr:uid="{00000000-0005-0000-0000-000039070000}"/>
    <cellStyle name="Heading 1 5 4" xfId="1897" xr:uid="{00000000-0005-0000-0000-00003A070000}"/>
    <cellStyle name="Heading 1 5 5" xfId="1898" xr:uid="{00000000-0005-0000-0000-00003B070000}"/>
    <cellStyle name="Heading 1 5 6" xfId="1899" xr:uid="{00000000-0005-0000-0000-00003C070000}"/>
    <cellStyle name="Heading 1 6" xfId="168" xr:uid="{00000000-0005-0000-0000-00003D070000}"/>
    <cellStyle name="Heading 1 6 2" xfId="1900" xr:uid="{00000000-0005-0000-0000-00003E070000}"/>
    <cellStyle name="Heading 1 6 3" xfId="1901" xr:uid="{00000000-0005-0000-0000-00003F070000}"/>
    <cellStyle name="Heading 1 6 4" xfId="1902" xr:uid="{00000000-0005-0000-0000-000040070000}"/>
    <cellStyle name="Heading 1 6 5" xfId="1903" xr:uid="{00000000-0005-0000-0000-000041070000}"/>
    <cellStyle name="Heading 1 6 6" xfId="1904" xr:uid="{00000000-0005-0000-0000-000042070000}"/>
    <cellStyle name="Heading 1 7" xfId="169" xr:uid="{00000000-0005-0000-0000-000043070000}"/>
    <cellStyle name="Heading 1 7 2" xfId="1905" xr:uid="{00000000-0005-0000-0000-000044070000}"/>
    <cellStyle name="Heading 1 7 3" xfId="1906" xr:uid="{00000000-0005-0000-0000-000045070000}"/>
    <cellStyle name="Heading 1 7 4" xfId="1907" xr:uid="{00000000-0005-0000-0000-000046070000}"/>
    <cellStyle name="Heading 1 7 5" xfId="1908" xr:uid="{00000000-0005-0000-0000-000047070000}"/>
    <cellStyle name="Heading 1 7 6" xfId="1909" xr:uid="{00000000-0005-0000-0000-000048070000}"/>
    <cellStyle name="Heading 1 8 2" xfId="1910" xr:uid="{00000000-0005-0000-0000-000049070000}"/>
    <cellStyle name="Heading 1 8 3" xfId="1911" xr:uid="{00000000-0005-0000-0000-00004A070000}"/>
    <cellStyle name="Heading 1 8 4" xfId="1912" xr:uid="{00000000-0005-0000-0000-00004B070000}"/>
    <cellStyle name="Heading 1 8 5" xfId="1913" xr:uid="{00000000-0005-0000-0000-00004C070000}"/>
    <cellStyle name="Heading 1 8 6" xfId="1914" xr:uid="{00000000-0005-0000-0000-00004D070000}"/>
    <cellStyle name="Heading 1 9 2" xfId="1915" xr:uid="{00000000-0005-0000-0000-00004E070000}"/>
    <cellStyle name="Heading 1 9 3" xfId="1916" xr:uid="{00000000-0005-0000-0000-00004F070000}"/>
    <cellStyle name="Heading 1 9 4" xfId="1917" xr:uid="{00000000-0005-0000-0000-000050070000}"/>
    <cellStyle name="Heading 1 9 5" xfId="1918" xr:uid="{00000000-0005-0000-0000-000051070000}"/>
    <cellStyle name="Heading 1 9 6" xfId="1919" xr:uid="{00000000-0005-0000-0000-000052070000}"/>
    <cellStyle name="Heading 2 10 2" xfId="1920" xr:uid="{00000000-0005-0000-0000-000053070000}"/>
    <cellStyle name="Heading 2 10 3" xfId="1921" xr:uid="{00000000-0005-0000-0000-000054070000}"/>
    <cellStyle name="Heading 2 10 4" xfId="1922" xr:uid="{00000000-0005-0000-0000-000055070000}"/>
    <cellStyle name="Heading 2 10 5" xfId="1923" xr:uid="{00000000-0005-0000-0000-000056070000}"/>
    <cellStyle name="Heading 2 10 6" xfId="1924" xr:uid="{00000000-0005-0000-0000-000057070000}"/>
    <cellStyle name="Heading 2 11 2" xfId="1925" xr:uid="{00000000-0005-0000-0000-000058070000}"/>
    <cellStyle name="Heading 2 11 3" xfId="1926" xr:uid="{00000000-0005-0000-0000-000059070000}"/>
    <cellStyle name="Heading 2 11 4" xfId="1927" xr:uid="{00000000-0005-0000-0000-00005A070000}"/>
    <cellStyle name="Heading 2 11 5" xfId="1928" xr:uid="{00000000-0005-0000-0000-00005B070000}"/>
    <cellStyle name="Heading 2 11 6" xfId="1929" xr:uid="{00000000-0005-0000-0000-00005C070000}"/>
    <cellStyle name="Heading 2 2" xfId="170" xr:uid="{00000000-0005-0000-0000-00005D070000}"/>
    <cellStyle name="Heading 2 2 2" xfId="1930" xr:uid="{00000000-0005-0000-0000-00005E070000}"/>
    <cellStyle name="Heading 2 2 3" xfId="1931" xr:uid="{00000000-0005-0000-0000-00005F070000}"/>
    <cellStyle name="Heading 2 2 4" xfId="1932" xr:uid="{00000000-0005-0000-0000-000060070000}"/>
    <cellStyle name="Heading 2 2 5" xfId="1933" xr:uid="{00000000-0005-0000-0000-000061070000}"/>
    <cellStyle name="Heading 2 2 6" xfId="1934" xr:uid="{00000000-0005-0000-0000-000062070000}"/>
    <cellStyle name="Heading 2 3" xfId="171" xr:uid="{00000000-0005-0000-0000-000063070000}"/>
    <cellStyle name="Heading 2 3 2" xfId="1936" xr:uid="{00000000-0005-0000-0000-000064070000}"/>
    <cellStyle name="Heading 2 3 3" xfId="1937" xr:uid="{00000000-0005-0000-0000-000065070000}"/>
    <cellStyle name="Heading 2 3 4" xfId="1938" xr:uid="{00000000-0005-0000-0000-000066070000}"/>
    <cellStyle name="Heading 2 3 5" xfId="1939" xr:uid="{00000000-0005-0000-0000-000067070000}"/>
    <cellStyle name="Heading 2 3 6" xfId="1940" xr:uid="{00000000-0005-0000-0000-000068070000}"/>
    <cellStyle name="Heading 2 3 7" xfId="1941" xr:uid="{00000000-0005-0000-0000-000069070000}"/>
    <cellStyle name="Heading 2 3 8" xfId="1935" xr:uid="{00000000-0005-0000-0000-00006A070000}"/>
    <cellStyle name="Heading 2 4" xfId="172" xr:uid="{00000000-0005-0000-0000-00006B070000}"/>
    <cellStyle name="Heading 2 4 2" xfId="1943" xr:uid="{00000000-0005-0000-0000-00006C070000}"/>
    <cellStyle name="Heading 2 4 3" xfId="1944" xr:uid="{00000000-0005-0000-0000-00006D070000}"/>
    <cellStyle name="Heading 2 4 4" xfId="1945" xr:uid="{00000000-0005-0000-0000-00006E070000}"/>
    <cellStyle name="Heading 2 4 5" xfId="1946" xr:uid="{00000000-0005-0000-0000-00006F070000}"/>
    <cellStyle name="Heading 2 4 6" xfId="1947" xr:uid="{00000000-0005-0000-0000-000070070000}"/>
    <cellStyle name="Heading 2 4 7" xfId="1948" xr:uid="{00000000-0005-0000-0000-000071070000}"/>
    <cellStyle name="Heading 2 4 8" xfId="1942" xr:uid="{00000000-0005-0000-0000-000072070000}"/>
    <cellStyle name="Heading 2 5" xfId="173" xr:uid="{00000000-0005-0000-0000-000073070000}"/>
    <cellStyle name="Heading 2 5 2" xfId="1949" xr:uid="{00000000-0005-0000-0000-000074070000}"/>
    <cellStyle name="Heading 2 5 3" xfId="1950" xr:uid="{00000000-0005-0000-0000-000075070000}"/>
    <cellStyle name="Heading 2 5 4" xfId="1951" xr:uid="{00000000-0005-0000-0000-000076070000}"/>
    <cellStyle name="Heading 2 5 5" xfId="1952" xr:uid="{00000000-0005-0000-0000-000077070000}"/>
    <cellStyle name="Heading 2 5 6" xfId="1953" xr:uid="{00000000-0005-0000-0000-000078070000}"/>
    <cellStyle name="Heading 2 6" xfId="174" xr:uid="{00000000-0005-0000-0000-000079070000}"/>
    <cellStyle name="Heading 2 6 2" xfId="1954" xr:uid="{00000000-0005-0000-0000-00007A070000}"/>
    <cellStyle name="Heading 2 6 3" xfId="1955" xr:uid="{00000000-0005-0000-0000-00007B070000}"/>
    <cellStyle name="Heading 2 6 4" xfId="1956" xr:uid="{00000000-0005-0000-0000-00007C070000}"/>
    <cellStyle name="Heading 2 6 5" xfId="1957" xr:uid="{00000000-0005-0000-0000-00007D070000}"/>
    <cellStyle name="Heading 2 6 6" xfId="1958" xr:uid="{00000000-0005-0000-0000-00007E070000}"/>
    <cellStyle name="Heading 2 7" xfId="175" xr:uid="{00000000-0005-0000-0000-00007F070000}"/>
    <cellStyle name="Heading 2 7 2" xfId="1959" xr:uid="{00000000-0005-0000-0000-000080070000}"/>
    <cellStyle name="Heading 2 7 3" xfId="1960" xr:uid="{00000000-0005-0000-0000-000081070000}"/>
    <cellStyle name="Heading 2 7 4" xfId="1961" xr:uid="{00000000-0005-0000-0000-000082070000}"/>
    <cellStyle name="Heading 2 7 5" xfId="1962" xr:uid="{00000000-0005-0000-0000-000083070000}"/>
    <cellStyle name="Heading 2 7 6" xfId="1963" xr:uid="{00000000-0005-0000-0000-000084070000}"/>
    <cellStyle name="Heading 2 8 2" xfId="1964" xr:uid="{00000000-0005-0000-0000-000085070000}"/>
    <cellStyle name="Heading 2 8 3" xfId="1965" xr:uid="{00000000-0005-0000-0000-000086070000}"/>
    <cellStyle name="Heading 2 8 4" xfId="1966" xr:uid="{00000000-0005-0000-0000-000087070000}"/>
    <cellStyle name="Heading 2 8 5" xfId="1967" xr:uid="{00000000-0005-0000-0000-000088070000}"/>
    <cellStyle name="Heading 2 8 6" xfId="1968" xr:uid="{00000000-0005-0000-0000-000089070000}"/>
    <cellStyle name="Heading 2 9 2" xfId="1969" xr:uid="{00000000-0005-0000-0000-00008A070000}"/>
    <cellStyle name="Heading 2 9 3" xfId="1970" xr:uid="{00000000-0005-0000-0000-00008B070000}"/>
    <cellStyle name="Heading 2 9 4" xfId="1971" xr:uid="{00000000-0005-0000-0000-00008C070000}"/>
    <cellStyle name="Heading 2 9 5" xfId="1972" xr:uid="{00000000-0005-0000-0000-00008D070000}"/>
    <cellStyle name="Heading 2 9 6" xfId="1973" xr:uid="{00000000-0005-0000-0000-00008E070000}"/>
    <cellStyle name="Heading 3 10 2" xfId="1974" xr:uid="{00000000-0005-0000-0000-00008F070000}"/>
    <cellStyle name="Heading 3 10 3" xfId="1975" xr:uid="{00000000-0005-0000-0000-000090070000}"/>
    <cellStyle name="Heading 3 10 4" xfId="1976" xr:uid="{00000000-0005-0000-0000-000091070000}"/>
    <cellStyle name="Heading 3 10 5" xfId="1977" xr:uid="{00000000-0005-0000-0000-000092070000}"/>
    <cellStyle name="Heading 3 10 6" xfId="1978" xr:uid="{00000000-0005-0000-0000-000093070000}"/>
    <cellStyle name="Heading 3 11 2" xfId="1979" xr:uid="{00000000-0005-0000-0000-000094070000}"/>
    <cellStyle name="Heading 3 11 3" xfId="1980" xr:uid="{00000000-0005-0000-0000-000095070000}"/>
    <cellStyle name="Heading 3 11 4" xfId="1981" xr:uid="{00000000-0005-0000-0000-000096070000}"/>
    <cellStyle name="Heading 3 11 5" xfId="1982" xr:uid="{00000000-0005-0000-0000-000097070000}"/>
    <cellStyle name="Heading 3 11 6" xfId="1983" xr:uid="{00000000-0005-0000-0000-000098070000}"/>
    <cellStyle name="Heading 3 2" xfId="176" xr:uid="{00000000-0005-0000-0000-000099070000}"/>
    <cellStyle name="Heading 3 2 2" xfId="1984" xr:uid="{00000000-0005-0000-0000-00009A070000}"/>
    <cellStyle name="Heading 3 2 3" xfId="1985" xr:uid="{00000000-0005-0000-0000-00009B070000}"/>
    <cellStyle name="Heading 3 2 4" xfId="1986" xr:uid="{00000000-0005-0000-0000-00009C070000}"/>
    <cellStyle name="Heading 3 2 5" xfId="1987" xr:uid="{00000000-0005-0000-0000-00009D070000}"/>
    <cellStyle name="Heading 3 2 6" xfId="1988" xr:uid="{00000000-0005-0000-0000-00009E070000}"/>
    <cellStyle name="Heading 3 3" xfId="177" xr:uid="{00000000-0005-0000-0000-00009F070000}"/>
    <cellStyle name="Heading 3 3 2" xfId="1990" xr:uid="{00000000-0005-0000-0000-0000A0070000}"/>
    <cellStyle name="Heading 3 3 3" xfId="1991" xr:uid="{00000000-0005-0000-0000-0000A1070000}"/>
    <cellStyle name="Heading 3 3 4" xfId="1992" xr:uid="{00000000-0005-0000-0000-0000A2070000}"/>
    <cellStyle name="Heading 3 3 5" xfId="1993" xr:uid="{00000000-0005-0000-0000-0000A3070000}"/>
    <cellStyle name="Heading 3 3 6" xfId="1994" xr:uid="{00000000-0005-0000-0000-0000A4070000}"/>
    <cellStyle name="Heading 3 3 7" xfId="1995" xr:uid="{00000000-0005-0000-0000-0000A5070000}"/>
    <cellStyle name="Heading 3 3 8" xfId="1989" xr:uid="{00000000-0005-0000-0000-0000A6070000}"/>
    <cellStyle name="Heading 3 4" xfId="178" xr:uid="{00000000-0005-0000-0000-0000A7070000}"/>
    <cellStyle name="Heading 3 4 2" xfId="1997" xr:uid="{00000000-0005-0000-0000-0000A8070000}"/>
    <cellStyle name="Heading 3 4 3" xfId="1998" xr:uid="{00000000-0005-0000-0000-0000A9070000}"/>
    <cellStyle name="Heading 3 4 4" xfId="1999" xr:uid="{00000000-0005-0000-0000-0000AA070000}"/>
    <cellStyle name="Heading 3 4 5" xfId="2000" xr:uid="{00000000-0005-0000-0000-0000AB070000}"/>
    <cellStyle name="Heading 3 4 6" xfId="2001" xr:uid="{00000000-0005-0000-0000-0000AC070000}"/>
    <cellStyle name="Heading 3 4 7" xfId="2002" xr:uid="{00000000-0005-0000-0000-0000AD070000}"/>
    <cellStyle name="Heading 3 4 8" xfId="1996" xr:uid="{00000000-0005-0000-0000-0000AE070000}"/>
    <cellStyle name="Heading 3 5" xfId="179" xr:uid="{00000000-0005-0000-0000-0000AF070000}"/>
    <cellStyle name="Heading 3 5 2" xfId="2003" xr:uid="{00000000-0005-0000-0000-0000B0070000}"/>
    <cellStyle name="Heading 3 5 3" xfId="2004" xr:uid="{00000000-0005-0000-0000-0000B1070000}"/>
    <cellStyle name="Heading 3 5 4" xfId="2005" xr:uid="{00000000-0005-0000-0000-0000B2070000}"/>
    <cellStyle name="Heading 3 5 5" xfId="2006" xr:uid="{00000000-0005-0000-0000-0000B3070000}"/>
    <cellStyle name="Heading 3 5 6" xfId="2007" xr:uid="{00000000-0005-0000-0000-0000B4070000}"/>
    <cellStyle name="Heading 3 6" xfId="180" xr:uid="{00000000-0005-0000-0000-0000B5070000}"/>
    <cellStyle name="Heading 3 6 2" xfId="2008" xr:uid="{00000000-0005-0000-0000-0000B6070000}"/>
    <cellStyle name="Heading 3 6 3" xfId="2009" xr:uid="{00000000-0005-0000-0000-0000B7070000}"/>
    <cellStyle name="Heading 3 6 4" xfId="2010" xr:uid="{00000000-0005-0000-0000-0000B8070000}"/>
    <cellStyle name="Heading 3 6 5" xfId="2011" xr:uid="{00000000-0005-0000-0000-0000B9070000}"/>
    <cellStyle name="Heading 3 6 6" xfId="2012" xr:uid="{00000000-0005-0000-0000-0000BA070000}"/>
    <cellStyle name="Heading 3 7" xfId="181" xr:uid="{00000000-0005-0000-0000-0000BB070000}"/>
    <cellStyle name="Heading 3 7 2" xfId="2013" xr:uid="{00000000-0005-0000-0000-0000BC070000}"/>
    <cellStyle name="Heading 3 7 3" xfId="2014" xr:uid="{00000000-0005-0000-0000-0000BD070000}"/>
    <cellStyle name="Heading 3 7 4" xfId="2015" xr:uid="{00000000-0005-0000-0000-0000BE070000}"/>
    <cellStyle name="Heading 3 7 5" xfId="2016" xr:uid="{00000000-0005-0000-0000-0000BF070000}"/>
    <cellStyle name="Heading 3 7 6" xfId="2017" xr:uid="{00000000-0005-0000-0000-0000C0070000}"/>
    <cellStyle name="Heading 3 8 2" xfId="2018" xr:uid="{00000000-0005-0000-0000-0000C1070000}"/>
    <cellStyle name="Heading 3 8 3" xfId="2019" xr:uid="{00000000-0005-0000-0000-0000C2070000}"/>
    <cellStyle name="Heading 3 8 4" xfId="2020" xr:uid="{00000000-0005-0000-0000-0000C3070000}"/>
    <cellStyle name="Heading 3 8 5" xfId="2021" xr:uid="{00000000-0005-0000-0000-0000C4070000}"/>
    <cellStyle name="Heading 3 8 6" xfId="2022" xr:uid="{00000000-0005-0000-0000-0000C5070000}"/>
    <cellStyle name="Heading 3 9 2" xfId="2023" xr:uid="{00000000-0005-0000-0000-0000C6070000}"/>
    <cellStyle name="Heading 3 9 3" xfId="2024" xr:uid="{00000000-0005-0000-0000-0000C7070000}"/>
    <cellStyle name="Heading 3 9 4" xfId="2025" xr:uid="{00000000-0005-0000-0000-0000C8070000}"/>
    <cellStyle name="Heading 3 9 5" xfId="2026" xr:uid="{00000000-0005-0000-0000-0000C9070000}"/>
    <cellStyle name="Heading 3 9 6" xfId="2027" xr:uid="{00000000-0005-0000-0000-0000CA070000}"/>
    <cellStyle name="Heading 4 10 2" xfId="2028" xr:uid="{00000000-0005-0000-0000-0000CB070000}"/>
    <cellStyle name="Heading 4 10 3" xfId="2029" xr:uid="{00000000-0005-0000-0000-0000CC070000}"/>
    <cellStyle name="Heading 4 10 4" xfId="2030" xr:uid="{00000000-0005-0000-0000-0000CD070000}"/>
    <cellStyle name="Heading 4 10 5" xfId="2031" xr:uid="{00000000-0005-0000-0000-0000CE070000}"/>
    <cellStyle name="Heading 4 10 6" xfId="2032" xr:uid="{00000000-0005-0000-0000-0000CF070000}"/>
    <cellStyle name="Heading 4 11 2" xfId="2033" xr:uid="{00000000-0005-0000-0000-0000D0070000}"/>
    <cellStyle name="Heading 4 11 3" xfId="2034" xr:uid="{00000000-0005-0000-0000-0000D1070000}"/>
    <cellStyle name="Heading 4 11 4" xfId="2035" xr:uid="{00000000-0005-0000-0000-0000D2070000}"/>
    <cellStyle name="Heading 4 11 5" xfId="2036" xr:uid="{00000000-0005-0000-0000-0000D3070000}"/>
    <cellStyle name="Heading 4 11 6" xfId="2037" xr:uid="{00000000-0005-0000-0000-0000D4070000}"/>
    <cellStyle name="Heading 4 2" xfId="182" xr:uid="{00000000-0005-0000-0000-0000D5070000}"/>
    <cellStyle name="Heading 4 2 2" xfId="2038" xr:uid="{00000000-0005-0000-0000-0000D6070000}"/>
    <cellStyle name="Heading 4 2 3" xfId="2039" xr:uid="{00000000-0005-0000-0000-0000D7070000}"/>
    <cellStyle name="Heading 4 2 4" xfId="2040" xr:uid="{00000000-0005-0000-0000-0000D8070000}"/>
    <cellStyle name="Heading 4 2 5" xfId="2041" xr:uid="{00000000-0005-0000-0000-0000D9070000}"/>
    <cellStyle name="Heading 4 2 6" xfId="2042" xr:uid="{00000000-0005-0000-0000-0000DA070000}"/>
    <cellStyle name="Heading 4 3" xfId="183" xr:uid="{00000000-0005-0000-0000-0000DB070000}"/>
    <cellStyle name="Heading 4 3 2" xfId="2044" xr:uid="{00000000-0005-0000-0000-0000DC070000}"/>
    <cellStyle name="Heading 4 3 3" xfId="2045" xr:uid="{00000000-0005-0000-0000-0000DD070000}"/>
    <cellStyle name="Heading 4 3 4" xfId="2046" xr:uid="{00000000-0005-0000-0000-0000DE070000}"/>
    <cellStyle name="Heading 4 3 5" xfId="2047" xr:uid="{00000000-0005-0000-0000-0000DF070000}"/>
    <cellStyle name="Heading 4 3 6" xfId="2048" xr:uid="{00000000-0005-0000-0000-0000E0070000}"/>
    <cellStyle name="Heading 4 3 7" xfId="2049" xr:uid="{00000000-0005-0000-0000-0000E1070000}"/>
    <cellStyle name="Heading 4 3 8" xfId="2043" xr:uid="{00000000-0005-0000-0000-0000E2070000}"/>
    <cellStyle name="Heading 4 4" xfId="184" xr:uid="{00000000-0005-0000-0000-0000E3070000}"/>
    <cellStyle name="Heading 4 4 2" xfId="2051" xr:uid="{00000000-0005-0000-0000-0000E4070000}"/>
    <cellStyle name="Heading 4 4 3" xfId="2052" xr:uid="{00000000-0005-0000-0000-0000E5070000}"/>
    <cellStyle name="Heading 4 4 4" xfId="2053" xr:uid="{00000000-0005-0000-0000-0000E6070000}"/>
    <cellStyle name="Heading 4 4 5" xfId="2054" xr:uid="{00000000-0005-0000-0000-0000E7070000}"/>
    <cellStyle name="Heading 4 4 6" xfId="2055" xr:uid="{00000000-0005-0000-0000-0000E8070000}"/>
    <cellStyle name="Heading 4 4 7" xfId="2056" xr:uid="{00000000-0005-0000-0000-0000E9070000}"/>
    <cellStyle name="Heading 4 4 8" xfId="2050" xr:uid="{00000000-0005-0000-0000-0000EA070000}"/>
    <cellStyle name="Heading 4 5" xfId="185" xr:uid="{00000000-0005-0000-0000-0000EB070000}"/>
    <cellStyle name="Heading 4 5 2" xfId="2057" xr:uid="{00000000-0005-0000-0000-0000EC070000}"/>
    <cellStyle name="Heading 4 5 3" xfId="2058" xr:uid="{00000000-0005-0000-0000-0000ED070000}"/>
    <cellStyle name="Heading 4 5 4" xfId="2059" xr:uid="{00000000-0005-0000-0000-0000EE070000}"/>
    <cellStyle name="Heading 4 5 5" xfId="2060" xr:uid="{00000000-0005-0000-0000-0000EF070000}"/>
    <cellStyle name="Heading 4 5 6" xfId="2061" xr:uid="{00000000-0005-0000-0000-0000F0070000}"/>
    <cellStyle name="Heading 4 6" xfId="186" xr:uid="{00000000-0005-0000-0000-0000F1070000}"/>
    <cellStyle name="Heading 4 6 2" xfId="2062" xr:uid="{00000000-0005-0000-0000-0000F2070000}"/>
    <cellStyle name="Heading 4 6 3" xfId="2063" xr:uid="{00000000-0005-0000-0000-0000F3070000}"/>
    <cellStyle name="Heading 4 6 4" xfId="2064" xr:uid="{00000000-0005-0000-0000-0000F4070000}"/>
    <cellStyle name="Heading 4 6 5" xfId="2065" xr:uid="{00000000-0005-0000-0000-0000F5070000}"/>
    <cellStyle name="Heading 4 6 6" xfId="2066" xr:uid="{00000000-0005-0000-0000-0000F6070000}"/>
    <cellStyle name="Heading 4 7" xfId="187" xr:uid="{00000000-0005-0000-0000-0000F7070000}"/>
    <cellStyle name="Heading 4 7 2" xfId="2067" xr:uid="{00000000-0005-0000-0000-0000F8070000}"/>
    <cellStyle name="Heading 4 7 3" xfId="2068" xr:uid="{00000000-0005-0000-0000-0000F9070000}"/>
    <cellStyle name="Heading 4 7 4" xfId="2069" xr:uid="{00000000-0005-0000-0000-0000FA070000}"/>
    <cellStyle name="Heading 4 7 5" xfId="2070" xr:uid="{00000000-0005-0000-0000-0000FB070000}"/>
    <cellStyle name="Heading 4 7 6" xfId="2071" xr:uid="{00000000-0005-0000-0000-0000FC070000}"/>
    <cellStyle name="Heading 4 8 2" xfId="2072" xr:uid="{00000000-0005-0000-0000-0000FD070000}"/>
    <cellStyle name="Heading 4 8 3" xfId="2073" xr:uid="{00000000-0005-0000-0000-0000FE070000}"/>
    <cellStyle name="Heading 4 8 4" xfId="2074" xr:uid="{00000000-0005-0000-0000-0000FF070000}"/>
    <cellStyle name="Heading 4 8 5" xfId="2075" xr:uid="{00000000-0005-0000-0000-000000080000}"/>
    <cellStyle name="Heading 4 8 6" xfId="2076" xr:uid="{00000000-0005-0000-0000-000001080000}"/>
    <cellStyle name="Heading 4 9 2" xfId="2077" xr:uid="{00000000-0005-0000-0000-000002080000}"/>
    <cellStyle name="Heading 4 9 3" xfId="2078" xr:uid="{00000000-0005-0000-0000-000003080000}"/>
    <cellStyle name="Heading 4 9 4" xfId="2079" xr:uid="{00000000-0005-0000-0000-000004080000}"/>
    <cellStyle name="Heading 4 9 5" xfId="2080" xr:uid="{00000000-0005-0000-0000-000005080000}"/>
    <cellStyle name="Heading 4 9 6" xfId="2081" xr:uid="{00000000-0005-0000-0000-000006080000}"/>
    <cellStyle name="HEADING1" xfId="188" xr:uid="{00000000-0005-0000-0000-000007080000}"/>
    <cellStyle name="HEADING2" xfId="189" xr:uid="{00000000-0005-0000-0000-000008080000}"/>
    <cellStyle name="Hyperlink" xfId="2" builtinId="8"/>
    <cellStyle name="Hyperlink 2" xfId="15" xr:uid="{00000000-0005-0000-0000-000002000000}"/>
    <cellStyle name="Hyperlink 2 2" xfId="191" xr:uid="{00000000-0005-0000-0000-00000B080000}"/>
    <cellStyle name="Hyperlink 2 2 2" xfId="192" xr:uid="{00000000-0005-0000-0000-00000C080000}"/>
    <cellStyle name="Hyperlink 2 2 3" xfId="2082" xr:uid="{00000000-0005-0000-0000-00000D080000}"/>
    <cellStyle name="Hyperlink 2 2 3 2" xfId="2979" xr:uid="{00000000-0005-0000-0000-000067080000}"/>
    <cellStyle name="Hyperlink 2 2 4" xfId="2970" xr:uid="{00000000-0005-0000-0000-000068080000}"/>
    <cellStyle name="Hyperlink 2 3" xfId="2083" xr:uid="{00000000-0005-0000-0000-00000E080000}"/>
    <cellStyle name="Hyperlink 2 4" xfId="2084" xr:uid="{00000000-0005-0000-0000-00000F080000}"/>
    <cellStyle name="Hyperlink 2 4 2" xfId="2980" xr:uid="{00000000-0005-0000-0000-00006B080000}"/>
    <cellStyle name="Hyperlink 2 5" xfId="190" xr:uid="{00000000-0005-0000-0000-000010080000}"/>
    <cellStyle name="Hyperlink 2 6" xfId="2862" xr:uid="{00000000-0005-0000-0000-000011080000}"/>
    <cellStyle name="Hyperlink 3" xfId="193" xr:uid="{00000000-0005-0000-0000-000012080000}"/>
    <cellStyle name="Hyperlink 3 2" xfId="194" xr:uid="{00000000-0005-0000-0000-000013080000}"/>
    <cellStyle name="Hyperlink 3 3" xfId="2085" xr:uid="{00000000-0005-0000-0000-000014080000}"/>
    <cellStyle name="Hyperlink 30" xfId="2086" xr:uid="{00000000-0005-0000-0000-000015080000}"/>
    <cellStyle name="In 000s (Convert to 000s)" xfId="195" xr:uid="{00000000-0005-0000-0000-000016080000}"/>
    <cellStyle name="Input 10 2" xfId="2087" xr:uid="{00000000-0005-0000-0000-000017080000}"/>
    <cellStyle name="Input 10 2 2" xfId="2657" xr:uid="{00000000-0005-0000-0000-000018080000}"/>
    <cellStyle name="Input 10 2 2 2" xfId="3196" xr:uid="{00000000-0005-0000-0000-000075080000}"/>
    <cellStyle name="Input 10 3" xfId="2088" xr:uid="{00000000-0005-0000-0000-000019080000}"/>
    <cellStyle name="Input 10 3 2" xfId="2658" xr:uid="{00000000-0005-0000-0000-00001A080000}"/>
    <cellStyle name="Input 10 3 2 2" xfId="3195" xr:uid="{00000000-0005-0000-0000-000078080000}"/>
    <cellStyle name="Input 10 4" xfId="2089" xr:uid="{00000000-0005-0000-0000-00001B080000}"/>
    <cellStyle name="Input 10 4 2" xfId="2659" xr:uid="{00000000-0005-0000-0000-00001C080000}"/>
    <cellStyle name="Input 10 4 2 2" xfId="3194" xr:uid="{00000000-0005-0000-0000-00007B080000}"/>
    <cellStyle name="Input 10 5" xfId="2090" xr:uid="{00000000-0005-0000-0000-00001D080000}"/>
    <cellStyle name="Input 10 5 2" xfId="2660" xr:uid="{00000000-0005-0000-0000-00001E080000}"/>
    <cellStyle name="Input 10 5 2 2" xfId="3193" xr:uid="{00000000-0005-0000-0000-00007E080000}"/>
    <cellStyle name="Input 10 6" xfId="2091" xr:uid="{00000000-0005-0000-0000-00001F080000}"/>
    <cellStyle name="Input 10 6 2" xfId="2661" xr:uid="{00000000-0005-0000-0000-000020080000}"/>
    <cellStyle name="Input 10 6 2 2" xfId="3192" xr:uid="{00000000-0005-0000-0000-000081080000}"/>
    <cellStyle name="Input 11 2" xfId="2092" xr:uid="{00000000-0005-0000-0000-000021080000}"/>
    <cellStyle name="Input 11 2 2" xfId="2662" xr:uid="{00000000-0005-0000-0000-000022080000}"/>
    <cellStyle name="Input 11 2 2 2" xfId="3191" xr:uid="{00000000-0005-0000-0000-000084080000}"/>
    <cellStyle name="Input 11 3" xfId="2093" xr:uid="{00000000-0005-0000-0000-000023080000}"/>
    <cellStyle name="Input 11 3 2" xfId="2663" xr:uid="{00000000-0005-0000-0000-000024080000}"/>
    <cellStyle name="Input 11 3 2 2" xfId="3190" xr:uid="{00000000-0005-0000-0000-000087080000}"/>
    <cellStyle name="Input 11 4" xfId="2094" xr:uid="{00000000-0005-0000-0000-000025080000}"/>
    <cellStyle name="Input 11 4 2" xfId="2664" xr:uid="{00000000-0005-0000-0000-000026080000}"/>
    <cellStyle name="Input 11 4 2 2" xfId="3189" xr:uid="{00000000-0005-0000-0000-00008A080000}"/>
    <cellStyle name="Input 11 5" xfId="2095" xr:uid="{00000000-0005-0000-0000-000027080000}"/>
    <cellStyle name="Input 11 5 2" xfId="2665" xr:uid="{00000000-0005-0000-0000-000028080000}"/>
    <cellStyle name="Input 11 5 2 2" xfId="3188" xr:uid="{00000000-0005-0000-0000-00008D080000}"/>
    <cellStyle name="Input 11 6" xfId="2096" xr:uid="{00000000-0005-0000-0000-000029080000}"/>
    <cellStyle name="Input 11 6 2" xfId="2666" xr:uid="{00000000-0005-0000-0000-00002A080000}"/>
    <cellStyle name="Input 11 6 2 2" xfId="3187" xr:uid="{00000000-0005-0000-0000-000090080000}"/>
    <cellStyle name="Input 2" xfId="196" xr:uid="{00000000-0005-0000-0000-00002B080000}"/>
    <cellStyle name="Input 2 2" xfId="2097" xr:uid="{00000000-0005-0000-0000-00002C080000}"/>
    <cellStyle name="Input 2 2 2" xfId="2667" xr:uid="{00000000-0005-0000-0000-00002D080000}"/>
    <cellStyle name="Input 2 2 2 2" xfId="3186" xr:uid="{00000000-0005-0000-0000-000094080000}"/>
    <cellStyle name="Input 2 3" xfId="2098" xr:uid="{00000000-0005-0000-0000-00002E080000}"/>
    <cellStyle name="Input 2 3 2" xfId="2668" xr:uid="{00000000-0005-0000-0000-00002F080000}"/>
    <cellStyle name="Input 2 3 2 2" xfId="3185" xr:uid="{00000000-0005-0000-0000-000097080000}"/>
    <cellStyle name="Input 2 4" xfId="2099" xr:uid="{00000000-0005-0000-0000-000030080000}"/>
    <cellStyle name="Input 2 4 2" xfId="2669" xr:uid="{00000000-0005-0000-0000-000031080000}"/>
    <cellStyle name="Input 2 4 2 2" xfId="3184" xr:uid="{00000000-0005-0000-0000-00009A080000}"/>
    <cellStyle name="Input 2 5" xfId="2100" xr:uid="{00000000-0005-0000-0000-000032080000}"/>
    <cellStyle name="Input 2 5 2" xfId="2670" xr:uid="{00000000-0005-0000-0000-000033080000}"/>
    <cellStyle name="Input 2 5 2 2" xfId="3183" xr:uid="{00000000-0005-0000-0000-00009D080000}"/>
    <cellStyle name="Input 2 6" xfId="2101" xr:uid="{00000000-0005-0000-0000-000034080000}"/>
    <cellStyle name="Input 2 6 2" xfId="2671" xr:uid="{00000000-0005-0000-0000-000035080000}"/>
    <cellStyle name="Input 2 6 2 2" xfId="3182" xr:uid="{00000000-0005-0000-0000-0000A0080000}"/>
    <cellStyle name="Input 2 7" xfId="2560" xr:uid="{00000000-0005-0000-0000-000036080000}"/>
    <cellStyle name="Input 2 7 2" xfId="3293" xr:uid="{00000000-0005-0000-0000-0000A2080000}"/>
    <cellStyle name="Input 3" xfId="197" xr:uid="{00000000-0005-0000-0000-000037080000}"/>
    <cellStyle name="Input 3 2" xfId="2103" xr:uid="{00000000-0005-0000-0000-000038080000}"/>
    <cellStyle name="Input 3 2 2" xfId="2673" xr:uid="{00000000-0005-0000-0000-000039080000}"/>
    <cellStyle name="Input 3 2 2 2" xfId="3180" xr:uid="{00000000-0005-0000-0000-0000A6080000}"/>
    <cellStyle name="Input 3 3" xfId="2104" xr:uid="{00000000-0005-0000-0000-00003A080000}"/>
    <cellStyle name="Input 3 3 2" xfId="2674" xr:uid="{00000000-0005-0000-0000-00003B080000}"/>
    <cellStyle name="Input 3 3 2 2" xfId="3179" xr:uid="{00000000-0005-0000-0000-0000A9080000}"/>
    <cellStyle name="Input 3 4" xfId="2105" xr:uid="{00000000-0005-0000-0000-00003C080000}"/>
    <cellStyle name="Input 3 4 2" xfId="2675" xr:uid="{00000000-0005-0000-0000-00003D080000}"/>
    <cellStyle name="Input 3 4 2 2" xfId="3178" xr:uid="{00000000-0005-0000-0000-0000AC080000}"/>
    <cellStyle name="Input 3 5" xfId="2106" xr:uid="{00000000-0005-0000-0000-00003E080000}"/>
    <cellStyle name="Input 3 5 2" xfId="2676" xr:uid="{00000000-0005-0000-0000-00003F080000}"/>
    <cellStyle name="Input 3 5 2 2" xfId="3177" xr:uid="{00000000-0005-0000-0000-0000AF080000}"/>
    <cellStyle name="Input 3 6" xfId="2107" xr:uid="{00000000-0005-0000-0000-000040080000}"/>
    <cellStyle name="Input 3 6 2" xfId="2677" xr:uid="{00000000-0005-0000-0000-000041080000}"/>
    <cellStyle name="Input 3 6 2 2" xfId="3176" xr:uid="{00000000-0005-0000-0000-0000B2080000}"/>
    <cellStyle name="Input 3 7" xfId="2108" xr:uid="{00000000-0005-0000-0000-000042080000}"/>
    <cellStyle name="Input 3 7 2" xfId="2678" xr:uid="{00000000-0005-0000-0000-000043080000}"/>
    <cellStyle name="Input 3 7 2 2" xfId="3175" xr:uid="{00000000-0005-0000-0000-0000B5080000}"/>
    <cellStyle name="Input 3 8" xfId="2102" xr:uid="{00000000-0005-0000-0000-000044080000}"/>
    <cellStyle name="Input 3 8 2" xfId="2672" xr:uid="{00000000-0005-0000-0000-000045080000}"/>
    <cellStyle name="Input 3 8 2 2" xfId="3181" xr:uid="{00000000-0005-0000-0000-0000B8080000}"/>
    <cellStyle name="Input 3 9" xfId="2561" xr:uid="{00000000-0005-0000-0000-000046080000}"/>
    <cellStyle name="Input 3 9 2" xfId="3292" xr:uid="{00000000-0005-0000-0000-0000BA080000}"/>
    <cellStyle name="Input 4" xfId="198" xr:uid="{00000000-0005-0000-0000-000047080000}"/>
    <cellStyle name="Input 4 2" xfId="2110" xr:uid="{00000000-0005-0000-0000-000048080000}"/>
    <cellStyle name="Input 4 2 2" xfId="2680" xr:uid="{00000000-0005-0000-0000-000049080000}"/>
    <cellStyle name="Input 4 2 2 2" xfId="3173" xr:uid="{00000000-0005-0000-0000-0000BE080000}"/>
    <cellStyle name="Input 4 3" xfId="2111" xr:uid="{00000000-0005-0000-0000-00004A080000}"/>
    <cellStyle name="Input 4 3 2" xfId="2681" xr:uid="{00000000-0005-0000-0000-00004B080000}"/>
    <cellStyle name="Input 4 3 2 2" xfId="3172" xr:uid="{00000000-0005-0000-0000-0000C1080000}"/>
    <cellStyle name="Input 4 4" xfId="2112" xr:uid="{00000000-0005-0000-0000-00004C080000}"/>
    <cellStyle name="Input 4 4 2" xfId="2682" xr:uid="{00000000-0005-0000-0000-00004D080000}"/>
    <cellStyle name="Input 4 4 2 2" xfId="3171" xr:uid="{00000000-0005-0000-0000-0000C4080000}"/>
    <cellStyle name="Input 4 5" xfId="2113" xr:uid="{00000000-0005-0000-0000-00004E080000}"/>
    <cellStyle name="Input 4 5 2" xfId="2683" xr:uid="{00000000-0005-0000-0000-00004F080000}"/>
    <cellStyle name="Input 4 5 2 2" xfId="3170" xr:uid="{00000000-0005-0000-0000-0000C7080000}"/>
    <cellStyle name="Input 4 6" xfId="2114" xr:uid="{00000000-0005-0000-0000-000050080000}"/>
    <cellStyle name="Input 4 6 2" xfId="2684" xr:uid="{00000000-0005-0000-0000-000051080000}"/>
    <cellStyle name="Input 4 6 2 2" xfId="3169" xr:uid="{00000000-0005-0000-0000-0000CA080000}"/>
    <cellStyle name="Input 4 7" xfId="2115" xr:uid="{00000000-0005-0000-0000-000052080000}"/>
    <cellStyle name="Input 4 7 2" xfId="2685" xr:uid="{00000000-0005-0000-0000-000053080000}"/>
    <cellStyle name="Input 4 7 2 2" xfId="3168" xr:uid="{00000000-0005-0000-0000-0000CD080000}"/>
    <cellStyle name="Input 4 8" xfId="2109" xr:uid="{00000000-0005-0000-0000-000054080000}"/>
    <cellStyle name="Input 4 8 2" xfId="2679" xr:uid="{00000000-0005-0000-0000-000055080000}"/>
    <cellStyle name="Input 4 8 2 2" xfId="3174" xr:uid="{00000000-0005-0000-0000-0000D0080000}"/>
    <cellStyle name="Input 4 9" xfId="2562" xr:uid="{00000000-0005-0000-0000-000056080000}"/>
    <cellStyle name="Input 4 9 2" xfId="3291" xr:uid="{00000000-0005-0000-0000-0000D2080000}"/>
    <cellStyle name="Input 5" xfId="199" xr:uid="{00000000-0005-0000-0000-000057080000}"/>
    <cellStyle name="Input 5 2" xfId="2116" xr:uid="{00000000-0005-0000-0000-000058080000}"/>
    <cellStyle name="Input 5 2 2" xfId="2686" xr:uid="{00000000-0005-0000-0000-000059080000}"/>
    <cellStyle name="Input 5 2 2 2" xfId="3167" xr:uid="{00000000-0005-0000-0000-0000D6080000}"/>
    <cellStyle name="Input 5 3" xfId="2117" xr:uid="{00000000-0005-0000-0000-00005A080000}"/>
    <cellStyle name="Input 5 3 2" xfId="2687" xr:uid="{00000000-0005-0000-0000-00005B080000}"/>
    <cellStyle name="Input 5 3 2 2" xfId="3166" xr:uid="{00000000-0005-0000-0000-0000D9080000}"/>
    <cellStyle name="Input 5 4" xfId="2118" xr:uid="{00000000-0005-0000-0000-00005C080000}"/>
    <cellStyle name="Input 5 4 2" xfId="2688" xr:uid="{00000000-0005-0000-0000-00005D080000}"/>
    <cellStyle name="Input 5 4 2 2" xfId="3165" xr:uid="{00000000-0005-0000-0000-0000DC080000}"/>
    <cellStyle name="Input 5 5" xfId="2119" xr:uid="{00000000-0005-0000-0000-00005E080000}"/>
    <cellStyle name="Input 5 5 2" xfId="2689" xr:uid="{00000000-0005-0000-0000-00005F080000}"/>
    <cellStyle name="Input 5 5 2 2" xfId="3164" xr:uid="{00000000-0005-0000-0000-0000DF080000}"/>
    <cellStyle name="Input 5 6" xfId="2120" xr:uid="{00000000-0005-0000-0000-000060080000}"/>
    <cellStyle name="Input 5 6 2" xfId="2690" xr:uid="{00000000-0005-0000-0000-000061080000}"/>
    <cellStyle name="Input 5 6 2 2" xfId="3163" xr:uid="{00000000-0005-0000-0000-0000E2080000}"/>
    <cellStyle name="Input 5 7" xfId="2563" xr:uid="{00000000-0005-0000-0000-000062080000}"/>
    <cellStyle name="Input 5 7 2" xfId="3290" xr:uid="{00000000-0005-0000-0000-0000E4080000}"/>
    <cellStyle name="Input 6" xfId="200" xr:uid="{00000000-0005-0000-0000-000063080000}"/>
    <cellStyle name="Input 6 2" xfId="2121" xr:uid="{00000000-0005-0000-0000-000064080000}"/>
    <cellStyle name="Input 6 2 2" xfId="2691" xr:uid="{00000000-0005-0000-0000-000065080000}"/>
    <cellStyle name="Input 6 2 2 2" xfId="3162" xr:uid="{00000000-0005-0000-0000-0000E8080000}"/>
    <cellStyle name="Input 6 3" xfId="2122" xr:uid="{00000000-0005-0000-0000-000066080000}"/>
    <cellStyle name="Input 6 3 2" xfId="2692" xr:uid="{00000000-0005-0000-0000-000067080000}"/>
    <cellStyle name="Input 6 3 2 2" xfId="3161" xr:uid="{00000000-0005-0000-0000-0000EB080000}"/>
    <cellStyle name="Input 6 4" xfId="2123" xr:uid="{00000000-0005-0000-0000-000068080000}"/>
    <cellStyle name="Input 6 4 2" xfId="2693" xr:uid="{00000000-0005-0000-0000-000069080000}"/>
    <cellStyle name="Input 6 4 2 2" xfId="3160" xr:uid="{00000000-0005-0000-0000-0000EE080000}"/>
    <cellStyle name="Input 6 5" xfId="2124" xr:uid="{00000000-0005-0000-0000-00006A080000}"/>
    <cellStyle name="Input 6 5 2" xfId="2694" xr:uid="{00000000-0005-0000-0000-00006B080000}"/>
    <cellStyle name="Input 6 5 2 2" xfId="3159" xr:uid="{00000000-0005-0000-0000-0000F1080000}"/>
    <cellStyle name="Input 6 6" xfId="2125" xr:uid="{00000000-0005-0000-0000-00006C080000}"/>
    <cellStyle name="Input 6 6 2" xfId="2695" xr:uid="{00000000-0005-0000-0000-00006D080000}"/>
    <cellStyle name="Input 6 6 2 2" xfId="3158" xr:uid="{00000000-0005-0000-0000-0000F4080000}"/>
    <cellStyle name="Input 6 7" xfId="2564" xr:uid="{00000000-0005-0000-0000-00006E080000}"/>
    <cellStyle name="Input 6 7 2" xfId="3289" xr:uid="{00000000-0005-0000-0000-0000F6080000}"/>
    <cellStyle name="Input 7" xfId="201" xr:uid="{00000000-0005-0000-0000-00006F080000}"/>
    <cellStyle name="Input 7 2" xfId="2126" xr:uid="{00000000-0005-0000-0000-000070080000}"/>
    <cellStyle name="Input 7 2 2" xfId="2696" xr:uid="{00000000-0005-0000-0000-000071080000}"/>
    <cellStyle name="Input 7 2 2 2" xfId="3157" xr:uid="{00000000-0005-0000-0000-0000FA080000}"/>
    <cellStyle name="Input 7 3" xfId="2127" xr:uid="{00000000-0005-0000-0000-000072080000}"/>
    <cellStyle name="Input 7 3 2" xfId="2697" xr:uid="{00000000-0005-0000-0000-000073080000}"/>
    <cellStyle name="Input 7 3 2 2" xfId="3156" xr:uid="{00000000-0005-0000-0000-0000FD080000}"/>
    <cellStyle name="Input 7 4" xfId="2128" xr:uid="{00000000-0005-0000-0000-000074080000}"/>
    <cellStyle name="Input 7 4 2" xfId="2698" xr:uid="{00000000-0005-0000-0000-000075080000}"/>
    <cellStyle name="Input 7 4 2 2" xfId="3155" xr:uid="{00000000-0005-0000-0000-000000090000}"/>
    <cellStyle name="Input 7 5" xfId="2129" xr:uid="{00000000-0005-0000-0000-000076080000}"/>
    <cellStyle name="Input 7 5 2" xfId="2699" xr:uid="{00000000-0005-0000-0000-000077080000}"/>
    <cellStyle name="Input 7 5 2 2" xfId="3154" xr:uid="{00000000-0005-0000-0000-000003090000}"/>
    <cellStyle name="Input 7 6" xfId="2130" xr:uid="{00000000-0005-0000-0000-000078080000}"/>
    <cellStyle name="Input 7 6 2" xfId="2700" xr:uid="{00000000-0005-0000-0000-000079080000}"/>
    <cellStyle name="Input 7 6 2 2" xfId="3153" xr:uid="{00000000-0005-0000-0000-000006090000}"/>
    <cellStyle name="Input 7 7" xfId="2565" xr:uid="{00000000-0005-0000-0000-00007A080000}"/>
    <cellStyle name="Input 7 7 2" xfId="3288" xr:uid="{00000000-0005-0000-0000-000008090000}"/>
    <cellStyle name="Input 8 2" xfId="2131" xr:uid="{00000000-0005-0000-0000-00007B080000}"/>
    <cellStyle name="Input 8 2 2" xfId="2701" xr:uid="{00000000-0005-0000-0000-00007C080000}"/>
    <cellStyle name="Input 8 2 2 2" xfId="3152" xr:uid="{00000000-0005-0000-0000-00000B090000}"/>
    <cellStyle name="Input 8 3" xfId="2132" xr:uid="{00000000-0005-0000-0000-00007D080000}"/>
    <cellStyle name="Input 8 3 2" xfId="2702" xr:uid="{00000000-0005-0000-0000-00007E080000}"/>
    <cellStyle name="Input 8 3 2 2" xfId="3151" xr:uid="{00000000-0005-0000-0000-00000E090000}"/>
    <cellStyle name="Input 8 4" xfId="2133" xr:uid="{00000000-0005-0000-0000-00007F080000}"/>
    <cellStyle name="Input 8 4 2" xfId="2703" xr:uid="{00000000-0005-0000-0000-000080080000}"/>
    <cellStyle name="Input 8 4 2 2" xfId="3150" xr:uid="{00000000-0005-0000-0000-000011090000}"/>
    <cellStyle name="Input 8 5" xfId="2134" xr:uid="{00000000-0005-0000-0000-000081080000}"/>
    <cellStyle name="Input 8 5 2" xfId="2704" xr:uid="{00000000-0005-0000-0000-000082080000}"/>
    <cellStyle name="Input 8 5 2 2" xfId="3149" xr:uid="{00000000-0005-0000-0000-000014090000}"/>
    <cellStyle name="Input 8 6" xfId="2135" xr:uid="{00000000-0005-0000-0000-000083080000}"/>
    <cellStyle name="Input 8 6 2" xfId="2705" xr:uid="{00000000-0005-0000-0000-000084080000}"/>
    <cellStyle name="Input 8 6 2 2" xfId="3148" xr:uid="{00000000-0005-0000-0000-000017090000}"/>
    <cellStyle name="Input 9 2" xfId="2136" xr:uid="{00000000-0005-0000-0000-000085080000}"/>
    <cellStyle name="Input 9 2 2" xfId="2706" xr:uid="{00000000-0005-0000-0000-000086080000}"/>
    <cellStyle name="Input 9 2 2 2" xfId="3147" xr:uid="{00000000-0005-0000-0000-00001A090000}"/>
    <cellStyle name="Input 9 3" xfId="2137" xr:uid="{00000000-0005-0000-0000-000087080000}"/>
    <cellStyle name="Input 9 3 2" xfId="2707" xr:uid="{00000000-0005-0000-0000-000088080000}"/>
    <cellStyle name="Input 9 3 2 2" xfId="3146" xr:uid="{00000000-0005-0000-0000-00001D090000}"/>
    <cellStyle name="Input 9 4" xfId="2138" xr:uid="{00000000-0005-0000-0000-000089080000}"/>
    <cellStyle name="Input 9 4 2" xfId="2708" xr:uid="{00000000-0005-0000-0000-00008A080000}"/>
    <cellStyle name="Input 9 4 2 2" xfId="3145" xr:uid="{00000000-0005-0000-0000-000020090000}"/>
    <cellStyle name="Input 9 5" xfId="2139" xr:uid="{00000000-0005-0000-0000-00008B080000}"/>
    <cellStyle name="Input 9 5 2" xfId="2709" xr:uid="{00000000-0005-0000-0000-00008C080000}"/>
    <cellStyle name="Input 9 5 2 2" xfId="3144" xr:uid="{00000000-0005-0000-0000-000023090000}"/>
    <cellStyle name="Input 9 6" xfId="2140" xr:uid="{00000000-0005-0000-0000-00008D080000}"/>
    <cellStyle name="Input 9 6 2" xfId="2710" xr:uid="{00000000-0005-0000-0000-00008E080000}"/>
    <cellStyle name="Input 9 6 2 2" xfId="3143" xr:uid="{00000000-0005-0000-0000-000026090000}"/>
    <cellStyle name="Linked Cell 10 2" xfId="2141" xr:uid="{00000000-0005-0000-0000-00008F080000}"/>
    <cellStyle name="Linked Cell 10 3" xfId="2142" xr:uid="{00000000-0005-0000-0000-000090080000}"/>
    <cellStyle name="Linked Cell 10 4" xfId="2143" xr:uid="{00000000-0005-0000-0000-000091080000}"/>
    <cellStyle name="Linked Cell 10 5" xfId="2144" xr:uid="{00000000-0005-0000-0000-000092080000}"/>
    <cellStyle name="Linked Cell 10 6" xfId="2145" xr:uid="{00000000-0005-0000-0000-000093080000}"/>
    <cellStyle name="Linked Cell 11 2" xfId="2146" xr:uid="{00000000-0005-0000-0000-000094080000}"/>
    <cellStyle name="Linked Cell 11 3" xfId="2147" xr:uid="{00000000-0005-0000-0000-000095080000}"/>
    <cellStyle name="Linked Cell 11 4" xfId="2148" xr:uid="{00000000-0005-0000-0000-000096080000}"/>
    <cellStyle name="Linked Cell 11 5" xfId="2149" xr:uid="{00000000-0005-0000-0000-000097080000}"/>
    <cellStyle name="Linked Cell 11 6" xfId="2150" xr:uid="{00000000-0005-0000-0000-000098080000}"/>
    <cellStyle name="Linked Cell 2" xfId="202" xr:uid="{00000000-0005-0000-0000-000099080000}"/>
    <cellStyle name="Linked Cell 2 2" xfId="2151" xr:uid="{00000000-0005-0000-0000-00009A080000}"/>
    <cellStyle name="Linked Cell 2 3" xfId="2152" xr:uid="{00000000-0005-0000-0000-00009B080000}"/>
    <cellStyle name="Linked Cell 2 4" xfId="2153" xr:uid="{00000000-0005-0000-0000-00009C080000}"/>
    <cellStyle name="Linked Cell 2 5" xfId="2154" xr:uid="{00000000-0005-0000-0000-00009D080000}"/>
    <cellStyle name="Linked Cell 2 6" xfId="2155" xr:uid="{00000000-0005-0000-0000-00009E080000}"/>
    <cellStyle name="Linked Cell 3" xfId="203" xr:uid="{00000000-0005-0000-0000-00009F080000}"/>
    <cellStyle name="Linked Cell 3 2" xfId="2157" xr:uid="{00000000-0005-0000-0000-0000A0080000}"/>
    <cellStyle name="Linked Cell 3 3" xfId="2158" xr:uid="{00000000-0005-0000-0000-0000A1080000}"/>
    <cellStyle name="Linked Cell 3 4" xfId="2159" xr:uid="{00000000-0005-0000-0000-0000A2080000}"/>
    <cellStyle name="Linked Cell 3 5" xfId="2160" xr:uid="{00000000-0005-0000-0000-0000A3080000}"/>
    <cellStyle name="Linked Cell 3 6" xfId="2161" xr:uid="{00000000-0005-0000-0000-0000A4080000}"/>
    <cellStyle name="Linked Cell 3 7" xfId="2162" xr:uid="{00000000-0005-0000-0000-0000A5080000}"/>
    <cellStyle name="Linked Cell 3 8" xfId="2156" xr:uid="{00000000-0005-0000-0000-0000A6080000}"/>
    <cellStyle name="Linked Cell 4" xfId="204" xr:uid="{00000000-0005-0000-0000-0000A7080000}"/>
    <cellStyle name="Linked Cell 4 2" xfId="2164" xr:uid="{00000000-0005-0000-0000-0000A8080000}"/>
    <cellStyle name="Linked Cell 4 3" xfId="2165" xr:uid="{00000000-0005-0000-0000-0000A9080000}"/>
    <cellStyle name="Linked Cell 4 4" xfId="2166" xr:uid="{00000000-0005-0000-0000-0000AA080000}"/>
    <cellStyle name="Linked Cell 4 5" xfId="2167" xr:uid="{00000000-0005-0000-0000-0000AB080000}"/>
    <cellStyle name="Linked Cell 4 6" xfId="2168" xr:uid="{00000000-0005-0000-0000-0000AC080000}"/>
    <cellStyle name="Linked Cell 4 7" xfId="2169" xr:uid="{00000000-0005-0000-0000-0000AD080000}"/>
    <cellStyle name="Linked Cell 4 8" xfId="2163" xr:uid="{00000000-0005-0000-0000-0000AE080000}"/>
    <cellStyle name="Linked Cell 5" xfId="205" xr:uid="{00000000-0005-0000-0000-0000AF080000}"/>
    <cellStyle name="Linked Cell 5 2" xfId="2170" xr:uid="{00000000-0005-0000-0000-0000B0080000}"/>
    <cellStyle name="Linked Cell 5 3" xfId="2171" xr:uid="{00000000-0005-0000-0000-0000B1080000}"/>
    <cellStyle name="Linked Cell 5 4" xfId="2172" xr:uid="{00000000-0005-0000-0000-0000B2080000}"/>
    <cellStyle name="Linked Cell 5 5" xfId="2173" xr:uid="{00000000-0005-0000-0000-0000B3080000}"/>
    <cellStyle name="Linked Cell 5 6" xfId="2174" xr:uid="{00000000-0005-0000-0000-0000B4080000}"/>
    <cellStyle name="Linked Cell 6" xfId="206" xr:uid="{00000000-0005-0000-0000-0000B5080000}"/>
    <cellStyle name="Linked Cell 6 2" xfId="2175" xr:uid="{00000000-0005-0000-0000-0000B6080000}"/>
    <cellStyle name="Linked Cell 6 3" xfId="2176" xr:uid="{00000000-0005-0000-0000-0000B7080000}"/>
    <cellStyle name="Linked Cell 6 4" xfId="2177" xr:uid="{00000000-0005-0000-0000-0000B8080000}"/>
    <cellStyle name="Linked Cell 6 5" xfId="2178" xr:uid="{00000000-0005-0000-0000-0000B9080000}"/>
    <cellStyle name="Linked Cell 6 6" xfId="2179" xr:uid="{00000000-0005-0000-0000-0000BA080000}"/>
    <cellStyle name="Linked Cell 7" xfId="207" xr:uid="{00000000-0005-0000-0000-0000BB080000}"/>
    <cellStyle name="Linked Cell 7 2" xfId="2180" xr:uid="{00000000-0005-0000-0000-0000BC080000}"/>
    <cellStyle name="Linked Cell 7 3" xfId="2181" xr:uid="{00000000-0005-0000-0000-0000BD080000}"/>
    <cellStyle name="Linked Cell 7 4" xfId="2182" xr:uid="{00000000-0005-0000-0000-0000BE080000}"/>
    <cellStyle name="Linked Cell 7 5" xfId="2183" xr:uid="{00000000-0005-0000-0000-0000BF080000}"/>
    <cellStyle name="Linked Cell 7 6" xfId="2184" xr:uid="{00000000-0005-0000-0000-0000C0080000}"/>
    <cellStyle name="Linked Cell 8 2" xfId="2185" xr:uid="{00000000-0005-0000-0000-0000C1080000}"/>
    <cellStyle name="Linked Cell 8 3" xfId="2186" xr:uid="{00000000-0005-0000-0000-0000C2080000}"/>
    <cellStyle name="Linked Cell 8 4" xfId="2187" xr:uid="{00000000-0005-0000-0000-0000C3080000}"/>
    <cellStyle name="Linked Cell 8 5" xfId="2188" xr:uid="{00000000-0005-0000-0000-0000C4080000}"/>
    <cellStyle name="Linked Cell 8 6" xfId="2189" xr:uid="{00000000-0005-0000-0000-0000C5080000}"/>
    <cellStyle name="Linked Cell 9 2" xfId="2190" xr:uid="{00000000-0005-0000-0000-0000C6080000}"/>
    <cellStyle name="Linked Cell 9 3" xfId="2191" xr:uid="{00000000-0005-0000-0000-0000C7080000}"/>
    <cellStyle name="Linked Cell 9 4" xfId="2192" xr:uid="{00000000-0005-0000-0000-0000C8080000}"/>
    <cellStyle name="Linked Cell 9 5" xfId="2193" xr:uid="{00000000-0005-0000-0000-0000C9080000}"/>
    <cellStyle name="Linked Cell 9 6" xfId="2194" xr:uid="{00000000-0005-0000-0000-0000CA080000}"/>
    <cellStyle name="Neutral 10 2" xfId="2195" xr:uid="{00000000-0005-0000-0000-0000CB080000}"/>
    <cellStyle name="Neutral 10 3" xfId="2196" xr:uid="{00000000-0005-0000-0000-0000CC080000}"/>
    <cellStyle name="Neutral 10 4" xfId="2197" xr:uid="{00000000-0005-0000-0000-0000CD080000}"/>
    <cellStyle name="Neutral 10 5" xfId="2198" xr:uid="{00000000-0005-0000-0000-0000CE080000}"/>
    <cellStyle name="Neutral 10 6" xfId="2199" xr:uid="{00000000-0005-0000-0000-0000CF080000}"/>
    <cellStyle name="Neutral 11 2" xfId="2200" xr:uid="{00000000-0005-0000-0000-0000D0080000}"/>
    <cellStyle name="Neutral 11 3" xfId="2201" xr:uid="{00000000-0005-0000-0000-0000D1080000}"/>
    <cellStyle name="Neutral 11 4" xfId="2202" xr:uid="{00000000-0005-0000-0000-0000D2080000}"/>
    <cellStyle name="Neutral 11 5" xfId="2203" xr:uid="{00000000-0005-0000-0000-0000D3080000}"/>
    <cellStyle name="Neutral 11 6" xfId="2204" xr:uid="{00000000-0005-0000-0000-0000D4080000}"/>
    <cellStyle name="Neutral 2" xfId="208" xr:uid="{00000000-0005-0000-0000-0000D5080000}"/>
    <cellStyle name="Neutral 2 2" xfId="2205" xr:uid="{00000000-0005-0000-0000-0000D6080000}"/>
    <cellStyle name="Neutral 2 3" xfId="2206" xr:uid="{00000000-0005-0000-0000-0000D7080000}"/>
    <cellStyle name="Neutral 2 4" xfId="2207" xr:uid="{00000000-0005-0000-0000-0000D8080000}"/>
    <cellStyle name="Neutral 2 5" xfId="2208" xr:uid="{00000000-0005-0000-0000-0000D9080000}"/>
    <cellStyle name="Neutral 2 6" xfId="2209" xr:uid="{00000000-0005-0000-0000-0000DA080000}"/>
    <cellStyle name="Neutral 3" xfId="209" xr:uid="{00000000-0005-0000-0000-0000DB080000}"/>
    <cellStyle name="Neutral 3 2" xfId="2211" xr:uid="{00000000-0005-0000-0000-0000DC080000}"/>
    <cellStyle name="Neutral 3 3" xfId="2212" xr:uid="{00000000-0005-0000-0000-0000DD080000}"/>
    <cellStyle name="Neutral 3 4" xfId="2213" xr:uid="{00000000-0005-0000-0000-0000DE080000}"/>
    <cellStyle name="Neutral 3 5" xfId="2214" xr:uid="{00000000-0005-0000-0000-0000DF080000}"/>
    <cellStyle name="Neutral 3 6" xfId="2215" xr:uid="{00000000-0005-0000-0000-0000E0080000}"/>
    <cellStyle name="Neutral 3 7" xfId="2216" xr:uid="{00000000-0005-0000-0000-0000E1080000}"/>
    <cellStyle name="Neutral 3 8" xfId="2210" xr:uid="{00000000-0005-0000-0000-0000E2080000}"/>
    <cellStyle name="Neutral 4" xfId="210" xr:uid="{00000000-0005-0000-0000-0000E3080000}"/>
    <cellStyle name="Neutral 4 2" xfId="2218" xr:uid="{00000000-0005-0000-0000-0000E4080000}"/>
    <cellStyle name="Neutral 4 3" xfId="2219" xr:uid="{00000000-0005-0000-0000-0000E5080000}"/>
    <cellStyle name="Neutral 4 4" xfId="2220" xr:uid="{00000000-0005-0000-0000-0000E6080000}"/>
    <cellStyle name="Neutral 4 5" xfId="2221" xr:uid="{00000000-0005-0000-0000-0000E7080000}"/>
    <cellStyle name="Neutral 4 6" xfId="2222" xr:uid="{00000000-0005-0000-0000-0000E8080000}"/>
    <cellStyle name="Neutral 4 7" xfId="2223" xr:uid="{00000000-0005-0000-0000-0000E9080000}"/>
    <cellStyle name="Neutral 4 8" xfId="2217" xr:uid="{00000000-0005-0000-0000-0000EA080000}"/>
    <cellStyle name="Neutral 5" xfId="211" xr:uid="{00000000-0005-0000-0000-0000EB080000}"/>
    <cellStyle name="Neutral 5 2" xfId="2224" xr:uid="{00000000-0005-0000-0000-0000EC080000}"/>
    <cellStyle name="Neutral 5 3" xfId="2225" xr:uid="{00000000-0005-0000-0000-0000ED080000}"/>
    <cellStyle name="Neutral 5 4" xfId="2226" xr:uid="{00000000-0005-0000-0000-0000EE080000}"/>
    <cellStyle name="Neutral 5 5" xfId="2227" xr:uid="{00000000-0005-0000-0000-0000EF080000}"/>
    <cellStyle name="Neutral 5 6" xfId="2228" xr:uid="{00000000-0005-0000-0000-0000F0080000}"/>
    <cellStyle name="Neutral 6" xfId="212" xr:uid="{00000000-0005-0000-0000-0000F1080000}"/>
    <cellStyle name="Neutral 6 2" xfId="2229" xr:uid="{00000000-0005-0000-0000-0000F2080000}"/>
    <cellStyle name="Neutral 6 3" xfId="2230" xr:uid="{00000000-0005-0000-0000-0000F3080000}"/>
    <cellStyle name="Neutral 6 4" xfId="2231" xr:uid="{00000000-0005-0000-0000-0000F4080000}"/>
    <cellStyle name="Neutral 6 5" xfId="2232" xr:uid="{00000000-0005-0000-0000-0000F5080000}"/>
    <cellStyle name="Neutral 6 6" xfId="2233" xr:uid="{00000000-0005-0000-0000-0000F6080000}"/>
    <cellStyle name="Neutral 7" xfId="213" xr:uid="{00000000-0005-0000-0000-0000F7080000}"/>
    <cellStyle name="Neutral 7 2" xfId="2234" xr:uid="{00000000-0005-0000-0000-0000F8080000}"/>
    <cellStyle name="Neutral 7 3" xfId="2235" xr:uid="{00000000-0005-0000-0000-0000F9080000}"/>
    <cellStyle name="Neutral 7 4" xfId="2236" xr:uid="{00000000-0005-0000-0000-0000FA080000}"/>
    <cellStyle name="Neutral 7 5" xfId="2237" xr:uid="{00000000-0005-0000-0000-0000FB080000}"/>
    <cellStyle name="Neutral 7 6" xfId="2238" xr:uid="{00000000-0005-0000-0000-0000FC080000}"/>
    <cellStyle name="Neutral 8 2" xfId="2239" xr:uid="{00000000-0005-0000-0000-0000FD080000}"/>
    <cellStyle name="Neutral 8 3" xfId="2240" xr:uid="{00000000-0005-0000-0000-0000FE080000}"/>
    <cellStyle name="Neutral 8 4" xfId="2241" xr:uid="{00000000-0005-0000-0000-0000FF080000}"/>
    <cellStyle name="Neutral 8 5" xfId="2242" xr:uid="{00000000-0005-0000-0000-000000090000}"/>
    <cellStyle name="Neutral 8 6" xfId="2243" xr:uid="{00000000-0005-0000-0000-000001090000}"/>
    <cellStyle name="Neutral 9 2" xfId="2244" xr:uid="{00000000-0005-0000-0000-000002090000}"/>
    <cellStyle name="Neutral 9 3" xfId="2245" xr:uid="{00000000-0005-0000-0000-000003090000}"/>
    <cellStyle name="Neutral 9 4" xfId="2246" xr:uid="{00000000-0005-0000-0000-000004090000}"/>
    <cellStyle name="Neutral 9 5" xfId="2247" xr:uid="{00000000-0005-0000-0000-000005090000}"/>
    <cellStyle name="Neutral 9 6" xfId="2248" xr:uid="{00000000-0005-0000-0000-000006090000}"/>
    <cellStyle name="No Border" xfId="214" xr:uid="{00000000-0005-0000-0000-000007090000}"/>
    <cellStyle name="Normal" xfId="0" builtinId="0"/>
    <cellStyle name="Normal 10 2" xfId="2249" xr:uid="{00000000-0005-0000-0000-000009090000}"/>
    <cellStyle name="Normal 11 2" xfId="2250" xr:uid="{00000000-0005-0000-0000-00000A090000}"/>
    <cellStyle name="Normal 2" xfId="3" xr:uid="{00000000-0005-0000-0000-000004000000}"/>
    <cellStyle name="Normal 2 2" xfId="215" xr:uid="{00000000-0005-0000-0000-00000C090000}"/>
    <cellStyle name="Normal 2 2 2" xfId="2252" xr:uid="{00000000-0005-0000-0000-00000D090000}"/>
    <cellStyle name="Normal 2 2 2 2" xfId="2981" xr:uid="{00000000-0005-0000-0000-0000A6090000}"/>
    <cellStyle name="Normal 2 2 3" xfId="2251" xr:uid="{00000000-0005-0000-0000-00000E090000}"/>
    <cellStyle name="Normal 2 2 4" xfId="2971" xr:uid="{00000000-0005-0000-0000-0000A8090000}"/>
    <cellStyle name="Normal 2 3" xfId="2253" xr:uid="{00000000-0005-0000-0000-00000F090000}"/>
    <cellStyle name="Normal 2 4" xfId="2254" xr:uid="{00000000-0005-0000-0000-000010090000}"/>
    <cellStyle name="Normal 2 5" xfId="2255" xr:uid="{00000000-0005-0000-0000-000011090000}"/>
    <cellStyle name="Normal 2 6" xfId="2256" xr:uid="{00000000-0005-0000-0000-000012090000}"/>
    <cellStyle name="Normal 3" xfId="4" xr:uid="{00000000-0005-0000-0000-000005000000}"/>
    <cellStyle name="Normal 3 10" xfId="2843" xr:uid="{00000000-0005-0000-0000-000014090000}"/>
    <cellStyle name="Normal 3 10 2" xfId="2890" xr:uid="{00000000-0005-0000-0000-000014090000}"/>
    <cellStyle name="Normal 3 10 2 2" xfId="2991" xr:uid="{00000000-0005-0000-0000-0000AF090000}"/>
    <cellStyle name="Normal 3 10 3" xfId="3435" xr:uid="{00000000-0005-0000-0000-0000B0090000}"/>
    <cellStyle name="Normal 3 10 4" xfId="2935" xr:uid="{00000000-0005-0000-0000-0000AE090000}"/>
    <cellStyle name="Normal 3 11" xfId="2863" xr:uid="{00000000-0005-0000-0000-000015090000}"/>
    <cellStyle name="Normal 3 11 2" xfId="2909" xr:uid="{00000000-0005-0000-0000-000015090000}"/>
    <cellStyle name="Normal 3 11 2 2" xfId="3010" xr:uid="{00000000-0005-0000-0000-0000B2090000}"/>
    <cellStyle name="Normal 3 11 3" xfId="3454" xr:uid="{00000000-0005-0000-0000-0000B3090000}"/>
    <cellStyle name="Normal 3 11 4" xfId="2954" xr:uid="{00000000-0005-0000-0000-0000B1090000}"/>
    <cellStyle name="Normal 3 12" xfId="24" xr:uid="{00000000-0005-0000-0000-000016090000}"/>
    <cellStyle name="Normal 3 12 2" xfId="2870" xr:uid="{00000000-0005-0000-0000-000016090000}"/>
    <cellStyle name="Normal 3 12 3" xfId="2915" xr:uid="{00000000-0005-0000-0000-0000B4090000}"/>
    <cellStyle name="Normal 3 13" xfId="19" xr:uid="{00000000-0005-0000-0000-000013090000}"/>
    <cellStyle name="Normal 3 13 2" xfId="2955" xr:uid="{00000000-0005-0000-0000-0000B5090000}"/>
    <cellStyle name="Normal 3 14" xfId="2865" xr:uid="{00000000-0005-0000-0000-000013090000}"/>
    <cellStyle name="Normal 3 14 2" xfId="3011" xr:uid="{00000000-0005-0000-0000-0000B6090000}"/>
    <cellStyle name="Normal 3 15" xfId="3475" xr:uid="{00000000-0005-0000-0000-0000B7090000}"/>
    <cellStyle name="Normal 3 16" xfId="3476" xr:uid="{00000000-0005-0000-0000-000003000000}"/>
    <cellStyle name="Normal 3 17" xfId="2910" xr:uid="{00000000-0005-0000-0000-0000AD090000}"/>
    <cellStyle name="Normal 3 2" xfId="14" xr:uid="{00000000-0005-0000-0000-000006000000}"/>
    <cellStyle name="Normal 3 2 10" xfId="3477" xr:uid="{00000000-0005-0000-0000-000004000000}"/>
    <cellStyle name="Normal 3 2 11" xfId="2911" xr:uid="{00000000-0005-0000-0000-0000B8090000}"/>
    <cellStyle name="Normal 3 2 2" xfId="18" xr:uid="{00000000-0005-0000-0000-000007000000}"/>
    <cellStyle name="Normal 3 2 2 2" xfId="216" xr:uid="{00000000-0005-0000-0000-000019090000}"/>
    <cellStyle name="Normal 3 2 2 3" xfId="23" xr:uid="{00000000-0005-0000-0000-000018090000}"/>
    <cellStyle name="Normal 3 2 2 3 2" xfId="3480" xr:uid="{00000000-0005-0000-0000-000005000000}"/>
    <cellStyle name="Normal 3 2 2 4" xfId="2869" xr:uid="{00000000-0005-0000-0000-000018090000}"/>
    <cellStyle name="Normal 3 2 2 5" xfId="2914" xr:uid="{00000000-0005-0000-0000-0000B9090000}"/>
    <cellStyle name="Normal 3 2 3" xfId="2529" xr:uid="{00000000-0005-0000-0000-00001A090000}"/>
    <cellStyle name="Normal 3 2 3 2" xfId="2853" xr:uid="{00000000-0005-0000-0000-00001B090000}"/>
    <cellStyle name="Normal 3 2 3 2 2" xfId="2900" xr:uid="{00000000-0005-0000-0000-00001B090000}"/>
    <cellStyle name="Normal 3 2 3 2 2 2" xfId="3001" xr:uid="{00000000-0005-0000-0000-0000BD090000}"/>
    <cellStyle name="Normal 3 2 3 2 3" xfId="3445" xr:uid="{00000000-0005-0000-0000-0000BE090000}"/>
    <cellStyle name="Normal 3 2 3 2 4" xfId="2945" xr:uid="{00000000-0005-0000-0000-0000BC090000}"/>
    <cellStyle name="Normal 3 2 3 3" xfId="2883" xr:uid="{00000000-0005-0000-0000-00001A090000}"/>
    <cellStyle name="Normal 3 2 3 3 2" xfId="2984" xr:uid="{00000000-0005-0000-0000-0000BF090000}"/>
    <cellStyle name="Normal 3 2 3 4" xfId="3427" xr:uid="{00000000-0005-0000-0000-0000C0090000}"/>
    <cellStyle name="Normal 3 2 3 5" xfId="2928" xr:uid="{00000000-0005-0000-0000-0000BB090000}"/>
    <cellStyle name="Normal 3 2 4" xfId="35" xr:uid="{00000000-0005-0000-0000-00001C090000}"/>
    <cellStyle name="Normal 3 2 4 2" xfId="2847" xr:uid="{00000000-0005-0000-0000-00001D090000}"/>
    <cellStyle name="Normal 3 2 4 2 2" xfId="2894" xr:uid="{00000000-0005-0000-0000-00001D090000}"/>
    <cellStyle name="Normal 3 2 4 2 2 2" xfId="2995" xr:uid="{00000000-0005-0000-0000-0000C3090000}"/>
    <cellStyle name="Normal 3 2 4 2 3" xfId="3439" xr:uid="{00000000-0005-0000-0000-0000C4090000}"/>
    <cellStyle name="Normal 3 2 4 2 4" xfId="2939" xr:uid="{00000000-0005-0000-0000-0000C2090000}"/>
    <cellStyle name="Normal 3 2 4 3" xfId="2877" xr:uid="{00000000-0005-0000-0000-00001C090000}"/>
    <cellStyle name="Normal 3 2 4 3 2" xfId="2962" xr:uid="{00000000-0005-0000-0000-0000C5090000}"/>
    <cellStyle name="Normal 3 2 4 4" xfId="3022" xr:uid="{00000000-0005-0000-0000-0000C6090000}"/>
    <cellStyle name="Normal 3 2 4 5" xfId="2922" xr:uid="{00000000-0005-0000-0000-0000C1090000}"/>
    <cellStyle name="Normal 3 2 5" xfId="28" xr:uid="{00000000-0005-0000-0000-00001E090000}"/>
    <cellStyle name="Normal 3 2 5 2" xfId="2874" xr:uid="{00000000-0005-0000-0000-00001E090000}"/>
    <cellStyle name="Normal 3 2 5 2 2" xfId="2959" xr:uid="{00000000-0005-0000-0000-0000C8090000}"/>
    <cellStyle name="Normal 3 2 5 3" xfId="3015" xr:uid="{00000000-0005-0000-0000-0000C9090000}"/>
    <cellStyle name="Normal 3 2 5 4" xfId="2919" xr:uid="{00000000-0005-0000-0000-0000C7090000}"/>
    <cellStyle name="Normal 3 2 6" xfId="2844" xr:uid="{00000000-0005-0000-0000-00001F090000}"/>
    <cellStyle name="Normal 3 2 6 2" xfId="2891" xr:uid="{00000000-0005-0000-0000-00001F090000}"/>
    <cellStyle name="Normal 3 2 6 2 2" xfId="2992" xr:uid="{00000000-0005-0000-0000-0000CB090000}"/>
    <cellStyle name="Normal 3 2 6 3" xfId="3436" xr:uid="{00000000-0005-0000-0000-0000CC090000}"/>
    <cellStyle name="Normal 3 2 6 4" xfId="2936" xr:uid="{00000000-0005-0000-0000-0000CA090000}"/>
    <cellStyle name="Normal 3 2 7" xfId="25" xr:uid="{00000000-0005-0000-0000-000020090000}"/>
    <cellStyle name="Normal 3 2 7 2" xfId="2871" xr:uid="{00000000-0005-0000-0000-000020090000}"/>
    <cellStyle name="Normal 3 2 7 3" xfId="2916" xr:uid="{00000000-0005-0000-0000-0000CD090000}"/>
    <cellStyle name="Normal 3 2 8" xfId="20" xr:uid="{00000000-0005-0000-0000-000017090000}"/>
    <cellStyle name="Normal 3 2 8 2" xfId="2956" xr:uid="{00000000-0005-0000-0000-0000CE090000}"/>
    <cellStyle name="Normal 3 2 9" xfId="2866" xr:uid="{00000000-0005-0000-0000-000017090000}"/>
    <cellStyle name="Normal 3 2 9 2" xfId="3012" xr:uid="{00000000-0005-0000-0000-0000CF090000}"/>
    <cellStyle name="Normal 3 3" xfId="217" xr:uid="{00000000-0005-0000-0000-000021090000}"/>
    <cellStyle name="Normal 3 3 2" xfId="218" xr:uid="{00000000-0005-0000-0000-000022090000}"/>
    <cellStyle name="Normal 3 3 2 2" xfId="2530" xr:uid="{00000000-0005-0000-0000-000023090000}"/>
    <cellStyle name="Normal 3 3 2 3" xfId="2972" xr:uid="{00000000-0005-0000-0000-0000D3090000}"/>
    <cellStyle name="Normal 3 3 3" xfId="2257" xr:uid="{00000000-0005-0000-0000-000024090000}"/>
    <cellStyle name="Normal 3 4" xfId="2258" xr:uid="{00000000-0005-0000-0000-000025090000}"/>
    <cellStyle name="Normal 3 4 2" xfId="2851" xr:uid="{00000000-0005-0000-0000-000026090000}"/>
    <cellStyle name="Normal 3 4 2 2" xfId="2898" xr:uid="{00000000-0005-0000-0000-000026090000}"/>
    <cellStyle name="Normal 3 4 2 2 2" xfId="2999" xr:uid="{00000000-0005-0000-0000-0000D7090000}"/>
    <cellStyle name="Normal 3 4 2 3" xfId="3443" xr:uid="{00000000-0005-0000-0000-0000D8090000}"/>
    <cellStyle name="Normal 3 4 2 4" xfId="2943" xr:uid="{00000000-0005-0000-0000-0000D6090000}"/>
    <cellStyle name="Normal 3 4 3" xfId="2881" xr:uid="{00000000-0005-0000-0000-000025090000}"/>
    <cellStyle name="Normal 3 4 3 2" xfId="2982" xr:uid="{00000000-0005-0000-0000-0000D9090000}"/>
    <cellStyle name="Normal 3 4 4" xfId="3419" xr:uid="{00000000-0005-0000-0000-0000DA090000}"/>
    <cellStyle name="Normal 3 4 5" xfId="2926" xr:uid="{00000000-0005-0000-0000-0000D5090000}"/>
    <cellStyle name="Normal 3 5" xfId="2536" xr:uid="{00000000-0005-0000-0000-000027090000}"/>
    <cellStyle name="Normal 3 5 2" xfId="2855" xr:uid="{00000000-0005-0000-0000-000028090000}"/>
    <cellStyle name="Normal 3 5 2 2" xfId="2902" xr:uid="{00000000-0005-0000-0000-000028090000}"/>
    <cellStyle name="Normal 3 5 2 2 2" xfId="3003" xr:uid="{00000000-0005-0000-0000-0000DD090000}"/>
    <cellStyle name="Normal 3 5 2 3" xfId="3447" xr:uid="{00000000-0005-0000-0000-0000DE090000}"/>
    <cellStyle name="Normal 3 5 2 4" xfId="2947" xr:uid="{00000000-0005-0000-0000-0000DC090000}"/>
    <cellStyle name="Normal 3 5 3" xfId="2885" xr:uid="{00000000-0005-0000-0000-000027090000}"/>
    <cellStyle name="Normal 3 5 3 2" xfId="2986" xr:uid="{00000000-0005-0000-0000-0000DF090000}"/>
    <cellStyle name="Normal 3 5 4" xfId="3429" xr:uid="{00000000-0005-0000-0000-0000E0090000}"/>
    <cellStyle name="Normal 3 5 5" xfId="2930" xr:uid="{00000000-0005-0000-0000-0000DB090000}"/>
    <cellStyle name="Normal 3 6" xfId="2539" xr:uid="{00000000-0005-0000-0000-000029090000}"/>
    <cellStyle name="Normal 3 6 2" xfId="2857" xr:uid="{00000000-0005-0000-0000-00002A090000}"/>
    <cellStyle name="Normal 3 6 2 2" xfId="2904" xr:uid="{00000000-0005-0000-0000-00002A090000}"/>
    <cellStyle name="Normal 3 6 2 2 2" xfId="3005" xr:uid="{00000000-0005-0000-0000-0000E3090000}"/>
    <cellStyle name="Normal 3 6 2 3" xfId="3449" xr:uid="{00000000-0005-0000-0000-0000E4090000}"/>
    <cellStyle name="Normal 3 6 2 4" xfId="2949" xr:uid="{00000000-0005-0000-0000-0000E2090000}"/>
    <cellStyle name="Normal 3 6 3" xfId="2887" xr:uid="{00000000-0005-0000-0000-000029090000}"/>
    <cellStyle name="Normal 3 6 3 2" xfId="2988" xr:uid="{00000000-0005-0000-0000-0000E5090000}"/>
    <cellStyle name="Normal 3 6 4" xfId="3431" xr:uid="{00000000-0005-0000-0000-0000E6090000}"/>
    <cellStyle name="Normal 3 6 5" xfId="2932" xr:uid="{00000000-0005-0000-0000-0000E1090000}"/>
    <cellStyle name="Normal 3 7" xfId="30" xr:uid="{00000000-0005-0000-0000-00002B090000}"/>
    <cellStyle name="Normal 3 7 2" xfId="2846" xr:uid="{00000000-0005-0000-0000-00002C090000}"/>
    <cellStyle name="Normal 3 7 2 2" xfId="2893" xr:uid="{00000000-0005-0000-0000-00002C090000}"/>
    <cellStyle name="Normal 3 7 2 2 2" xfId="2994" xr:uid="{00000000-0005-0000-0000-0000E9090000}"/>
    <cellStyle name="Normal 3 7 2 3" xfId="3438" xr:uid="{00000000-0005-0000-0000-0000EA090000}"/>
    <cellStyle name="Normal 3 7 2 4" xfId="2938" xr:uid="{00000000-0005-0000-0000-0000E8090000}"/>
    <cellStyle name="Normal 3 7 3" xfId="2876" xr:uid="{00000000-0005-0000-0000-00002B090000}"/>
    <cellStyle name="Normal 3 7 3 2" xfId="2961" xr:uid="{00000000-0005-0000-0000-0000EB090000}"/>
    <cellStyle name="Normal 3 7 4" xfId="3017" xr:uid="{00000000-0005-0000-0000-0000EC090000}"/>
    <cellStyle name="Normal 3 7 5" xfId="2921" xr:uid="{00000000-0005-0000-0000-0000E7090000}"/>
    <cellStyle name="Normal 3 8" xfId="29" xr:uid="{00000000-0005-0000-0000-00002D090000}"/>
    <cellStyle name="Normal 3 8 2" xfId="2845" xr:uid="{00000000-0005-0000-0000-00002E090000}"/>
    <cellStyle name="Normal 3 8 2 2" xfId="2892" xr:uid="{00000000-0005-0000-0000-00002E090000}"/>
    <cellStyle name="Normal 3 8 2 2 2" xfId="2993" xr:uid="{00000000-0005-0000-0000-0000EF090000}"/>
    <cellStyle name="Normal 3 8 2 3" xfId="3437" xr:uid="{00000000-0005-0000-0000-0000F0090000}"/>
    <cellStyle name="Normal 3 8 2 4" xfId="2937" xr:uid="{00000000-0005-0000-0000-0000EE090000}"/>
    <cellStyle name="Normal 3 8 3" xfId="2875" xr:uid="{00000000-0005-0000-0000-00002D090000}"/>
    <cellStyle name="Normal 3 8 3 2" xfId="2960" xr:uid="{00000000-0005-0000-0000-0000F1090000}"/>
    <cellStyle name="Normal 3 8 4" xfId="3016" xr:uid="{00000000-0005-0000-0000-0000F2090000}"/>
    <cellStyle name="Normal 3 8 5" xfId="2920" xr:uid="{00000000-0005-0000-0000-0000ED090000}"/>
    <cellStyle name="Normal 3 9" xfId="27" xr:uid="{00000000-0005-0000-0000-00002F090000}"/>
    <cellStyle name="Normal 3 9 2" xfId="2873" xr:uid="{00000000-0005-0000-0000-00002F090000}"/>
    <cellStyle name="Normal 3 9 2 2" xfId="2958" xr:uid="{00000000-0005-0000-0000-0000F4090000}"/>
    <cellStyle name="Normal 3 9 3" xfId="3014" xr:uid="{00000000-0005-0000-0000-0000F5090000}"/>
    <cellStyle name="Normal 3 9 4" xfId="2918" xr:uid="{00000000-0005-0000-0000-0000F3090000}"/>
    <cellStyle name="Normal 4" xfId="16" xr:uid="{00000000-0005-0000-0000-000008000000}"/>
    <cellStyle name="Normal 4 10" xfId="2867" xr:uid="{00000000-0005-0000-0000-000030090000}"/>
    <cellStyle name="Normal 4 10 2" xfId="3013" xr:uid="{00000000-0005-0000-0000-0000F7090000}"/>
    <cellStyle name="Normal 4 11" xfId="3478" xr:uid="{00000000-0005-0000-0000-000006000000}"/>
    <cellStyle name="Normal 4 12" xfId="2912" xr:uid="{00000000-0005-0000-0000-0000F6090000}"/>
    <cellStyle name="Normal 4 2" xfId="2259" xr:uid="{00000000-0005-0000-0000-000031090000}"/>
    <cellStyle name="Normal 4 2 2" xfId="2852" xr:uid="{00000000-0005-0000-0000-000032090000}"/>
    <cellStyle name="Normal 4 2 2 2" xfId="2899" xr:uid="{00000000-0005-0000-0000-000032090000}"/>
    <cellStyle name="Normal 4 2 2 2 2" xfId="3000" xr:uid="{00000000-0005-0000-0000-0000FA090000}"/>
    <cellStyle name="Normal 4 2 2 3" xfId="3444" xr:uid="{00000000-0005-0000-0000-0000FB090000}"/>
    <cellStyle name="Normal 4 2 2 4" xfId="2944" xr:uid="{00000000-0005-0000-0000-0000F9090000}"/>
    <cellStyle name="Normal 4 2 3" xfId="2882" xr:uid="{00000000-0005-0000-0000-000031090000}"/>
    <cellStyle name="Normal 4 2 3 2" xfId="2983" xr:uid="{00000000-0005-0000-0000-0000FC090000}"/>
    <cellStyle name="Normal 4 2 4" xfId="3420" xr:uid="{00000000-0005-0000-0000-0000FD090000}"/>
    <cellStyle name="Normal 4 2 5" xfId="2927" xr:uid="{00000000-0005-0000-0000-0000F8090000}"/>
    <cellStyle name="Normal 4 3" xfId="2537" xr:uid="{00000000-0005-0000-0000-000033090000}"/>
    <cellStyle name="Normal 4 3 2" xfId="2856" xr:uid="{00000000-0005-0000-0000-000034090000}"/>
    <cellStyle name="Normal 4 3 2 2" xfId="2903" xr:uid="{00000000-0005-0000-0000-000034090000}"/>
    <cellStyle name="Normal 4 3 2 2 2" xfId="3004" xr:uid="{00000000-0005-0000-0000-0000000A0000}"/>
    <cellStyle name="Normal 4 3 2 3" xfId="3448" xr:uid="{00000000-0005-0000-0000-0000010A0000}"/>
    <cellStyle name="Normal 4 3 2 4" xfId="2948" xr:uid="{00000000-0005-0000-0000-0000FF090000}"/>
    <cellStyle name="Normal 4 3 3" xfId="2886" xr:uid="{00000000-0005-0000-0000-000033090000}"/>
    <cellStyle name="Normal 4 3 3 2" xfId="2987" xr:uid="{00000000-0005-0000-0000-0000020A0000}"/>
    <cellStyle name="Normal 4 3 4" xfId="3430" xr:uid="{00000000-0005-0000-0000-0000030A0000}"/>
    <cellStyle name="Normal 4 3 5" xfId="2931" xr:uid="{00000000-0005-0000-0000-0000FE090000}"/>
    <cellStyle name="Normal 4 4" xfId="2541" xr:uid="{00000000-0005-0000-0000-000035090000}"/>
    <cellStyle name="Normal 4 4 2" xfId="2859" xr:uid="{00000000-0005-0000-0000-000036090000}"/>
    <cellStyle name="Normal 4 4 2 2" xfId="2906" xr:uid="{00000000-0005-0000-0000-000036090000}"/>
    <cellStyle name="Normal 4 4 2 2 2" xfId="3007" xr:uid="{00000000-0005-0000-0000-0000060A0000}"/>
    <cellStyle name="Normal 4 4 2 3" xfId="3451" xr:uid="{00000000-0005-0000-0000-0000070A0000}"/>
    <cellStyle name="Normal 4 4 2 4" xfId="2951" xr:uid="{00000000-0005-0000-0000-0000050A0000}"/>
    <cellStyle name="Normal 4 4 3" xfId="2889" xr:uid="{00000000-0005-0000-0000-000035090000}"/>
    <cellStyle name="Normal 4 4 3 2" xfId="2990" xr:uid="{00000000-0005-0000-0000-0000080A0000}"/>
    <cellStyle name="Normal 4 4 4" xfId="3433" xr:uid="{00000000-0005-0000-0000-0000090A0000}"/>
    <cellStyle name="Normal 4 4 5" xfId="2934" xr:uid="{00000000-0005-0000-0000-0000040A0000}"/>
    <cellStyle name="Normal 4 5" xfId="219" xr:uid="{00000000-0005-0000-0000-000037090000}"/>
    <cellStyle name="Normal 4 5 2" xfId="2879" xr:uid="{00000000-0005-0000-0000-000037090000}"/>
    <cellStyle name="Normal 4 5 2 2" xfId="2973" xr:uid="{00000000-0005-0000-0000-00000B0A0000}"/>
    <cellStyle name="Normal 4 5 3" xfId="3034" xr:uid="{00000000-0005-0000-0000-00000C0A0000}"/>
    <cellStyle name="Normal 4 5 4" xfId="2924" xr:uid="{00000000-0005-0000-0000-00000A0A0000}"/>
    <cellStyle name="Normal 4 6" xfId="2849" xr:uid="{00000000-0005-0000-0000-000038090000}"/>
    <cellStyle name="Normal 4 6 2" xfId="2896" xr:uid="{00000000-0005-0000-0000-000038090000}"/>
    <cellStyle name="Normal 4 6 2 2" xfId="2997" xr:uid="{00000000-0005-0000-0000-00000E0A0000}"/>
    <cellStyle name="Normal 4 6 3" xfId="3441" xr:uid="{00000000-0005-0000-0000-00000F0A0000}"/>
    <cellStyle name="Normal 4 6 4" xfId="2941" xr:uid="{00000000-0005-0000-0000-00000D0A0000}"/>
    <cellStyle name="Normal 4 7" xfId="2864" xr:uid="{00000000-0005-0000-0000-000039090000}"/>
    <cellStyle name="Normal 4 8" xfId="26" xr:uid="{00000000-0005-0000-0000-00003A090000}"/>
    <cellStyle name="Normal 4 8 2" xfId="2872" xr:uid="{00000000-0005-0000-0000-00003A090000}"/>
    <cellStyle name="Normal 4 8 3" xfId="2917" xr:uid="{00000000-0005-0000-0000-0000110A0000}"/>
    <cellStyle name="Normal 4 9" xfId="21" xr:uid="{00000000-0005-0000-0000-000030090000}"/>
    <cellStyle name="Normal 4 9 2" xfId="2957" xr:uid="{00000000-0005-0000-0000-0000120A0000}"/>
    <cellStyle name="Normal 5" xfId="17" xr:uid="{00000000-0005-0000-0000-000009000000}"/>
    <cellStyle name="Normal 5 2" xfId="2260" xr:uid="{00000000-0005-0000-0000-00003C090000}"/>
    <cellStyle name="Normal 5 3" xfId="220" xr:uid="{00000000-0005-0000-0000-00003D090000}"/>
    <cellStyle name="Normal 5 4" xfId="22" xr:uid="{00000000-0005-0000-0000-00003B090000}"/>
    <cellStyle name="Normal 5 4 2" xfId="3479" xr:uid="{00000000-0005-0000-0000-000007000000}"/>
    <cellStyle name="Normal 5 5" xfId="2868" xr:uid="{00000000-0005-0000-0000-00003B090000}"/>
    <cellStyle name="Normal 5 6" xfId="2913" xr:uid="{00000000-0005-0000-0000-0000130A0000}"/>
    <cellStyle name="Normal 6" xfId="2538" xr:uid="{00000000-0005-0000-0000-00003E090000}"/>
    <cellStyle name="Normal 6 2" xfId="2261" xr:uid="{00000000-0005-0000-0000-00003F090000}"/>
    <cellStyle name="Normal 7" xfId="2860" xr:uid="{00000000-0005-0000-0000-000040090000}"/>
    <cellStyle name="Normal 7 2" xfId="2262" xr:uid="{00000000-0005-0000-0000-000041090000}"/>
    <cellStyle name="Normal 7 3" xfId="2907" xr:uid="{00000000-0005-0000-0000-000040090000}"/>
    <cellStyle name="Normal 7 3 2" xfId="3008" xr:uid="{00000000-0005-0000-0000-00001A0A0000}"/>
    <cellStyle name="Normal 7 4" xfId="3452" xr:uid="{00000000-0005-0000-0000-00001B0A0000}"/>
    <cellStyle name="Normal 7 5" xfId="2952" xr:uid="{00000000-0005-0000-0000-0000180A0000}"/>
    <cellStyle name="Normal 8" xfId="3473" xr:uid="{00000000-0005-0000-0000-00001C0A0000}"/>
    <cellStyle name="Normal 8 2" xfId="2263" xr:uid="{00000000-0005-0000-0000-000042090000}"/>
    <cellStyle name="Normal 9 2" xfId="2264" xr:uid="{00000000-0005-0000-0000-00004309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 name="Note 10 2" xfId="2265" xr:uid="{00000000-0005-0000-0000-00004D090000}"/>
    <cellStyle name="Note 10 2 2" xfId="2711" xr:uid="{00000000-0005-0000-0000-00004E090000}"/>
    <cellStyle name="Note 10 2 2 2" xfId="3142" xr:uid="{00000000-0005-0000-0000-00002A0A0000}"/>
    <cellStyle name="Note 10 3" xfId="2266" xr:uid="{00000000-0005-0000-0000-00004F090000}"/>
    <cellStyle name="Note 10 3 2" xfId="2712" xr:uid="{00000000-0005-0000-0000-000050090000}"/>
    <cellStyle name="Note 10 3 2 2" xfId="3141" xr:uid="{00000000-0005-0000-0000-00002D0A0000}"/>
    <cellStyle name="Note 10 4" xfId="2267" xr:uid="{00000000-0005-0000-0000-000051090000}"/>
    <cellStyle name="Note 10 4 2" xfId="2713" xr:uid="{00000000-0005-0000-0000-000052090000}"/>
    <cellStyle name="Note 10 4 2 2" xfId="3140" xr:uid="{00000000-0005-0000-0000-0000300A0000}"/>
    <cellStyle name="Note 10 5" xfId="2268" xr:uid="{00000000-0005-0000-0000-000053090000}"/>
    <cellStyle name="Note 10 5 2" xfId="2714" xr:uid="{00000000-0005-0000-0000-000054090000}"/>
    <cellStyle name="Note 10 5 2 2" xfId="3139" xr:uid="{00000000-0005-0000-0000-0000330A0000}"/>
    <cellStyle name="Note 10 6" xfId="2269" xr:uid="{00000000-0005-0000-0000-000055090000}"/>
    <cellStyle name="Note 10 6 2" xfId="2715" xr:uid="{00000000-0005-0000-0000-000056090000}"/>
    <cellStyle name="Note 10 6 2 2" xfId="3138" xr:uid="{00000000-0005-0000-0000-0000360A0000}"/>
    <cellStyle name="Note 11 2" xfId="2270" xr:uid="{00000000-0005-0000-0000-000057090000}"/>
    <cellStyle name="Note 11 2 2" xfId="2716" xr:uid="{00000000-0005-0000-0000-000058090000}"/>
    <cellStyle name="Note 11 2 2 2" xfId="3137" xr:uid="{00000000-0005-0000-0000-0000390A0000}"/>
    <cellStyle name="Note 11 3" xfId="2271" xr:uid="{00000000-0005-0000-0000-000059090000}"/>
    <cellStyle name="Note 11 3 2" xfId="2717" xr:uid="{00000000-0005-0000-0000-00005A090000}"/>
    <cellStyle name="Note 11 3 2 2" xfId="3136" xr:uid="{00000000-0005-0000-0000-00003C0A0000}"/>
    <cellStyle name="Note 11 4" xfId="2272" xr:uid="{00000000-0005-0000-0000-00005B090000}"/>
    <cellStyle name="Note 11 4 2" xfId="2718" xr:uid="{00000000-0005-0000-0000-00005C090000}"/>
    <cellStyle name="Note 11 4 2 2" xfId="3135" xr:uid="{00000000-0005-0000-0000-00003F0A0000}"/>
    <cellStyle name="Note 11 5" xfId="2273" xr:uid="{00000000-0005-0000-0000-00005D090000}"/>
    <cellStyle name="Note 11 5 2" xfId="2719" xr:uid="{00000000-0005-0000-0000-00005E090000}"/>
    <cellStyle name="Note 11 5 2 2" xfId="3134" xr:uid="{00000000-0005-0000-0000-0000420A0000}"/>
    <cellStyle name="Note 11 6" xfId="2274" xr:uid="{00000000-0005-0000-0000-00005F090000}"/>
    <cellStyle name="Note 11 6 2" xfId="2720" xr:uid="{00000000-0005-0000-0000-000060090000}"/>
    <cellStyle name="Note 11 6 2 2" xfId="3133" xr:uid="{00000000-0005-0000-0000-0000450A0000}"/>
    <cellStyle name="Note 2" xfId="221" xr:uid="{00000000-0005-0000-0000-000061090000}"/>
    <cellStyle name="Note 2 2" xfId="2275" xr:uid="{00000000-0005-0000-0000-000062090000}"/>
    <cellStyle name="Note 2 2 2" xfId="2721" xr:uid="{00000000-0005-0000-0000-000063090000}"/>
    <cellStyle name="Note 2 2 2 2" xfId="3132" xr:uid="{00000000-0005-0000-0000-0000490A0000}"/>
    <cellStyle name="Note 2 3" xfId="2276" xr:uid="{00000000-0005-0000-0000-000064090000}"/>
    <cellStyle name="Note 2 3 2" xfId="2722" xr:uid="{00000000-0005-0000-0000-000065090000}"/>
    <cellStyle name="Note 2 3 2 2" xfId="3131" xr:uid="{00000000-0005-0000-0000-00004C0A0000}"/>
    <cellStyle name="Note 2 4" xfId="2277" xr:uid="{00000000-0005-0000-0000-000066090000}"/>
    <cellStyle name="Note 2 4 2" xfId="2723" xr:uid="{00000000-0005-0000-0000-000067090000}"/>
    <cellStyle name="Note 2 4 2 2" xfId="3130" xr:uid="{00000000-0005-0000-0000-00004F0A0000}"/>
    <cellStyle name="Note 2 5" xfId="2278" xr:uid="{00000000-0005-0000-0000-000068090000}"/>
    <cellStyle name="Note 2 5 2" xfId="2724" xr:uid="{00000000-0005-0000-0000-000069090000}"/>
    <cellStyle name="Note 2 5 2 2" xfId="3129" xr:uid="{00000000-0005-0000-0000-0000520A0000}"/>
    <cellStyle name="Note 2 6" xfId="2279" xr:uid="{00000000-0005-0000-0000-00006A090000}"/>
    <cellStyle name="Note 2 6 2" xfId="2725" xr:uid="{00000000-0005-0000-0000-00006B090000}"/>
    <cellStyle name="Note 2 6 2 2" xfId="3128" xr:uid="{00000000-0005-0000-0000-0000550A0000}"/>
    <cellStyle name="Note 2 7" xfId="2566" xr:uid="{00000000-0005-0000-0000-00006C090000}"/>
    <cellStyle name="Note 2 7 2" xfId="3287" xr:uid="{00000000-0005-0000-0000-0000570A0000}"/>
    <cellStyle name="Note 3" xfId="222" xr:uid="{00000000-0005-0000-0000-00006D090000}"/>
    <cellStyle name="Note 3 2" xfId="2281" xr:uid="{00000000-0005-0000-0000-00006E090000}"/>
    <cellStyle name="Note 3 2 2" xfId="2727" xr:uid="{00000000-0005-0000-0000-00006F090000}"/>
    <cellStyle name="Note 3 2 2 2" xfId="3126" xr:uid="{00000000-0005-0000-0000-00005B0A0000}"/>
    <cellStyle name="Note 3 3" xfId="2282" xr:uid="{00000000-0005-0000-0000-000070090000}"/>
    <cellStyle name="Note 3 3 2" xfId="2728" xr:uid="{00000000-0005-0000-0000-000071090000}"/>
    <cellStyle name="Note 3 3 2 2" xfId="3125" xr:uid="{00000000-0005-0000-0000-00005E0A0000}"/>
    <cellStyle name="Note 3 4" xfId="2283" xr:uid="{00000000-0005-0000-0000-000072090000}"/>
    <cellStyle name="Note 3 4 2" xfId="2729" xr:uid="{00000000-0005-0000-0000-000073090000}"/>
    <cellStyle name="Note 3 4 2 2" xfId="3124" xr:uid="{00000000-0005-0000-0000-0000610A0000}"/>
    <cellStyle name="Note 3 5" xfId="2284" xr:uid="{00000000-0005-0000-0000-000074090000}"/>
    <cellStyle name="Note 3 5 2" xfId="2730" xr:uid="{00000000-0005-0000-0000-000075090000}"/>
    <cellStyle name="Note 3 5 2 2" xfId="3123" xr:uid="{00000000-0005-0000-0000-0000640A0000}"/>
    <cellStyle name="Note 3 6" xfId="2285" xr:uid="{00000000-0005-0000-0000-000076090000}"/>
    <cellStyle name="Note 3 6 2" xfId="2731" xr:uid="{00000000-0005-0000-0000-000077090000}"/>
    <cellStyle name="Note 3 6 2 2" xfId="3122" xr:uid="{00000000-0005-0000-0000-0000670A0000}"/>
    <cellStyle name="Note 3 7" xfId="2286" xr:uid="{00000000-0005-0000-0000-000078090000}"/>
    <cellStyle name="Note 3 7 2" xfId="2732" xr:uid="{00000000-0005-0000-0000-000079090000}"/>
    <cellStyle name="Note 3 7 2 2" xfId="3121" xr:uid="{00000000-0005-0000-0000-00006A0A0000}"/>
    <cellStyle name="Note 3 8" xfId="2280" xr:uid="{00000000-0005-0000-0000-00007A090000}"/>
    <cellStyle name="Note 3 8 2" xfId="2726" xr:uid="{00000000-0005-0000-0000-00007B090000}"/>
    <cellStyle name="Note 3 8 2 2" xfId="3127" xr:uid="{00000000-0005-0000-0000-00006D0A0000}"/>
    <cellStyle name="Note 3 9" xfId="2567" xr:uid="{00000000-0005-0000-0000-00007C090000}"/>
    <cellStyle name="Note 3 9 2" xfId="3286" xr:uid="{00000000-0005-0000-0000-00006F0A0000}"/>
    <cellStyle name="Note 4" xfId="223" xr:uid="{00000000-0005-0000-0000-00007D090000}"/>
    <cellStyle name="Note 4 2" xfId="2288" xr:uid="{00000000-0005-0000-0000-00007E090000}"/>
    <cellStyle name="Note 4 2 2" xfId="2734" xr:uid="{00000000-0005-0000-0000-00007F090000}"/>
    <cellStyle name="Note 4 2 2 2" xfId="3119" xr:uid="{00000000-0005-0000-0000-0000730A0000}"/>
    <cellStyle name="Note 4 3" xfId="2289" xr:uid="{00000000-0005-0000-0000-000080090000}"/>
    <cellStyle name="Note 4 3 2" xfId="2735" xr:uid="{00000000-0005-0000-0000-000081090000}"/>
    <cellStyle name="Note 4 3 2 2" xfId="3118" xr:uid="{00000000-0005-0000-0000-0000760A0000}"/>
    <cellStyle name="Note 4 4" xfId="2290" xr:uid="{00000000-0005-0000-0000-000082090000}"/>
    <cellStyle name="Note 4 4 2" xfId="2736" xr:uid="{00000000-0005-0000-0000-000083090000}"/>
    <cellStyle name="Note 4 4 2 2" xfId="3117" xr:uid="{00000000-0005-0000-0000-0000790A0000}"/>
    <cellStyle name="Note 4 5" xfId="2291" xr:uid="{00000000-0005-0000-0000-000084090000}"/>
    <cellStyle name="Note 4 5 2" xfId="2737" xr:uid="{00000000-0005-0000-0000-000085090000}"/>
    <cellStyle name="Note 4 5 2 2" xfId="3116" xr:uid="{00000000-0005-0000-0000-00007C0A0000}"/>
    <cellStyle name="Note 4 6" xfId="2292" xr:uid="{00000000-0005-0000-0000-000086090000}"/>
    <cellStyle name="Note 4 6 2" xfId="2738" xr:uid="{00000000-0005-0000-0000-000087090000}"/>
    <cellStyle name="Note 4 6 2 2" xfId="3115" xr:uid="{00000000-0005-0000-0000-00007F0A0000}"/>
    <cellStyle name="Note 4 7" xfId="2293" xr:uid="{00000000-0005-0000-0000-000088090000}"/>
    <cellStyle name="Note 4 7 2" xfId="2739" xr:uid="{00000000-0005-0000-0000-000089090000}"/>
    <cellStyle name="Note 4 7 2 2" xfId="3114" xr:uid="{00000000-0005-0000-0000-0000820A0000}"/>
    <cellStyle name="Note 4 8" xfId="2287" xr:uid="{00000000-0005-0000-0000-00008A090000}"/>
    <cellStyle name="Note 4 8 2" xfId="2733" xr:uid="{00000000-0005-0000-0000-00008B090000}"/>
    <cellStyle name="Note 4 8 2 2" xfId="3120" xr:uid="{00000000-0005-0000-0000-0000850A0000}"/>
    <cellStyle name="Note 4 9" xfId="2568" xr:uid="{00000000-0005-0000-0000-00008C090000}"/>
    <cellStyle name="Note 4 9 2" xfId="3285" xr:uid="{00000000-0005-0000-0000-0000870A0000}"/>
    <cellStyle name="Note 5" xfId="224" xr:uid="{00000000-0005-0000-0000-00008D090000}"/>
    <cellStyle name="Note 5 2" xfId="2294" xr:uid="{00000000-0005-0000-0000-00008E090000}"/>
    <cellStyle name="Note 5 2 2" xfId="2740" xr:uid="{00000000-0005-0000-0000-00008F090000}"/>
    <cellStyle name="Note 5 2 2 2" xfId="3113" xr:uid="{00000000-0005-0000-0000-00008B0A0000}"/>
    <cellStyle name="Note 5 3" xfId="2295" xr:uid="{00000000-0005-0000-0000-000090090000}"/>
    <cellStyle name="Note 5 3 2" xfId="2741" xr:uid="{00000000-0005-0000-0000-000091090000}"/>
    <cellStyle name="Note 5 3 2 2" xfId="3112" xr:uid="{00000000-0005-0000-0000-00008E0A0000}"/>
    <cellStyle name="Note 5 4" xfId="2296" xr:uid="{00000000-0005-0000-0000-000092090000}"/>
    <cellStyle name="Note 5 4 2" xfId="2742" xr:uid="{00000000-0005-0000-0000-000093090000}"/>
    <cellStyle name="Note 5 4 2 2" xfId="3111" xr:uid="{00000000-0005-0000-0000-0000910A0000}"/>
    <cellStyle name="Note 5 5" xfId="2297" xr:uid="{00000000-0005-0000-0000-000094090000}"/>
    <cellStyle name="Note 5 5 2" xfId="2743" xr:uid="{00000000-0005-0000-0000-000095090000}"/>
    <cellStyle name="Note 5 5 2 2" xfId="3110" xr:uid="{00000000-0005-0000-0000-0000940A0000}"/>
    <cellStyle name="Note 5 6" xfId="2298" xr:uid="{00000000-0005-0000-0000-000096090000}"/>
    <cellStyle name="Note 5 6 2" xfId="2744" xr:uid="{00000000-0005-0000-0000-000097090000}"/>
    <cellStyle name="Note 5 6 2 2" xfId="3109" xr:uid="{00000000-0005-0000-0000-0000970A0000}"/>
    <cellStyle name="Note 5 7" xfId="2569" xr:uid="{00000000-0005-0000-0000-000098090000}"/>
    <cellStyle name="Note 5 7 2" xfId="3284" xr:uid="{00000000-0005-0000-0000-0000990A0000}"/>
    <cellStyle name="Note 6" xfId="225" xr:uid="{00000000-0005-0000-0000-000099090000}"/>
    <cellStyle name="Note 6 2" xfId="2299" xr:uid="{00000000-0005-0000-0000-00009A090000}"/>
    <cellStyle name="Note 6 2 2" xfId="2745" xr:uid="{00000000-0005-0000-0000-00009B090000}"/>
    <cellStyle name="Note 6 2 2 2" xfId="3108" xr:uid="{00000000-0005-0000-0000-00009D0A0000}"/>
    <cellStyle name="Note 6 3" xfId="2300" xr:uid="{00000000-0005-0000-0000-00009C090000}"/>
    <cellStyle name="Note 6 3 2" xfId="2746" xr:uid="{00000000-0005-0000-0000-00009D090000}"/>
    <cellStyle name="Note 6 3 2 2" xfId="3107" xr:uid="{00000000-0005-0000-0000-0000A00A0000}"/>
    <cellStyle name="Note 6 4" xfId="2301" xr:uid="{00000000-0005-0000-0000-00009E090000}"/>
    <cellStyle name="Note 6 4 2" xfId="2747" xr:uid="{00000000-0005-0000-0000-00009F090000}"/>
    <cellStyle name="Note 6 4 2 2" xfId="3106" xr:uid="{00000000-0005-0000-0000-0000A30A0000}"/>
    <cellStyle name="Note 6 5" xfId="2302" xr:uid="{00000000-0005-0000-0000-0000A0090000}"/>
    <cellStyle name="Note 6 5 2" xfId="2748" xr:uid="{00000000-0005-0000-0000-0000A1090000}"/>
    <cellStyle name="Note 6 5 2 2" xfId="3105" xr:uid="{00000000-0005-0000-0000-0000A60A0000}"/>
    <cellStyle name="Note 6 6" xfId="2303" xr:uid="{00000000-0005-0000-0000-0000A2090000}"/>
    <cellStyle name="Note 6 6 2" xfId="2749" xr:uid="{00000000-0005-0000-0000-0000A3090000}"/>
    <cellStyle name="Note 6 6 2 2" xfId="3104" xr:uid="{00000000-0005-0000-0000-0000A90A0000}"/>
    <cellStyle name="Note 6 7" xfId="2570" xr:uid="{00000000-0005-0000-0000-0000A4090000}"/>
    <cellStyle name="Note 6 7 2" xfId="3283" xr:uid="{00000000-0005-0000-0000-0000AB0A0000}"/>
    <cellStyle name="Note 7" xfId="226" xr:uid="{00000000-0005-0000-0000-0000A5090000}"/>
    <cellStyle name="Note 7 2" xfId="2304" xr:uid="{00000000-0005-0000-0000-0000A6090000}"/>
    <cellStyle name="Note 7 2 2" xfId="2750" xr:uid="{00000000-0005-0000-0000-0000A7090000}"/>
    <cellStyle name="Note 7 2 2 2" xfId="3103" xr:uid="{00000000-0005-0000-0000-0000AF0A0000}"/>
    <cellStyle name="Note 7 3" xfId="2305" xr:uid="{00000000-0005-0000-0000-0000A8090000}"/>
    <cellStyle name="Note 7 3 2" xfId="2751" xr:uid="{00000000-0005-0000-0000-0000A9090000}"/>
    <cellStyle name="Note 7 3 2 2" xfId="3102" xr:uid="{00000000-0005-0000-0000-0000B20A0000}"/>
    <cellStyle name="Note 7 4" xfId="2306" xr:uid="{00000000-0005-0000-0000-0000AA090000}"/>
    <cellStyle name="Note 7 4 2" xfId="2752" xr:uid="{00000000-0005-0000-0000-0000AB090000}"/>
    <cellStyle name="Note 7 4 2 2" xfId="3101" xr:uid="{00000000-0005-0000-0000-0000B50A0000}"/>
    <cellStyle name="Note 7 5" xfId="2307" xr:uid="{00000000-0005-0000-0000-0000AC090000}"/>
    <cellStyle name="Note 7 5 2" xfId="2753" xr:uid="{00000000-0005-0000-0000-0000AD090000}"/>
    <cellStyle name="Note 7 5 2 2" xfId="3100" xr:uid="{00000000-0005-0000-0000-0000B80A0000}"/>
    <cellStyle name="Note 7 6" xfId="2308" xr:uid="{00000000-0005-0000-0000-0000AE090000}"/>
    <cellStyle name="Note 7 6 2" xfId="2754" xr:uid="{00000000-0005-0000-0000-0000AF090000}"/>
    <cellStyle name="Note 7 6 2 2" xfId="3099" xr:uid="{00000000-0005-0000-0000-0000BB0A0000}"/>
    <cellStyle name="Note 7 7" xfId="2571" xr:uid="{00000000-0005-0000-0000-0000B0090000}"/>
    <cellStyle name="Note 7 7 2" xfId="3282" xr:uid="{00000000-0005-0000-0000-0000BD0A0000}"/>
    <cellStyle name="Note 8 2" xfId="2309" xr:uid="{00000000-0005-0000-0000-0000B1090000}"/>
    <cellStyle name="Note 8 2 2" xfId="2755" xr:uid="{00000000-0005-0000-0000-0000B2090000}"/>
    <cellStyle name="Note 8 2 2 2" xfId="3098" xr:uid="{00000000-0005-0000-0000-0000C00A0000}"/>
    <cellStyle name="Note 8 3" xfId="2310" xr:uid="{00000000-0005-0000-0000-0000B3090000}"/>
    <cellStyle name="Note 8 3 2" xfId="2756" xr:uid="{00000000-0005-0000-0000-0000B4090000}"/>
    <cellStyle name="Note 8 3 2 2" xfId="3097" xr:uid="{00000000-0005-0000-0000-0000C30A0000}"/>
    <cellStyle name="Note 8 4" xfId="2311" xr:uid="{00000000-0005-0000-0000-0000B5090000}"/>
    <cellStyle name="Note 8 4 2" xfId="2757" xr:uid="{00000000-0005-0000-0000-0000B6090000}"/>
    <cellStyle name="Note 8 4 2 2" xfId="3096" xr:uid="{00000000-0005-0000-0000-0000C60A0000}"/>
    <cellStyle name="Note 8 5" xfId="2312" xr:uid="{00000000-0005-0000-0000-0000B7090000}"/>
    <cellStyle name="Note 8 5 2" xfId="2758" xr:uid="{00000000-0005-0000-0000-0000B8090000}"/>
    <cellStyle name="Note 8 5 2 2" xfId="3095" xr:uid="{00000000-0005-0000-0000-0000C90A0000}"/>
    <cellStyle name="Note 8 6" xfId="2313" xr:uid="{00000000-0005-0000-0000-0000B9090000}"/>
    <cellStyle name="Note 8 6 2" xfId="2759" xr:uid="{00000000-0005-0000-0000-0000BA090000}"/>
    <cellStyle name="Note 8 6 2 2" xfId="3094" xr:uid="{00000000-0005-0000-0000-0000CC0A0000}"/>
    <cellStyle name="Note 9 2" xfId="2314" xr:uid="{00000000-0005-0000-0000-0000BB090000}"/>
    <cellStyle name="Note 9 2 2" xfId="2760" xr:uid="{00000000-0005-0000-0000-0000BC090000}"/>
    <cellStyle name="Note 9 2 2 2" xfId="3093" xr:uid="{00000000-0005-0000-0000-0000CF0A0000}"/>
    <cellStyle name="Note 9 3" xfId="2315" xr:uid="{00000000-0005-0000-0000-0000BD090000}"/>
    <cellStyle name="Note 9 3 2" xfId="2761" xr:uid="{00000000-0005-0000-0000-0000BE090000}"/>
    <cellStyle name="Note 9 3 2 2" xfId="3092" xr:uid="{00000000-0005-0000-0000-0000D20A0000}"/>
    <cellStyle name="Note 9 4" xfId="2316" xr:uid="{00000000-0005-0000-0000-0000BF090000}"/>
    <cellStyle name="Note 9 4 2" xfId="2762" xr:uid="{00000000-0005-0000-0000-0000C0090000}"/>
    <cellStyle name="Note 9 4 2 2" xfId="3091" xr:uid="{00000000-0005-0000-0000-0000D50A0000}"/>
    <cellStyle name="Note 9 5" xfId="2317" xr:uid="{00000000-0005-0000-0000-0000C1090000}"/>
    <cellStyle name="Note 9 5 2" xfId="2763" xr:uid="{00000000-0005-0000-0000-0000C2090000}"/>
    <cellStyle name="Note 9 5 2 2" xfId="3090" xr:uid="{00000000-0005-0000-0000-0000D80A0000}"/>
    <cellStyle name="Note 9 6" xfId="2318" xr:uid="{00000000-0005-0000-0000-0000C3090000}"/>
    <cellStyle name="Note 9 6 2" xfId="2764" xr:uid="{00000000-0005-0000-0000-0000C4090000}"/>
    <cellStyle name="Note 9 6 2 2" xfId="3089" xr:uid="{00000000-0005-0000-0000-0000DB0A0000}"/>
    <cellStyle name="Number" xfId="227" xr:uid="{00000000-0005-0000-0000-0000C5090000}"/>
    <cellStyle name="Output 10 2" xfId="2319" xr:uid="{00000000-0005-0000-0000-0000C6090000}"/>
    <cellStyle name="Output 10 2 2" xfId="2552" xr:uid="{00000000-0005-0000-0000-0000C7090000}"/>
    <cellStyle name="Output 10 2 2 2" xfId="3301" xr:uid="{00000000-0005-0000-0000-0000DF0A0000}"/>
    <cellStyle name="Output 10 2 3" xfId="3417" xr:uid="{00000000-0005-0000-0000-0000E00A0000}"/>
    <cellStyle name="Output 10 3" xfId="2320" xr:uid="{00000000-0005-0000-0000-0000C8090000}"/>
    <cellStyle name="Output 10 3 2" xfId="2601" xr:uid="{00000000-0005-0000-0000-0000C9090000}"/>
    <cellStyle name="Output 10 3 2 2" xfId="3252" xr:uid="{00000000-0005-0000-0000-0000E30A0000}"/>
    <cellStyle name="Output 10 3 3" xfId="3416" xr:uid="{00000000-0005-0000-0000-0000E40A0000}"/>
    <cellStyle name="Output 10 4" xfId="2321" xr:uid="{00000000-0005-0000-0000-0000CA090000}"/>
    <cellStyle name="Output 10 4 2" xfId="2602" xr:uid="{00000000-0005-0000-0000-0000CB090000}"/>
    <cellStyle name="Output 10 4 2 2" xfId="3251" xr:uid="{00000000-0005-0000-0000-0000E70A0000}"/>
    <cellStyle name="Output 10 4 3" xfId="3415" xr:uid="{00000000-0005-0000-0000-0000E80A0000}"/>
    <cellStyle name="Output 10 5" xfId="2322" xr:uid="{00000000-0005-0000-0000-0000CC090000}"/>
    <cellStyle name="Output 10 5 2" xfId="2553" xr:uid="{00000000-0005-0000-0000-0000CD090000}"/>
    <cellStyle name="Output 10 5 2 2" xfId="3300" xr:uid="{00000000-0005-0000-0000-0000EB0A0000}"/>
    <cellStyle name="Output 10 5 3" xfId="3414" xr:uid="{00000000-0005-0000-0000-0000EC0A0000}"/>
    <cellStyle name="Output 10 6" xfId="2323" xr:uid="{00000000-0005-0000-0000-0000CE090000}"/>
    <cellStyle name="Output 10 6 2" xfId="2551" xr:uid="{00000000-0005-0000-0000-0000CF090000}"/>
    <cellStyle name="Output 10 6 2 2" xfId="3302" xr:uid="{00000000-0005-0000-0000-0000EF0A0000}"/>
    <cellStyle name="Output 10 6 3" xfId="3413" xr:uid="{00000000-0005-0000-0000-0000F00A0000}"/>
    <cellStyle name="Output 11 2" xfId="2324" xr:uid="{00000000-0005-0000-0000-0000D0090000}"/>
    <cellStyle name="Output 11 2 2" xfId="2550" xr:uid="{00000000-0005-0000-0000-0000D1090000}"/>
    <cellStyle name="Output 11 2 2 2" xfId="3303" xr:uid="{00000000-0005-0000-0000-0000F30A0000}"/>
    <cellStyle name="Output 11 2 3" xfId="3412" xr:uid="{00000000-0005-0000-0000-0000F40A0000}"/>
    <cellStyle name="Output 11 3" xfId="2325" xr:uid="{00000000-0005-0000-0000-0000D2090000}"/>
    <cellStyle name="Output 11 3 2" xfId="2549" xr:uid="{00000000-0005-0000-0000-0000D3090000}"/>
    <cellStyle name="Output 11 3 2 2" xfId="3304" xr:uid="{00000000-0005-0000-0000-0000F70A0000}"/>
    <cellStyle name="Output 11 3 3" xfId="3411" xr:uid="{00000000-0005-0000-0000-0000F80A0000}"/>
    <cellStyle name="Output 11 4" xfId="2326" xr:uid="{00000000-0005-0000-0000-0000D4090000}"/>
    <cellStyle name="Output 11 4 2" xfId="2548" xr:uid="{00000000-0005-0000-0000-0000D5090000}"/>
    <cellStyle name="Output 11 4 2 2" xfId="3305" xr:uid="{00000000-0005-0000-0000-0000FB0A0000}"/>
    <cellStyle name="Output 11 4 3" xfId="3410" xr:uid="{00000000-0005-0000-0000-0000FC0A0000}"/>
    <cellStyle name="Output 11 5" xfId="2327" xr:uid="{00000000-0005-0000-0000-0000D6090000}"/>
    <cellStyle name="Output 11 5 2" xfId="2547" xr:uid="{00000000-0005-0000-0000-0000D7090000}"/>
    <cellStyle name="Output 11 5 2 2" xfId="3306" xr:uid="{00000000-0005-0000-0000-0000FF0A0000}"/>
    <cellStyle name="Output 11 5 3" xfId="3409" xr:uid="{00000000-0005-0000-0000-0000000B0000}"/>
    <cellStyle name="Output 11 6" xfId="2328" xr:uid="{00000000-0005-0000-0000-0000D8090000}"/>
    <cellStyle name="Output 11 6 2" xfId="2600" xr:uid="{00000000-0005-0000-0000-0000D9090000}"/>
    <cellStyle name="Output 11 6 2 2" xfId="3253" xr:uid="{00000000-0005-0000-0000-0000030B0000}"/>
    <cellStyle name="Output 11 6 3" xfId="3408" xr:uid="{00000000-0005-0000-0000-0000040B0000}"/>
    <cellStyle name="Output 2" xfId="228" xr:uid="{00000000-0005-0000-0000-0000DA090000}"/>
    <cellStyle name="Output 2 2" xfId="2329" xr:uid="{00000000-0005-0000-0000-0000DB090000}"/>
    <cellStyle name="Output 2 2 2" xfId="2599" xr:uid="{00000000-0005-0000-0000-0000DC090000}"/>
    <cellStyle name="Output 2 2 2 2" xfId="3254" xr:uid="{00000000-0005-0000-0000-0000080B0000}"/>
    <cellStyle name="Output 2 2 3" xfId="3407" xr:uid="{00000000-0005-0000-0000-0000090B0000}"/>
    <cellStyle name="Output 2 3" xfId="2330" xr:uid="{00000000-0005-0000-0000-0000DD090000}"/>
    <cellStyle name="Output 2 3 2" xfId="2598" xr:uid="{00000000-0005-0000-0000-0000DE090000}"/>
    <cellStyle name="Output 2 3 2 2" xfId="3255" xr:uid="{00000000-0005-0000-0000-00000C0B0000}"/>
    <cellStyle name="Output 2 3 3" xfId="3406" xr:uid="{00000000-0005-0000-0000-00000D0B0000}"/>
    <cellStyle name="Output 2 4" xfId="2331" xr:uid="{00000000-0005-0000-0000-0000DF090000}"/>
    <cellStyle name="Output 2 4 2" xfId="2597" xr:uid="{00000000-0005-0000-0000-0000E0090000}"/>
    <cellStyle name="Output 2 4 2 2" xfId="3256" xr:uid="{00000000-0005-0000-0000-0000100B0000}"/>
    <cellStyle name="Output 2 4 3" xfId="3405" xr:uid="{00000000-0005-0000-0000-0000110B0000}"/>
    <cellStyle name="Output 2 5" xfId="2332" xr:uid="{00000000-0005-0000-0000-0000E1090000}"/>
    <cellStyle name="Output 2 5 2" xfId="2596" xr:uid="{00000000-0005-0000-0000-0000E2090000}"/>
    <cellStyle name="Output 2 5 2 2" xfId="3257" xr:uid="{00000000-0005-0000-0000-0000140B0000}"/>
    <cellStyle name="Output 2 5 3" xfId="3404" xr:uid="{00000000-0005-0000-0000-0000150B0000}"/>
    <cellStyle name="Output 2 6" xfId="2333" xr:uid="{00000000-0005-0000-0000-0000E3090000}"/>
    <cellStyle name="Output 2 6 2" xfId="2595" xr:uid="{00000000-0005-0000-0000-0000E4090000}"/>
    <cellStyle name="Output 2 6 2 2" xfId="3258" xr:uid="{00000000-0005-0000-0000-0000180B0000}"/>
    <cellStyle name="Output 2 6 3" xfId="3403" xr:uid="{00000000-0005-0000-0000-0000190B0000}"/>
    <cellStyle name="Output 2 7" xfId="2777" xr:uid="{00000000-0005-0000-0000-0000E5090000}"/>
    <cellStyle name="Output 2 7 2" xfId="3076" xr:uid="{00000000-0005-0000-0000-00001B0B0000}"/>
    <cellStyle name="Output 2 8" xfId="3426" xr:uid="{00000000-0005-0000-0000-00001C0B0000}"/>
    <cellStyle name="Output 3" xfId="229" xr:uid="{00000000-0005-0000-0000-0000E6090000}"/>
    <cellStyle name="Output 3 10" xfId="3425" xr:uid="{00000000-0005-0000-0000-00001E0B0000}"/>
    <cellStyle name="Output 3 2" xfId="2335" xr:uid="{00000000-0005-0000-0000-0000E7090000}"/>
    <cellStyle name="Output 3 2 2" xfId="2593" xr:uid="{00000000-0005-0000-0000-0000E8090000}"/>
    <cellStyle name="Output 3 2 2 2" xfId="3260" xr:uid="{00000000-0005-0000-0000-0000210B0000}"/>
    <cellStyle name="Output 3 2 3" xfId="3401" xr:uid="{00000000-0005-0000-0000-0000220B0000}"/>
    <cellStyle name="Output 3 3" xfId="2336" xr:uid="{00000000-0005-0000-0000-0000E9090000}"/>
    <cellStyle name="Output 3 3 2" xfId="2592" xr:uid="{00000000-0005-0000-0000-0000EA090000}"/>
    <cellStyle name="Output 3 3 2 2" xfId="3261" xr:uid="{00000000-0005-0000-0000-0000250B0000}"/>
    <cellStyle name="Output 3 3 3" xfId="3400" xr:uid="{00000000-0005-0000-0000-0000260B0000}"/>
    <cellStyle name="Output 3 4" xfId="2337" xr:uid="{00000000-0005-0000-0000-0000EB090000}"/>
    <cellStyle name="Output 3 4 2" xfId="2546" xr:uid="{00000000-0005-0000-0000-0000EC090000}"/>
    <cellStyle name="Output 3 4 2 2" xfId="3307" xr:uid="{00000000-0005-0000-0000-0000290B0000}"/>
    <cellStyle name="Output 3 4 3" xfId="3399" xr:uid="{00000000-0005-0000-0000-00002A0B0000}"/>
    <cellStyle name="Output 3 5" xfId="2338" xr:uid="{00000000-0005-0000-0000-0000ED090000}"/>
    <cellStyle name="Output 3 5 2" xfId="2591" xr:uid="{00000000-0005-0000-0000-0000EE090000}"/>
    <cellStyle name="Output 3 5 2 2" xfId="3262" xr:uid="{00000000-0005-0000-0000-00002D0B0000}"/>
    <cellStyle name="Output 3 5 3" xfId="3398" xr:uid="{00000000-0005-0000-0000-00002E0B0000}"/>
    <cellStyle name="Output 3 6" xfId="2339" xr:uid="{00000000-0005-0000-0000-0000EF090000}"/>
    <cellStyle name="Output 3 6 2" xfId="2590" xr:uid="{00000000-0005-0000-0000-0000F0090000}"/>
    <cellStyle name="Output 3 6 2 2" xfId="3263" xr:uid="{00000000-0005-0000-0000-0000310B0000}"/>
    <cellStyle name="Output 3 6 3" xfId="3397" xr:uid="{00000000-0005-0000-0000-0000320B0000}"/>
    <cellStyle name="Output 3 7" xfId="2340" xr:uid="{00000000-0005-0000-0000-0000F1090000}"/>
    <cellStyle name="Output 3 7 2" xfId="2589" xr:uid="{00000000-0005-0000-0000-0000F2090000}"/>
    <cellStyle name="Output 3 7 2 2" xfId="3264" xr:uid="{00000000-0005-0000-0000-0000350B0000}"/>
    <cellStyle name="Output 3 7 3" xfId="3396" xr:uid="{00000000-0005-0000-0000-0000360B0000}"/>
    <cellStyle name="Output 3 8" xfId="2334" xr:uid="{00000000-0005-0000-0000-0000F3090000}"/>
    <cellStyle name="Output 3 8 2" xfId="2594" xr:uid="{00000000-0005-0000-0000-0000F4090000}"/>
    <cellStyle name="Output 3 8 2 2" xfId="3259" xr:uid="{00000000-0005-0000-0000-0000390B0000}"/>
    <cellStyle name="Output 3 8 3" xfId="3402" xr:uid="{00000000-0005-0000-0000-00003A0B0000}"/>
    <cellStyle name="Output 3 9" xfId="2776" xr:uid="{00000000-0005-0000-0000-0000F5090000}"/>
    <cellStyle name="Output 3 9 2" xfId="3077" xr:uid="{00000000-0005-0000-0000-00003C0B0000}"/>
    <cellStyle name="Output 4" xfId="230" xr:uid="{00000000-0005-0000-0000-0000F6090000}"/>
    <cellStyle name="Output 4 10" xfId="3424" xr:uid="{00000000-0005-0000-0000-00003E0B0000}"/>
    <cellStyle name="Output 4 2" xfId="2342" xr:uid="{00000000-0005-0000-0000-0000F7090000}"/>
    <cellStyle name="Output 4 2 2" xfId="2587" xr:uid="{00000000-0005-0000-0000-0000F8090000}"/>
    <cellStyle name="Output 4 2 2 2" xfId="3266" xr:uid="{00000000-0005-0000-0000-0000410B0000}"/>
    <cellStyle name="Output 4 2 3" xfId="3394" xr:uid="{00000000-0005-0000-0000-0000420B0000}"/>
    <cellStyle name="Output 4 3" xfId="2343" xr:uid="{00000000-0005-0000-0000-0000F9090000}"/>
    <cellStyle name="Output 4 3 2" xfId="2586" xr:uid="{00000000-0005-0000-0000-0000FA090000}"/>
    <cellStyle name="Output 4 3 2 2" xfId="3267" xr:uid="{00000000-0005-0000-0000-0000450B0000}"/>
    <cellStyle name="Output 4 3 3" xfId="3393" xr:uid="{00000000-0005-0000-0000-0000460B0000}"/>
    <cellStyle name="Output 4 4" xfId="2344" xr:uid="{00000000-0005-0000-0000-0000FB090000}"/>
    <cellStyle name="Output 4 4 2" xfId="2585" xr:uid="{00000000-0005-0000-0000-0000FC090000}"/>
    <cellStyle name="Output 4 4 2 2" xfId="3268" xr:uid="{00000000-0005-0000-0000-0000490B0000}"/>
    <cellStyle name="Output 4 4 3" xfId="3392" xr:uid="{00000000-0005-0000-0000-00004A0B0000}"/>
    <cellStyle name="Output 4 5" xfId="2345" xr:uid="{00000000-0005-0000-0000-0000FD090000}"/>
    <cellStyle name="Output 4 5 2" xfId="2584" xr:uid="{00000000-0005-0000-0000-0000FE090000}"/>
    <cellStyle name="Output 4 5 2 2" xfId="3269" xr:uid="{00000000-0005-0000-0000-00004D0B0000}"/>
    <cellStyle name="Output 4 5 3" xfId="3391" xr:uid="{00000000-0005-0000-0000-00004E0B0000}"/>
    <cellStyle name="Output 4 6" xfId="2346" xr:uid="{00000000-0005-0000-0000-0000FF090000}"/>
    <cellStyle name="Output 4 6 2" xfId="2583" xr:uid="{00000000-0005-0000-0000-0000000A0000}"/>
    <cellStyle name="Output 4 6 2 2" xfId="3270" xr:uid="{00000000-0005-0000-0000-0000510B0000}"/>
    <cellStyle name="Output 4 6 3" xfId="3390" xr:uid="{00000000-0005-0000-0000-0000520B0000}"/>
    <cellStyle name="Output 4 7" xfId="2347" xr:uid="{00000000-0005-0000-0000-0000010A0000}"/>
    <cellStyle name="Output 4 7 2" xfId="2582" xr:uid="{00000000-0005-0000-0000-0000020A0000}"/>
    <cellStyle name="Output 4 7 2 2" xfId="3271" xr:uid="{00000000-0005-0000-0000-0000550B0000}"/>
    <cellStyle name="Output 4 7 3" xfId="3389" xr:uid="{00000000-0005-0000-0000-0000560B0000}"/>
    <cellStyle name="Output 4 8" xfId="2341" xr:uid="{00000000-0005-0000-0000-0000030A0000}"/>
    <cellStyle name="Output 4 8 2" xfId="2588" xr:uid="{00000000-0005-0000-0000-0000040A0000}"/>
    <cellStyle name="Output 4 8 2 2" xfId="3265" xr:uid="{00000000-0005-0000-0000-0000590B0000}"/>
    <cellStyle name="Output 4 8 3" xfId="3395" xr:uid="{00000000-0005-0000-0000-00005A0B0000}"/>
    <cellStyle name="Output 4 9" xfId="2775" xr:uid="{00000000-0005-0000-0000-0000050A0000}"/>
    <cellStyle name="Output 4 9 2" xfId="3078" xr:uid="{00000000-0005-0000-0000-00005C0B0000}"/>
    <cellStyle name="Output 5" xfId="231" xr:uid="{00000000-0005-0000-0000-0000060A0000}"/>
    <cellStyle name="Output 5 2" xfId="2348" xr:uid="{00000000-0005-0000-0000-0000070A0000}"/>
    <cellStyle name="Output 5 2 2" xfId="2545" xr:uid="{00000000-0005-0000-0000-0000080A0000}"/>
    <cellStyle name="Output 5 2 2 2" xfId="3308" xr:uid="{00000000-0005-0000-0000-0000600B0000}"/>
    <cellStyle name="Output 5 2 3" xfId="3388" xr:uid="{00000000-0005-0000-0000-0000610B0000}"/>
    <cellStyle name="Output 5 3" xfId="2349" xr:uid="{00000000-0005-0000-0000-0000090A0000}"/>
    <cellStyle name="Output 5 3 2" xfId="2581" xr:uid="{00000000-0005-0000-0000-00000A0A0000}"/>
    <cellStyle name="Output 5 3 2 2" xfId="3272" xr:uid="{00000000-0005-0000-0000-0000640B0000}"/>
    <cellStyle name="Output 5 3 3" xfId="3387" xr:uid="{00000000-0005-0000-0000-0000650B0000}"/>
    <cellStyle name="Output 5 4" xfId="2350" xr:uid="{00000000-0005-0000-0000-00000B0A0000}"/>
    <cellStyle name="Output 5 4 2" xfId="2580" xr:uid="{00000000-0005-0000-0000-00000C0A0000}"/>
    <cellStyle name="Output 5 4 2 2" xfId="3273" xr:uid="{00000000-0005-0000-0000-0000680B0000}"/>
    <cellStyle name="Output 5 4 3" xfId="3386" xr:uid="{00000000-0005-0000-0000-0000690B0000}"/>
    <cellStyle name="Output 5 5" xfId="2351" xr:uid="{00000000-0005-0000-0000-00000D0A0000}"/>
    <cellStyle name="Output 5 5 2" xfId="2579" xr:uid="{00000000-0005-0000-0000-00000E0A0000}"/>
    <cellStyle name="Output 5 5 2 2" xfId="3274" xr:uid="{00000000-0005-0000-0000-00006C0B0000}"/>
    <cellStyle name="Output 5 5 3" xfId="3385" xr:uid="{00000000-0005-0000-0000-00006D0B0000}"/>
    <cellStyle name="Output 5 6" xfId="2352" xr:uid="{00000000-0005-0000-0000-00000F0A0000}"/>
    <cellStyle name="Output 5 6 2" xfId="2578" xr:uid="{00000000-0005-0000-0000-0000100A0000}"/>
    <cellStyle name="Output 5 6 2 2" xfId="3275" xr:uid="{00000000-0005-0000-0000-0000700B0000}"/>
    <cellStyle name="Output 5 6 3" xfId="3384" xr:uid="{00000000-0005-0000-0000-0000710B0000}"/>
    <cellStyle name="Output 5 7" xfId="2774" xr:uid="{00000000-0005-0000-0000-0000110A0000}"/>
    <cellStyle name="Output 5 7 2" xfId="3079" xr:uid="{00000000-0005-0000-0000-0000730B0000}"/>
    <cellStyle name="Output 5 8" xfId="3423" xr:uid="{00000000-0005-0000-0000-0000740B0000}"/>
    <cellStyle name="Output 6" xfId="232" xr:uid="{00000000-0005-0000-0000-0000120A0000}"/>
    <cellStyle name="Output 6 2" xfId="2353" xr:uid="{00000000-0005-0000-0000-0000130A0000}"/>
    <cellStyle name="Output 6 2 2" xfId="2577" xr:uid="{00000000-0005-0000-0000-0000140A0000}"/>
    <cellStyle name="Output 6 2 2 2" xfId="3276" xr:uid="{00000000-0005-0000-0000-0000780B0000}"/>
    <cellStyle name="Output 6 2 3" xfId="3383" xr:uid="{00000000-0005-0000-0000-0000790B0000}"/>
    <cellStyle name="Output 6 3" xfId="2354" xr:uid="{00000000-0005-0000-0000-0000150A0000}"/>
    <cellStyle name="Output 6 3 2" xfId="2576" xr:uid="{00000000-0005-0000-0000-0000160A0000}"/>
    <cellStyle name="Output 6 3 2 2" xfId="3277" xr:uid="{00000000-0005-0000-0000-00007C0B0000}"/>
    <cellStyle name="Output 6 3 3" xfId="3382" xr:uid="{00000000-0005-0000-0000-00007D0B0000}"/>
    <cellStyle name="Output 6 4" xfId="2355" xr:uid="{00000000-0005-0000-0000-0000170A0000}"/>
    <cellStyle name="Output 6 4 2" xfId="2575" xr:uid="{00000000-0005-0000-0000-0000180A0000}"/>
    <cellStyle name="Output 6 4 2 2" xfId="3278" xr:uid="{00000000-0005-0000-0000-0000800B0000}"/>
    <cellStyle name="Output 6 4 3" xfId="3381" xr:uid="{00000000-0005-0000-0000-0000810B0000}"/>
    <cellStyle name="Output 6 5" xfId="2356" xr:uid="{00000000-0005-0000-0000-0000190A0000}"/>
    <cellStyle name="Output 6 5 2" xfId="2574" xr:uid="{00000000-0005-0000-0000-00001A0A0000}"/>
    <cellStyle name="Output 6 5 2 2" xfId="3279" xr:uid="{00000000-0005-0000-0000-0000840B0000}"/>
    <cellStyle name="Output 6 5 3" xfId="3380" xr:uid="{00000000-0005-0000-0000-0000850B0000}"/>
    <cellStyle name="Output 6 6" xfId="2357" xr:uid="{00000000-0005-0000-0000-00001B0A0000}"/>
    <cellStyle name="Output 6 6 2" xfId="2573" xr:uid="{00000000-0005-0000-0000-00001C0A0000}"/>
    <cellStyle name="Output 6 6 2 2" xfId="3280" xr:uid="{00000000-0005-0000-0000-0000880B0000}"/>
    <cellStyle name="Output 6 6 3" xfId="3379" xr:uid="{00000000-0005-0000-0000-0000890B0000}"/>
    <cellStyle name="Output 6 7" xfId="2773" xr:uid="{00000000-0005-0000-0000-00001D0A0000}"/>
    <cellStyle name="Output 6 7 2" xfId="3080" xr:uid="{00000000-0005-0000-0000-00008B0B0000}"/>
    <cellStyle name="Output 6 8" xfId="3422" xr:uid="{00000000-0005-0000-0000-00008C0B0000}"/>
    <cellStyle name="Output 7" xfId="233" xr:uid="{00000000-0005-0000-0000-00001E0A0000}"/>
    <cellStyle name="Output 7 2" xfId="2358" xr:uid="{00000000-0005-0000-0000-00001F0A0000}"/>
    <cellStyle name="Output 7 2 2" xfId="2572" xr:uid="{00000000-0005-0000-0000-0000200A0000}"/>
    <cellStyle name="Output 7 2 2 2" xfId="3281" xr:uid="{00000000-0005-0000-0000-0000900B0000}"/>
    <cellStyle name="Output 7 2 3" xfId="3378" xr:uid="{00000000-0005-0000-0000-0000910B0000}"/>
    <cellStyle name="Output 7 3" xfId="2359" xr:uid="{00000000-0005-0000-0000-0000210A0000}"/>
    <cellStyle name="Output 7 3 2" xfId="2542" xr:uid="{00000000-0005-0000-0000-0000220A0000}"/>
    <cellStyle name="Output 7 3 2 2" xfId="3311" xr:uid="{00000000-0005-0000-0000-0000940B0000}"/>
    <cellStyle name="Output 7 3 3" xfId="3377" xr:uid="{00000000-0005-0000-0000-0000950B0000}"/>
    <cellStyle name="Output 7 4" xfId="2360" xr:uid="{00000000-0005-0000-0000-0000230A0000}"/>
    <cellStyle name="Output 7 4 2" xfId="2544" xr:uid="{00000000-0005-0000-0000-0000240A0000}"/>
    <cellStyle name="Output 7 4 2 2" xfId="3309" xr:uid="{00000000-0005-0000-0000-0000980B0000}"/>
    <cellStyle name="Output 7 4 3" xfId="3376" xr:uid="{00000000-0005-0000-0000-0000990B0000}"/>
    <cellStyle name="Output 7 5" xfId="2361" xr:uid="{00000000-0005-0000-0000-0000250A0000}"/>
    <cellStyle name="Output 7 5 2" xfId="2543" xr:uid="{00000000-0005-0000-0000-0000260A0000}"/>
    <cellStyle name="Output 7 5 2 2" xfId="3310" xr:uid="{00000000-0005-0000-0000-00009C0B0000}"/>
    <cellStyle name="Output 7 5 3" xfId="3375" xr:uid="{00000000-0005-0000-0000-00009D0B0000}"/>
    <cellStyle name="Output 7 6" xfId="2362" xr:uid="{00000000-0005-0000-0000-0000270A0000}"/>
    <cellStyle name="Output 7 6 2" xfId="2778" xr:uid="{00000000-0005-0000-0000-0000280A0000}"/>
    <cellStyle name="Output 7 6 2 2" xfId="3075" xr:uid="{00000000-0005-0000-0000-0000A00B0000}"/>
    <cellStyle name="Output 7 6 3" xfId="3374" xr:uid="{00000000-0005-0000-0000-0000A10B0000}"/>
    <cellStyle name="Output 7 7" xfId="2772" xr:uid="{00000000-0005-0000-0000-0000290A0000}"/>
    <cellStyle name="Output 7 7 2" xfId="3081" xr:uid="{00000000-0005-0000-0000-0000A30B0000}"/>
    <cellStyle name="Output 7 8" xfId="3421" xr:uid="{00000000-0005-0000-0000-0000A40B0000}"/>
    <cellStyle name="Output 8 2" xfId="2363" xr:uid="{00000000-0005-0000-0000-00002A0A0000}"/>
    <cellStyle name="Output 8 2 2" xfId="2779" xr:uid="{00000000-0005-0000-0000-00002B0A0000}"/>
    <cellStyle name="Output 8 2 2 2" xfId="3074" xr:uid="{00000000-0005-0000-0000-0000A70B0000}"/>
    <cellStyle name="Output 8 2 3" xfId="3373" xr:uid="{00000000-0005-0000-0000-0000A80B0000}"/>
    <cellStyle name="Output 8 3" xfId="2364" xr:uid="{00000000-0005-0000-0000-00002C0A0000}"/>
    <cellStyle name="Output 8 3 2" xfId="2780" xr:uid="{00000000-0005-0000-0000-00002D0A0000}"/>
    <cellStyle name="Output 8 3 2 2" xfId="3073" xr:uid="{00000000-0005-0000-0000-0000AB0B0000}"/>
    <cellStyle name="Output 8 3 3" xfId="3372" xr:uid="{00000000-0005-0000-0000-0000AC0B0000}"/>
    <cellStyle name="Output 8 4" xfId="2365" xr:uid="{00000000-0005-0000-0000-00002E0A0000}"/>
    <cellStyle name="Output 8 4 2" xfId="2781" xr:uid="{00000000-0005-0000-0000-00002F0A0000}"/>
    <cellStyle name="Output 8 4 2 2" xfId="3072" xr:uid="{00000000-0005-0000-0000-0000AF0B0000}"/>
    <cellStyle name="Output 8 4 3" xfId="3371" xr:uid="{00000000-0005-0000-0000-0000B00B0000}"/>
    <cellStyle name="Output 8 5" xfId="2366" xr:uid="{00000000-0005-0000-0000-0000300A0000}"/>
    <cellStyle name="Output 8 5 2" xfId="2782" xr:uid="{00000000-0005-0000-0000-0000310A0000}"/>
    <cellStyle name="Output 8 5 2 2" xfId="3029" xr:uid="{00000000-0005-0000-0000-0000B30B0000}"/>
    <cellStyle name="Output 8 5 3" xfId="3370" xr:uid="{00000000-0005-0000-0000-0000B40B0000}"/>
    <cellStyle name="Output 8 6" xfId="2367" xr:uid="{00000000-0005-0000-0000-0000320A0000}"/>
    <cellStyle name="Output 8 6 2" xfId="2783" xr:uid="{00000000-0005-0000-0000-0000330A0000}"/>
    <cellStyle name="Output 8 6 2 2" xfId="3070" xr:uid="{00000000-0005-0000-0000-0000B70B0000}"/>
    <cellStyle name="Output 8 6 3" xfId="3369" xr:uid="{00000000-0005-0000-0000-0000B80B0000}"/>
    <cellStyle name="Output 9 2" xfId="2368" xr:uid="{00000000-0005-0000-0000-0000340A0000}"/>
    <cellStyle name="Output 9 2 2" xfId="2784" xr:uid="{00000000-0005-0000-0000-0000350A0000}"/>
    <cellStyle name="Output 9 2 2 2" xfId="3071" xr:uid="{00000000-0005-0000-0000-0000BB0B0000}"/>
    <cellStyle name="Output 9 2 3" xfId="3368" xr:uid="{00000000-0005-0000-0000-0000BC0B0000}"/>
    <cellStyle name="Output 9 3" xfId="2369" xr:uid="{00000000-0005-0000-0000-0000360A0000}"/>
    <cellStyle name="Output 9 3 2" xfId="2785" xr:uid="{00000000-0005-0000-0000-0000370A0000}"/>
    <cellStyle name="Output 9 3 2 2" xfId="3031" xr:uid="{00000000-0005-0000-0000-0000BF0B0000}"/>
    <cellStyle name="Output 9 3 3" xfId="3367" xr:uid="{00000000-0005-0000-0000-0000C00B0000}"/>
    <cellStyle name="Output 9 4" xfId="2370" xr:uid="{00000000-0005-0000-0000-0000380A0000}"/>
    <cellStyle name="Output 9 4 2" xfId="2786" xr:uid="{00000000-0005-0000-0000-0000390A0000}"/>
    <cellStyle name="Output 9 4 2 2" xfId="3028" xr:uid="{00000000-0005-0000-0000-0000C30B0000}"/>
    <cellStyle name="Output 9 4 3" xfId="3366" xr:uid="{00000000-0005-0000-0000-0000C40B0000}"/>
    <cellStyle name="Output 9 5" xfId="2371" xr:uid="{00000000-0005-0000-0000-00003A0A0000}"/>
    <cellStyle name="Output 9 5 2" xfId="2787" xr:uid="{00000000-0005-0000-0000-00003B0A0000}"/>
    <cellStyle name="Output 9 5 2 2" xfId="3027" xr:uid="{00000000-0005-0000-0000-0000C70B0000}"/>
    <cellStyle name="Output 9 5 3" xfId="3365" xr:uid="{00000000-0005-0000-0000-0000C80B0000}"/>
    <cellStyle name="Output 9 6" xfId="2372" xr:uid="{00000000-0005-0000-0000-00003C0A0000}"/>
    <cellStyle name="Output 9 6 2" xfId="2788" xr:uid="{00000000-0005-0000-0000-00003D0A0000}"/>
    <cellStyle name="Output 9 6 2 2" xfId="3026" xr:uid="{00000000-0005-0000-0000-0000CB0B0000}"/>
    <cellStyle name="Output 9 6 3" xfId="3364" xr:uid="{00000000-0005-0000-0000-0000CC0B0000}"/>
    <cellStyle name="Rounding" xfId="234" xr:uid="{00000000-0005-0000-0000-00003E0A0000}"/>
    <cellStyle name="Sheet Title" xfId="235" xr:uid="{00000000-0005-0000-0000-00003F0A0000}"/>
    <cellStyle name="Single Border" xfId="236" xr:uid="{00000000-0005-0000-0000-0000400A0000}"/>
    <cellStyle name="Single Underline" xfId="237" xr:uid="{00000000-0005-0000-0000-0000410A0000}"/>
    <cellStyle name="STYLE1" xfId="238" xr:uid="{00000000-0005-0000-0000-0000420A0000}"/>
    <cellStyle name="STYLE2" xfId="239" xr:uid="{00000000-0005-0000-0000-0000430A0000}"/>
    <cellStyle name="Title 10 2" xfId="2373" xr:uid="{00000000-0005-0000-0000-0000440A0000}"/>
    <cellStyle name="Title 10 3" xfId="2374" xr:uid="{00000000-0005-0000-0000-0000450A0000}"/>
    <cellStyle name="Title 10 4" xfId="2375" xr:uid="{00000000-0005-0000-0000-0000460A0000}"/>
    <cellStyle name="Title 10 5" xfId="2376" xr:uid="{00000000-0005-0000-0000-0000470A0000}"/>
    <cellStyle name="Title 10 6" xfId="2377" xr:uid="{00000000-0005-0000-0000-0000480A0000}"/>
    <cellStyle name="Title 11 2" xfId="2378" xr:uid="{00000000-0005-0000-0000-0000490A0000}"/>
    <cellStyle name="Title 11 3" xfId="2379" xr:uid="{00000000-0005-0000-0000-00004A0A0000}"/>
    <cellStyle name="Title 11 4" xfId="2380" xr:uid="{00000000-0005-0000-0000-00004B0A0000}"/>
    <cellStyle name="Title 11 5" xfId="2381" xr:uid="{00000000-0005-0000-0000-00004C0A0000}"/>
    <cellStyle name="Title 11 6" xfId="2382" xr:uid="{00000000-0005-0000-0000-00004D0A0000}"/>
    <cellStyle name="Title 2" xfId="2383" xr:uid="{00000000-0005-0000-0000-00004E0A0000}"/>
    <cellStyle name="Title 2 2" xfId="2384" xr:uid="{00000000-0005-0000-0000-00004F0A0000}"/>
    <cellStyle name="Title 2 3" xfId="2385" xr:uid="{00000000-0005-0000-0000-0000500A0000}"/>
    <cellStyle name="Title 2 4" xfId="2386" xr:uid="{00000000-0005-0000-0000-0000510A0000}"/>
    <cellStyle name="Title 2 5" xfId="2387" xr:uid="{00000000-0005-0000-0000-0000520A0000}"/>
    <cellStyle name="Title 2 6" xfId="2388" xr:uid="{00000000-0005-0000-0000-0000530A0000}"/>
    <cellStyle name="Title 3" xfId="2389" xr:uid="{00000000-0005-0000-0000-0000540A0000}"/>
    <cellStyle name="Title 3 2" xfId="2390" xr:uid="{00000000-0005-0000-0000-0000550A0000}"/>
    <cellStyle name="Title 3 3" xfId="2391" xr:uid="{00000000-0005-0000-0000-0000560A0000}"/>
    <cellStyle name="Title 3 4" xfId="2392" xr:uid="{00000000-0005-0000-0000-0000570A0000}"/>
    <cellStyle name="Title 3 5" xfId="2393" xr:uid="{00000000-0005-0000-0000-0000580A0000}"/>
    <cellStyle name="Title 3 6" xfId="2394" xr:uid="{00000000-0005-0000-0000-0000590A0000}"/>
    <cellStyle name="Title 4 2" xfId="2395" xr:uid="{00000000-0005-0000-0000-00005A0A0000}"/>
    <cellStyle name="Title 4 3" xfId="2396" xr:uid="{00000000-0005-0000-0000-00005B0A0000}"/>
    <cellStyle name="Title 4 4" xfId="2397" xr:uid="{00000000-0005-0000-0000-00005C0A0000}"/>
    <cellStyle name="Title 4 5" xfId="2398" xr:uid="{00000000-0005-0000-0000-00005D0A0000}"/>
    <cellStyle name="Title 4 6" xfId="2399" xr:uid="{00000000-0005-0000-0000-00005E0A0000}"/>
    <cellStyle name="Title 5 2" xfId="2400" xr:uid="{00000000-0005-0000-0000-00005F0A0000}"/>
    <cellStyle name="Title 5 3" xfId="2401" xr:uid="{00000000-0005-0000-0000-0000600A0000}"/>
    <cellStyle name="Title 5 4" xfId="2402" xr:uid="{00000000-0005-0000-0000-0000610A0000}"/>
    <cellStyle name="Title 5 5" xfId="2403" xr:uid="{00000000-0005-0000-0000-0000620A0000}"/>
    <cellStyle name="Title 5 6" xfId="2404" xr:uid="{00000000-0005-0000-0000-0000630A0000}"/>
    <cellStyle name="Title 6 2" xfId="2405" xr:uid="{00000000-0005-0000-0000-0000640A0000}"/>
    <cellStyle name="Title 6 3" xfId="2406" xr:uid="{00000000-0005-0000-0000-0000650A0000}"/>
    <cellStyle name="Title 6 4" xfId="2407" xr:uid="{00000000-0005-0000-0000-0000660A0000}"/>
    <cellStyle name="Title 6 5" xfId="2408" xr:uid="{00000000-0005-0000-0000-0000670A0000}"/>
    <cellStyle name="Title 6 6" xfId="2409" xr:uid="{00000000-0005-0000-0000-0000680A0000}"/>
    <cellStyle name="Title 7 2" xfId="2410" xr:uid="{00000000-0005-0000-0000-0000690A0000}"/>
    <cellStyle name="Title 7 3" xfId="2411" xr:uid="{00000000-0005-0000-0000-00006A0A0000}"/>
    <cellStyle name="Title 7 4" xfId="2412" xr:uid="{00000000-0005-0000-0000-00006B0A0000}"/>
    <cellStyle name="Title 7 5" xfId="2413" xr:uid="{00000000-0005-0000-0000-00006C0A0000}"/>
    <cellStyle name="Title 7 6" xfId="2414" xr:uid="{00000000-0005-0000-0000-00006D0A0000}"/>
    <cellStyle name="Title 8 2" xfId="2415" xr:uid="{00000000-0005-0000-0000-00006E0A0000}"/>
    <cellStyle name="Title 8 3" xfId="2416" xr:uid="{00000000-0005-0000-0000-00006F0A0000}"/>
    <cellStyle name="Title 8 4" xfId="2417" xr:uid="{00000000-0005-0000-0000-0000700A0000}"/>
    <cellStyle name="Title 8 5" xfId="2418" xr:uid="{00000000-0005-0000-0000-0000710A0000}"/>
    <cellStyle name="Title 8 6" xfId="2419" xr:uid="{00000000-0005-0000-0000-0000720A0000}"/>
    <cellStyle name="Title 9 2" xfId="2420" xr:uid="{00000000-0005-0000-0000-0000730A0000}"/>
    <cellStyle name="Title 9 3" xfId="2421" xr:uid="{00000000-0005-0000-0000-0000740A0000}"/>
    <cellStyle name="Title 9 4" xfId="2422" xr:uid="{00000000-0005-0000-0000-0000750A0000}"/>
    <cellStyle name="Title 9 5" xfId="2423" xr:uid="{00000000-0005-0000-0000-0000760A0000}"/>
    <cellStyle name="Title 9 6" xfId="2424" xr:uid="{00000000-0005-0000-0000-0000770A0000}"/>
    <cellStyle name="Top Bold Border" xfId="240" xr:uid="{00000000-0005-0000-0000-0000780A0000}"/>
    <cellStyle name="Top Double Border" xfId="241" xr:uid="{00000000-0005-0000-0000-0000790A0000}"/>
    <cellStyle name="Top Single Border" xfId="242" xr:uid="{00000000-0005-0000-0000-00007A0A0000}"/>
    <cellStyle name="Top Single Border 2" xfId="2771" xr:uid="{00000000-0005-0000-0000-00007B0A0000}"/>
    <cellStyle name="Top Single Border 2 2" xfId="3082" xr:uid="{00000000-0005-0000-0000-00000B0C0000}"/>
    <cellStyle name="Top Single Border 3" xfId="3040" xr:uid="{00000000-0005-0000-0000-00000C0C0000}"/>
    <cellStyle name="Total 10 2" xfId="2425" xr:uid="{00000000-0005-0000-0000-00007C0A0000}"/>
    <cellStyle name="Total 10 2 2" xfId="2789" xr:uid="{00000000-0005-0000-0000-00007D0A0000}"/>
    <cellStyle name="Total 10 2 2 2" xfId="3025" xr:uid="{00000000-0005-0000-0000-00000F0C0000}"/>
    <cellStyle name="Total 10 2 3" xfId="3363" xr:uid="{00000000-0005-0000-0000-0000100C0000}"/>
    <cellStyle name="Total 10 3" xfId="2426" xr:uid="{00000000-0005-0000-0000-00007E0A0000}"/>
    <cellStyle name="Total 10 3 2" xfId="2790" xr:uid="{00000000-0005-0000-0000-00007F0A0000}"/>
    <cellStyle name="Total 10 3 2 2" xfId="3024" xr:uid="{00000000-0005-0000-0000-0000130C0000}"/>
    <cellStyle name="Total 10 3 3" xfId="3362" xr:uid="{00000000-0005-0000-0000-0000140C0000}"/>
    <cellStyle name="Total 10 4" xfId="2427" xr:uid="{00000000-0005-0000-0000-0000800A0000}"/>
    <cellStyle name="Total 10 4 2" xfId="2791" xr:uid="{00000000-0005-0000-0000-0000810A0000}"/>
    <cellStyle name="Total 10 4 2 2" xfId="3069" xr:uid="{00000000-0005-0000-0000-0000170C0000}"/>
    <cellStyle name="Total 10 4 3" xfId="3361" xr:uid="{00000000-0005-0000-0000-0000180C0000}"/>
    <cellStyle name="Total 10 5" xfId="2428" xr:uid="{00000000-0005-0000-0000-0000820A0000}"/>
    <cellStyle name="Total 10 5 2" xfId="2792" xr:uid="{00000000-0005-0000-0000-0000830A0000}"/>
    <cellStyle name="Total 10 5 2 2" xfId="3068" xr:uid="{00000000-0005-0000-0000-00001B0C0000}"/>
    <cellStyle name="Total 10 5 3" xfId="3360" xr:uid="{00000000-0005-0000-0000-00001C0C0000}"/>
    <cellStyle name="Total 10 6" xfId="2429" xr:uid="{00000000-0005-0000-0000-0000840A0000}"/>
    <cellStyle name="Total 10 6 2" xfId="2793" xr:uid="{00000000-0005-0000-0000-0000850A0000}"/>
    <cellStyle name="Total 10 6 2 2" xfId="3067" xr:uid="{00000000-0005-0000-0000-00001F0C0000}"/>
    <cellStyle name="Total 10 6 3" xfId="3359" xr:uid="{00000000-0005-0000-0000-0000200C0000}"/>
    <cellStyle name="Total 11 2" xfId="2430" xr:uid="{00000000-0005-0000-0000-0000860A0000}"/>
    <cellStyle name="Total 11 2 2" xfId="2794" xr:uid="{00000000-0005-0000-0000-0000870A0000}"/>
    <cellStyle name="Total 11 2 2 2" xfId="3066" xr:uid="{00000000-0005-0000-0000-0000230C0000}"/>
    <cellStyle name="Total 11 2 3" xfId="3358" xr:uid="{00000000-0005-0000-0000-0000240C0000}"/>
    <cellStyle name="Total 11 3" xfId="2431" xr:uid="{00000000-0005-0000-0000-0000880A0000}"/>
    <cellStyle name="Total 11 3 2" xfId="2795" xr:uid="{00000000-0005-0000-0000-0000890A0000}"/>
    <cellStyle name="Total 11 3 2 2" xfId="3065" xr:uid="{00000000-0005-0000-0000-0000270C0000}"/>
    <cellStyle name="Total 11 3 3" xfId="3357" xr:uid="{00000000-0005-0000-0000-0000280C0000}"/>
    <cellStyle name="Total 11 4" xfId="2432" xr:uid="{00000000-0005-0000-0000-00008A0A0000}"/>
    <cellStyle name="Total 11 4 2" xfId="2796" xr:uid="{00000000-0005-0000-0000-00008B0A0000}"/>
    <cellStyle name="Total 11 4 2 2" xfId="3064" xr:uid="{00000000-0005-0000-0000-00002B0C0000}"/>
    <cellStyle name="Total 11 4 3" xfId="3356" xr:uid="{00000000-0005-0000-0000-00002C0C0000}"/>
    <cellStyle name="Total 11 5" xfId="2433" xr:uid="{00000000-0005-0000-0000-00008C0A0000}"/>
    <cellStyle name="Total 11 5 2" xfId="2797" xr:uid="{00000000-0005-0000-0000-00008D0A0000}"/>
    <cellStyle name="Total 11 5 2 2" xfId="3063" xr:uid="{00000000-0005-0000-0000-00002F0C0000}"/>
    <cellStyle name="Total 11 5 3" xfId="3355" xr:uid="{00000000-0005-0000-0000-0000300C0000}"/>
    <cellStyle name="Total 11 6" xfId="2434" xr:uid="{00000000-0005-0000-0000-00008E0A0000}"/>
    <cellStyle name="Total 11 6 2" xfId="2798" xr:uid="{00000000-0005-0000-0000-00008F0A0000}"/>
    <cellStyle name="Total 11 6 2 2" xfId="3062" xr:uid="{00000000-0005-0000-0000-0000330C0000}"/>
    <cellStyle name="Total 11 6 3" xfId="3354" xr:uid="{00000000-0005-0000-0000-0000340C0000}"/>
    <cellStyle name="Total 2" xfId="243" xr:uid="{00000000-0005-0000-0000-0000900A0000}"/>
    <cellStyle name="Total 2 2" xfId="2435" xr:uid="{00000000-0005-0000-0000-0000910A0000}"/>
    <cellStyle name="Total 2 2 2" xfId="2799" xr:uid="{00000000-0005-0000-0000-0000920A0000}"/>
    <cellStyle name="Total 2 2 2 2" xfId="3061" xr:uid="{00000000-0005-0000-0000-0000380C0000}"/>
    <cellStyle name="Total 2 2 3" xfId="3353" xr:uid="{00000000-0005-0000-0000-0000390C0000}"/>
    <cellStyle name="Total 2 3" xfId="2436" xr:uid="{00000000-0005-0000-0000-0000930A0000}"/>
    <cellStyle name="Total 2 3 2" xfId="2800" xr:uid="{00000000-0005-0000-0000-0000940A0000}"/>
    <cellStyle name="Total 2 3 2 2" xfId="3023" xr:uid="{00000000-0005-0000-0000-00003C0C0000}"/>
    <cellStyle name="Total 2 3 3" xfId="3352" xr:uid="{00000000-0005-0000-0000-00003D0C0000}"/>
    <cellStyle name="Total 2 4" xfId="2437" xr:uid="{00000000-0005-0000-0000-0000950A0000}"/>
    <cellStyle name="Total 2 4 2" xfId="2801" xr:uid="{00000000-0005-0000-0000-0000960A0000}"/>
    <cellStyle name="Total 2 4 2 2" xfId="3060" xr:uid="{00000000-0005-0000-0000-0000400C0000}"/>
    <cellStyle name="Total 2 4 3" xfId="3351" xr:uid="{00000000-0005-0000-0000-0000410C0000}"/>
    <cellStyle name="Total 2 5" xfId="2438" xr:uid="{00000000-0005-0000-0000-0000970A0000}"/>
    <cellStyle name="Total 2 5 2" xfId="2802" xr:uid="{00000000-0005-0000-0000-0000980A0000}"/>
    <cellStyle name="Total 2 5 2 2" xfId="3059" xr:uid="{00000000-0005-0000-0000-0000440C0000}"/>
    <cellStyle name="Total 2 5 3" xfId="3350" xr:uid="{00000000-0005-0000-0000-0000450C0000}"/>
    <cellStyle name="Total 2 6" xfId="2439" xr:uid="{00000000-0005-0000-0000-0000990A0000}"/>
    <cellStyle name="Total 2 6 2" xfId="2803" xr:uid="{00000000-0005-0000-0000-00009A0A0000}"/>
    <cellStyle name="Total 2 6 2 2" xfId="3058" xr:uid="{00000000-0005-0000-0000-0000480C0000}"/>
    <cellStyle name="Total 2 6 3" xfId="3349" xr:uid="{00000000-0005-0000-0000-0000490C0000}"/>
    <cellStyle name="Total 2 7" xfId="2770" xr:uid="{00000000-0005-0000-0000-00009B0A0000}"/>
    <cellStyle name="Total 2 7 2" xfId="3083" xr:uid="{00000000-0005-0000-0000-00004B0C0000}"/>
    <cellStyle name="Total 2 8" xfId="3039" xr:uid="{00000000-0005-0000-0000-00004C0C0000}"/>
    <cellStyle name="Total 3" xfId="244" xr:uid="{00000000-0005-0000-0000-00009C0A0000}"/>
    <cellStyle name="Total 3 10" xfId="3038" xr:uid="{00000000-0005-0000-0000-00004E0C0000}"/>
    <cellStyle name="Total 3 2" xfId="2441" xr:uid="{00000000-0005-0000-0000-00009D0A0000}"/>
    <cellStyle name="Total 3 2 2" xfId="2805" xr:uid="{00000000-0005-0000-0000-00009E0A0000}"/>
    <cellStyle name="Total 3 2 2 2" xfId="3056" xr:uid="{00000000-0005-0000-0000-0000510C0000}"/>
    <cellStyle name="Total 3 2 3" xfId="3347" xr:uid="{00000000-0005-0000-0000-0000520C0000}"/>
    <cellStyle name="Total 3 3" xfId="2442" xr:uid="{00000000-0005-0000-0000-00009F0A0000}"/>
    <cellStyle name="Total 3 3 2" xfId="2806" xr:uid="{00000000-0005-0000-0000-0000A00A0000}"/>
    <cellStyle name="Total 3 3 2 2" xfId="3055" xr:uid="{00000000-0005-0000-0000-0000550C0000}"/>
    <cellStyle name="Total 3 3 3" xfId="3346" xr:uid="{00000000-0005-0000-0000-0000560C0000}"/>
    <cellStyle name="Total 3 4" xfId="2443" xr:uid="{00000000-0005-0000-0000-0000A10A0000}"/>
    <cellStyle name="Total 3 4 2" xfId="2807" xr:uid="{00000000-0005-0000-0000-0000A20A0000}"/>
    <cellStyle name="Total 3 4 2 2" xfId="3054" xr:uid="{00000000-0005-0000-0000-0000590C0000}"/>
    <cellStyle name="Total 3 4 3" xfId="3345" xr:uid="{00000000-0005-0000-0000-00005A0C0000}"/>
    <cellStyle name="Total 3 5" xfId="2444" xr:uid="{00000000-0005-0000-0000-0000A30A0000}"/>
    <cellStyle name="Total 3 5 2" xfId="2808" xr:uid="{00000000-0005-0000-0000-0000A40A0000}"/>
    <cellStyle name="Total 3 5 2 2" xfId="3053" xr:uid="{00000000-0005-0000-0000-00005D0C0000}"/>
    <cellStyle name="Total 3 5 3" xfId="3344" xr:uid="{00000000-0005-0000-0000-00005E0C0000}"/>
    <cellStyle name="Total 3 6" xfId="2445" xr:uid="{00000000-0005-0000-0000-0000A50A0000}"/>
    <cellStyle name="Total 3 6 2" xfId="2809" xr:uid="{00000000-0005-0000-0000-0000A60A0000}"/>
    <cellStyle name="Total 3 6 2 2" xfId="3052" xr:uid="{00000000-0005-0000-0000-0000610C0000}"/>
    <cellStyle name="Total 3 6 3" xfId="3343" xr:uid="{00000000-0005-0000-0000-0000620C0000}"/>
    <cellStyle name="Total 3 7" xfId="2446" xr:uid="{00000000-0005-0000-0000-0000A70A0000}"/>
    <cellStyle name="Total 3 7 2" xfId="2810" xr:uid="{00000000-0005-0000-0000-0000A80A0000}"/>
    <cellStyle name="Total 3 7 2 2" xfId="3051" xr:uid="{00000000-0005-0000-0000-0000650C0000}"/>
    <cellStyle name="Total 3 7 3" xfId="3342" xr:uid="{00000000-0005-0000-0000-0000660C0000}"/>
    <cellStyle name="Total 3 8" xfId="2440" xr:uid="{00000000-0005-0000-0000-0000A90A0000}"/>
    <cellStyle name="Total 3 8 2" xfId="2804" xr:uid="{00000000-0005-0000-0000-0000AA0A0000}"/>
    <cellStyle name="Total 3 8 2 2" xfId="3057" xr:uid="{00000000-0005-0000-0000-0000690C0000}"/>
    <cellStyle name="Total 3 8 3" xfId="3348" xr:uid="{00000000-0005-0000-0000-00006A0C0000}"/>
    <cellStyle name="Total 3 9" xfId="2769" xr:uid="{00000000-0005-0000-0000-0000AB0A0000}"/>
    <cellStyle name="Total 3 9 2" xfId="3084" xr:uid="{00000000-0005-0000-0000-00006C0C0000}"/>
    <cellStyle name="Total 4" xfId="245" xr:uid="{00000000-0005-0000-0000-0000AC0A0000}"/>
    <cellStyle name="Total 4 10" xfId="3037" xr:uid="{00000000-0005-0000-0000-00006E0C0000}"/>
    <cellStyle name="Total 4 2" xfId="2448" xr:uid="{00000000-0005-0000-0000-0000AD0A0000}"/>
    <cellStyle name="Total 4 2 2" xfId="2812" xr:uid="{00000000-0005-0000-0000-0000AE0A0000}"/>
    <cellStyle name="Total 4 2 2 2" xfId="3050" xr:uid="{00000000-0005-0000-0000-0000710C0000}"/>
    <cellStyle name="Total 4 2 3" xfId="3340" xr:uid="{00000000-0005-0000-0000-0000720C0000}"/>
    <cellStyle name="Total 4 3" xfId="2449" xr:uid="{00000000-0005-0000-0000-0000AF0A0000}"/>
    <cellStyle name="Total 4 3 2" xfId="2813" xr:uid="{00000000-0005-0000-0000-0000B00A0000}"/>
    <cellStyle name="Total 4 3 2 2" xfId="3049" xr:uid="{00000000-0005-0000-0000-0000750C0000}"/>
    <cellStyle name="Total 4 3 3" xfId="3339" xr:uid="{00000000-0005-0000-0000-0000760C0000}"/>
    <cellStyle name="Total 4 4" xfId="2450" xr:uid="{00000000-0005-0000-0000-0000B10A0000}"/>
    <cellStyle name="Total 4 4 2" xfId="2814" xr:uid="{00000000-0005-0000-0000-0000B20A0000}"/>
    <cellStyle name="Total 4 4 2 2" xfId="3048" xr:uid="{00000000-0005-0000-0000-0000790C0000}"/>
    <cellStyle name="Total 4 4 3" xfId="3338" xr:uid="{00000000-0005-0000-0000-00007A0C0000}"/>
    <cellStyle name="Total 4 5" xfId="2451" xr:uid="{00000000-0005-0000-0000-0000B30A0000}"/>
    <cellStyle name="Total 4 5 2" xfId="2815" xr:uid="{00000000-0005-0000-0000-0000B40A0000}"/>
    <cellStyle name="Total 4 5 2 2" xfId="3047" xr:uid="{00000000-0005-0000-0000-00007D0C0000}"/>
    <cellStyle name="Total 4 5 3" xfId="3337" xr:uid="{00000000-0005-0000-0000-00007E0C0000}"/>
    <cellStyle name="Total 4 6" xfId="2452" xr:uid="{00000000-0005-0000-0000-0000B50A0000}"/>
    <cellStyle name="Total 4 6 2" xfId="2816" xr:uid="{00000000-0005-0000-0000-0000B60A0000}"/>
    <cellStyle name="Total 4 6 2 2" xfId="3046" xr:uid="{00000000-0005-0000-0000-0000810C0000}"/>
    <cellStyle name="Total 4 6 3" xfId="3336" xr:uid="{00000000-0005-0000-0000-0000820C0000}"/>
    <cellStyle name="Total 4 7" xfId="2453" xr:uid="{00000000-0005-0000-0000-0000B70A0000}"/>
    <cellStyle name="Total 4 7 2" xfId="2817" xr:uid="{00000000-0005-0000-0000-0000B80A0000}"/>
    <cellStyle name="Total 4 7 2 2" xfId="3045" xr:uid="{00000000-0005-0000-0000-0000850C0000}"/>
    <cellStyle name="Total 4 7 3" xfId="3335" xr:uid="{00000000-0005-0000-0000-0000860C0000}"/>
    <cellStyle name="Total 4 8" xfId="2447" xr:uid="{00000000-0005-0000-0000-0000B90A0000}"/>
    <cellStyle name="Total 4 8 2" xfId="2811" xr:uid="{00000000-0005-0000-0000-0000BA0A0000}"/>
    <cellStyle name="Total 4 8 2 2" xfId="3021" xr:uid="{00000000-0005-0000-0000-0000890C0000}"/>
    <cellStyle name="Total 4 8 3" xfId="3341" xr:uid="{00000000-0005-0000-0000-00008A0C0000}"/>
    <cellStyle name="Total 4 9" xfId="2768" xr:uid="{00000000-0005-0000-0000-0000BB0A0000}"/>
    <cellStyle name="Total 4 9 2" xfId="3085" xr:uid="{00000000-0005-0000-0000-00008C0C0000}"/>
    <cellStyle name="Total 5" xfId="246" xr:uid="{00000000-0005-0000-0000-0000BC0A0000}"/>
    <cellStyle name="Total 5 2" xfId="2454" xr:uid="{00000000-0005-0000-0000-0000BD0A0000}"/>
    <cellStyle name="Total 5 2 2" xfId="2818" xr:uid="{00000000-0005-0000-0000-0000BE0A0000}"/>
    <cellStyle name="Total 5 2 2 2" xfId="3044" xr:uid="{00000000-0005-0000-0000-0000900C0000}"/>
    <cellStyle name="Total 5 2 3" xfId="3334" xr:uid="{00000000-0005-0000-0000-0000910C0000}"/>
    <cellStyle name="Total 5 3" xfId="2455" xr:uid="{00000000-0005-0000-0000-0000BF0A0000}"/>
    <cellStyle name="Total 5 3 2" xfId="2819" xr:uid="{00000000-0005-0000-0000-0000C00A0000}"/>
    <cellStyle name="Total 5 3 2 2" xfId="3043" xr:uid="{00000000-0005-0000-0000-0000940C0000}"/>
    <cellStyle name="Total 5 3 3" xfId="3333" xr:uid="{00000000-0005-0000-0000-0000950C0000}"/>
    <cellStyle name="Total 5 4" xfId="2456" xr:uid="{00000000-0005-0000-0000-0000C10A0000}"/>
    <cellStyle name="Total 5 4 2" xfId="2820" xr:uid="{00000000-0005-0000-0000-0000C20A0000}"/>
    <cellStyle name="Total 5 4 2 2" xfId="3042" xr:uid="{00000000-0005-0000-0000-0000980C0000}"/>
    <cellStyle name="Total 5 4 3" xfId="3332" xr:uid="{00000000-0005-0000-0000-0000990C0000}"/>
    <cellStyle name="Total 5 5" xfId="2457" xr:uid="{00000000-0005-0000-0000-0000C30A0000}"/>
    <cellStyle name="Total 5 5 2" xfId="2821" xr:uid="{00000000-0005-0000-0000-0000C40A0000}"/>
    <cellStyle name="Total 5 5 2 2" xfId="3041" xr:uid="{00000000-0005-0000-0000-00009C0C0000}"/>
    <cellStyle name="Total 5 5 3" xfId="3331" xr:uid="{00000000-0005-0000-0000-00009D0C0000}"/>
    <cellStyle name="Total 5 6" xfId="2458" xr:uid="{00000000-0005-0000-0000-0000C50A0000}"/>
    <cellStyle name="Total 5 6 2" xfId="2822" xr:uid="{00000000-0005-0000-0000-0000C60A0000}"/>
    <cellStyle name="Total 5 6 2 2" xfId="3018" xr:uid="{00000000-0005-0000-0000-0000A00C0000}"/>
    <cellStyle name="Total 5 6 3" xfId="3330" xr:uid="{00000000-0005-0000-0000-0000A10C0000}"/>
    <cellStyle name="Total 5 7" xfId="2767" xr:uid="{00000000-0005-0000-0000-0000C70A0000}"/>
    <cellStyle name="Total 5 7 2" xfId="3086" xr:uid="{00000000-0005-0000-0000-0000A30C0000}"/>
    <cellStyle name="Total 5 8" xfId="3036" xr:uid="{00000000-0005-0000-0000-0000A40C0000}"/>
    <cellStyle name="Total 6" xfId="247" xr:uid="{00000000-0005-0000-0000-0000C80A0000}"/>
    <cellStyle name="Total 6 2" xfId="2459" xr:uid="{00000000-0005-0000-0000-0000C90A0000}"/>
    <cellStyle name="Total 6 2 2" xfId="2823" xr:uid="{00000000-0005-0000-0000-0000CA0A0000}"/>
    <cellStyle name="Total 6 2 2 2" xfId="3020" xr:uid="{00000000-0005-0000-0000-0000A80C0000}"/>
    <cellStyle name="Total 6 2 3" xfId="3329" xr:uid="{00000000-0005-0000-0000-0000A90C0000}"/>
    <cellStyle name="Total 6 3" xfId="2460" xr:uid="{00000000-0005-0000-0000-0000CB0A0000}"/>
    <cellStyle name="Total 6 3 2" xfId="2824" xr:uid="{00000000-0005-0000-0000-0000CC0A0000}"/>
    <cellStyle name="Total 6 3 2 2" xfId="3019" xr:uid="{00000000-0005-0000-0000-0000AC0C0000}"/>
    <cellStyle name="Total 6 3 3" xfId="3328" xr:uid="{00000000-0005-0000-0000-0000AD0C0000}"/>
    <cellStyle name="Total 6 4" xfId="2461" xr:uid="{00000000-0005-0000-0000-0000CD0A0000}"/>
    <cellStyle name="Total 6 4 2" xfId="2825" xr:uid="{00000000-0005-0000-0000-0000CE0A0000}"/>
    <cellStyle name="Total 6 4 2 2" xfId="3455" xr:uid="{00000000-0005-0000-0000-0000B00C0000}"/>
    <cellStyle name="Total 6 4 3" xfId="3327" xr:uid="{00000000-0005-0000-0000-0000B10C0000}"/>
    <cellStyle name="Total 6 5" xfId="2462" xr:uid="{00000000-0005-0000-0000-0000CF0A0000}"/>
    <cellStyle name="Total 6 5 2" xfId="2826" xr:uid="{00000000-0005-0000-0000-0000D00A0000}"/>
    <cellStyle name="Total 6 5 2 2" xfId="3456" xr:uid="{00000000-0005-0000-0000-0000B40C0000}"/>
    <cellStyle name="Total 6 5 3" xfId="3326" xr:uid="{00000000-0005-0000-0000-0000B50C0000}"/>
    <cellStyle name="Total 6 6" xfId="2463" xr:uid="{00000000-0005-0000-0000-0000D10A0000}"/>
    <cellStyle name="Total 6 6 2" xfId="2827" xr:uid="{00000000-0005-0000-0000-0000D20A0000}"/>
    <cellStyle name="Total 6 6 2 2" xfId="3457" xr:uid="{00000000-0005-0000-0000-0000B80C0000}"/>
    <cellStyle name="Total 6 6 3" xfId="3325" xr:uid="{00000000-0005-0000-0000-0000B90C0000}"/>
    <cellStyle name="Total 6 7" xfId="2766" xr:uid="{00000000-0005-0000-0000-0000D30A0000}"/>
    <cellStyle name="Total 6 7 2" xfId="3087" xr:uid="{00000000-0005-0000-0000-0000BB0C0000}"/>
    <cellStyle name="Total 6 8" xfId="3035" xr:uid="{00000000-0005-0000-0000-0000BC0C0000}"/>
    <cellStyle name="Total 7" xfId="248" xr:uid="{00000000-0005-0000-0000-0000D40A0000}"/>
    <cellStyle name="Total 7 2" xfId="2464" xr:uid="{00000000-0005-0000-0000-0000D50A0000}"/>
    <cellStyle name="Total 7 2 2" xfId="2828" xr:uid="{00000000-0005-0000-0000-0000D60A0000}"/>
    <cellStyle name="Total 7 2 2 2" xfId="3458" xr:uid="{00000000-0005-0000-0000-0000C00C0000}"/>
    <cellStyle name="Total 7 2 3" xfId="3324" xr:uid="{00000000-0005-0000-0000-0000C10C0000}"/>
    <cellStyle name="Total 7 3" xfId="2465" xr:uid="{00000000-0005-0000-0000-0000D70A0000}"/>
    <cellStyle name="Total 7 3 2" xfId="2829" xr:uid="{00000000-0005-0000-0000-0000D80A0000}"/>
    <cellStyle name="Total 7 3 2 2" xfId="3459" xr:uid="{00000000-0005-0000-0000-0000C40C0000}"/>
    <cellStyle name="Total 7 3 3" xfId="3323" xr:uid="{00000000-0005-0000-0000-0000C50C0000}"/>
    <cellStyle name="Total 7 4" xfId="2466" xr:uid="{00000000-0005-0000-0000-0000D90A0000}"/>
    <cellStyle name="Total 7 4 2" xfId="2830" xr:uid="{00000000-0005-0000-0000-0000DA0A0000}"/>
    <cellStyle name="Total 7 4 2 2" xfId="3460" xr:uid="{00000000-0005-0000-0000-0000C80C0000}"/>
    <cellStyle name="Total 7 4 3" xfId="3322" xr:uid="{00000000-0005-0000-0000-0000C90C0000}"/>
    <cellStyle name="Total 7 5" xfId="2467" xr:uid="{00000000-0005-0000-0000-0000DB0A0000}"/>
    <cellStyle name="Total 7 5 2" xfId="2831" xr:uid="{00000000-0005-0000-0000-0000DC0A0000}"/>
    <cellStyle name="Total 7 5 2 2" xfId="3461" xr:uid="{00000000-0005-0000-0000-0000CC0C0000}"/>
    <cellStyle name="Total 7 5 3" xfId="3321" xr:uid="{00000000-0005-0000-0000-0000CD0C0000}"/>
    <cellStyle name="Total 7 6" xfId="2468" xr:uid="{00000000-0005-0000-0000-0000DD0A0000}"/>
    <cellStyle name="Total 7 6 2" xfId="2832" xr:uid="{00000000-0005-0000-0000-0000DE0A0000}"/>
    <cellStyle name="Total 7 6 2 2" xfId="3462" xr:uid="{00000000-0005-0000-0000-0000D00C0000}"/>
    <cellStyle name="Total 7 6 3" xfId="3032" xr:uid="{00000000-0005-0000-0000-0000D10C0000}"/>
    <cellStyle name="Total 7 7" xfId="2765" xr:uid="{00000000-0005-0000-0000-0000DF0A0000}"/>
    <cellStyle name="Total 7 7 2" xfId="3088" xr:uid="{00000000-0005-0000-0000-0000D30C0000}"/>
    <cellStyle name="Total 7 8" xfId="3434" xr:uid="{00000000-0005-0000-0000-0000D40C0000}"/>
    <cellStyle name="Total 8 2" xfId="2469" xr:uid="{00000000-0005-0000-0000-0000E00A0000}"/>
    <cellStyle name="Total 8 2 2" xfId="2833" xr:uid="{00000000-0005-0000-0000-0000E10A0000}"/>
    <cellStyle name="Total 8 2 2 2" xfId="3463" xr:uid="{00000000-0005-0000-0000-0000D70C0000}"/>
    <cellStyle name="Total 8 2 3" xfId="3030" xr:uid="{00000000-0005-0000-0000-0000D80C0000}"/>
    <cellStyle name="Total 8 3" xfId="2470" xr:uid="{00000000-0005-0000-0000-0000E20A0000}"/>
    <cellStyle name="Total 8 3 2" xfId="2834" xr:uid="{00000000-0005-0000-0000-0000E30A0000}"/>
    <cellStyle name="Total 8 3 2 2" xfId="3464" xr:uid="{00000000-0005-0000-0000-0000DB0C0000}"/>
    <cellStyle name="Total 8 3 3" xfId="3320" xr:uid="{00000000-0005-0000-0000-0000DC0C0000}"/>
    <cellStyle name="Total 8 4" xfId="2471" xr:uid="{00000000-0005-0000-0000-0000E40A0000}"/>
    <cellStyle name="Total 8 4 2" xfId="2835" xr:uid="{00000000-0005-0000-0000-0000E50A0000}"/>
    <cellStyle name="Total 8 4 2 2" xfId="3465" xr:uid="{00000000-0005-0000-0000-0000DF0C0000}"/>
    <cellStyle name="Total 8 4 3" xfId="3319" xr:uid="{00000000-0005-0000-0000-0000E00C0000}"/>
    <cellStyle name="Total 8 5" xfId="2472" xr:uid="{00000000-0005-0000-0000-0000E60A0000}"/>
    <cellStyle name="Total 8 5 2" xfId="2836" xr:uid="{00000000-0005-0000-0000-0000E70A0000}"/>
    <cellStyle name="Total 8 5 2 2" xfId="3466" xr:uid="{00000000-0005-0000-0000-0000E30C0000}"/>
    <cellStyle name="Total 8 5 3" xfId="3318" xr:uid="{00000000-0005-0000-0000-0000E40C0000}"/>
    <cellStyle name="Total 8 6" xfId="2473" xr:uid="{00000000-0005-0000-0000-0000E80A0000}"/>
    <cellStyle name="Total 8 6 2" xfId="2837" xr:uid="{00000000-0005-0000-0000-0000E90A0000}"/>
    <cellStyle name="Total 8 6 2 2" xfId="3467" xr:uid="{00000000-0005-0000-0000-0000E70C0000}"/>
    <cellStyle name="Total 8 6 3" xfId="3317" xr:uid="{00000000-0005-0000-0000-0000E80C0000}"/>
    <cellStyle name="Total 9 2" xfId="2474" xr:uid="{00000000-0005-0000-0000-0000EA0A0000}"/>
    <cellStyle name="Total 9 2 2" xfId="2838" xr:uid="{00000000-0005-0000-0000-0000EB0A0000}"/>
    <cellStyle name="Total 9 2 2 2" xfId="3468" xr:uid="{00000000-0005-0000-0000-0000EB0C0000}"/>
    <cellStyle name="Total 9 2 3" xfId="3316" xr:uid="{00000000-0005-0000-0000-0000EC0C0000}"/>
    <cellStyle name="Total 9 3" xfId="2475" xr:uid="{00000000-0005-0000-0000-0000EC0A0000}"/>
    <cellStyle name="Total 9 3 2" xfId="2839" xr:uid="{00000000-0005-0000-0000-0000ED0A0000}"/>
    <cellStyle name="Total 9 3 2 2" xfId="3469" xr:uid="{00000000-0005-0000-0000-0000EF0C0000}"/>
    <cellStyle name="Total 9 3 3" xfId="3315" xr:uid="{00000000-0005-0000-0000-0000F00C0000}"/>
    <cellStyle name="Total 9 4" xfId="2476" xr:uid="{00000000-0005-0000-0000-0000EE0A0000}"/>
    <cellStyle name="Total 9 4 2" xfId="2840" xr:uid="{00000000-0005-0000-0000-0000EF0A0000}"/>
    <cellStyle name="Total 9 4 2 2" xfId="3470" xr:uid="{00000000-0005-0000-0000-0000F30C0000}"/>
    <cellStyle name="Total 9 4 3" xfId="3314" xr:uid="{00000000-0005-0000-0000-0000F40C0000}"/>
    <cellStyle name="Total 9 5" xfId="2477" xr:uid="{00000000-0005-0000-0000-0000F00A0000}"/>
    <cellStyle name="Total 9 5 2" xfId="2841" xr:uid="{00000000-0005-0000-0000-0000F10A0000}"/>
    <cellStyle name="Total 9 5 2 2" xfId="3471" xr:uid="{00000000-0005-0000-0000-0000F70C0000}"/>
    <cellStyle name="Total 9 5 3" xfId="3313" xr:uid="{00000000-0005-0000-0000-0000F80C0000}"/>
    <cellStyle name="Total 9 6" xfId="2478" xr:uid="{00000000-0005-0000-0000-0000F20A0000}"/>
    <cellStyle name="Total 9 6 2" xfId="2842" xr:uid="{00000000-0005-0000-0000-0000F30A0000}"/>
    <cellStyle name="Total 9 6 2 2" xfId="3472" xr:uid="{00000000-0005-0000-0000-0000FB0C0000}"/>
    <cellStyle name="Total 9 6 3" xfId="3312" xr:uid="{00000000-0005-0000-0000-0000FC0C0000}"/>
    <cellStyle name="Warning Text 10 2" xfId="2479" xr:uid="{00000000-0005-0000-0000-0000F40A0000}"/>
    <cellStyle name="Warning Text 10 3" xfId="2480" xr:uid="{00000000-0005-0000-0000-0000F50A0000}"/>
    <cellStyle name="Warning Text 10 4" xfId="2481" xr:uid="{00000000-0005-0000-0000-0000F60A0000}"/>
    <cellStyle name="Warning Text 10 5" xfId="2482" xr:uid="{00000000-0005-0000-0000-0000F70A0000}"/>
    <cellStyle name="Warning Text 10 6" xfId="2483" xr:uid="{00000000-0005-0000-0000-0000F80A0000}"/>
    <cellStyle name="Warning Text 11 2" xfId="2484" xr:uid="{00000000-0005-0000-0000-0000F90A0000}"/>
    <cellStyle name="Warning Text 11 3" xfId="2485" xr:uid="{00000000-0005-0000-0000-0000FA0A0000}"/>
    <cellStyle name="Warning Text 11 4" xfId="2486" xr:uid="{00000000-0005-0000-0000-0000FB0A0000}"/>
    <cellStyle name="Warning Text 11 5" xfId="2487" xr:uid="{00000000-0005-0000-0000-0000FC0A0000}"/>
    <cellStyle name="Warning Text 11 6" xfId="2488" xr:uid="{00000000-0005-0000-0000-0000FD0A0000}"/>
    <cellStyle name="Warning Text 2" xfId="249" xr:uid="{00000000-0005-0000-0000-0000FE0A0000}"/>
    <cellStyle name="Warning Text 2 2" xfId="2489" xr:uid="{00000000-0005-0000-0000-0000FF0A0000}"/>
    <cellStyle name="Warning Text 2 3" xfId="2490" xr:uid="{00000000-0005-0000-0000-0000000B0000}"/>
    <cellStyle name="Warning Text 2 4" xfId="2491" xr:uid="{00000000-0005-0000-0000-0000010B0000}"/>
    <cellStyle name="Warning Text 2 5" xfId="2492" xr:uid="{00000000-0005-0000-0000-0000020B0000}"/>
    <cellStyle name="Warning Text 2 6" xfId="2493" xr:uid="{00000000-0005-0000-0000-0000030B0000}"/>
    <cellStyle name="Warning Text 3" xfId="250" xr:uid="{00000000-0005-0000-0000-0000040B0000}"/>
    <cellStyle name="Warning Text 3 2" xfId="2494" xr:uid="{00000000-0005-0000-0000-0000050B0000}"/>
    <cellStyle name="Warning Text 3 3" xfId="2495" xr:uid="{00000000-0005-0000-0000-0000060B0000}"/>
    <cellStyle name="Warning Text 3 4" xfId="2496" xr:uid="{00000000-0005-0000-0000-0000070B0000}"/>
    <cellStyle name="Warning Text 3 5" xfId="2497" xr:uid="{00000000-0005-0000-0000-0000080B0000}"/>
    <cellStyle name="Warning Text 3 6" xfId="2498" xr:uid="{00000000-0005-0000-0000-0000090B0000}"/>
    <cellStyle name="Warning Text 4" xfId="251" xr:uid="{00000000-0005-0000-0000-00000A0B0000}"/>
    <cellStyle name="Warning Text 4 2" xfId="2499" xr:uid="{00000000-0005-0000-0000-00000B0B0000}"/>
    <cellStyle name="Warning Text 4 3" xfId="2500" xr:uid="{00000000-0005-0000-0000-00000C0B0000}"/>
    <cellStyle name="Warning Text 4 4" xfId="2501" xr:uid="{00000000-0005-0000-0000-00000D0B0000}"/>
    <cellStyle name="Warning Text 4 5" xfId="2502" xr:uid="{00000000-0005-0000-0000-00000E0B0000}"/>
    <cellStyle name="Warning Text 4 6" xfId="2503" xr:uid="{00000000-0005-0000-0000-00000F0B0000}"/>
    <cellStyle name="Warning Text 5" xfId="252" xr:uid="{00000000-0005-0000-0000-0000100B0000}"/>
    <cellStyle name="Warning Text 5 2" xfId="2504" xr:uid="{00000000-0005-0000-0000-0000110B0000}"/>
    <cellStyle name="Warning Text 5 3" xfId="2505" xr:uid="{00000000-0005-0000-0000-0000120B0000}"/>
    <cellStyle name="Warning Text 5 4" xfId="2506" xr:uid="{00000000-0005-0000-0000-0000130B0000}"/>
    <cellStyle name="Warning Text 5 5" xfId="2507" xr:uid="{00000000-0005-0000-0000-0000140B0000}"/>
    <cellStyle name="Warning Text 5 6" xfId="2508" xr:uid="{00000000-0005-0000-0000-0000150B0000}"/>
    <cellStyle name="Warning Text 6" xfId="253" xr:uid="{00000000-0005-0000-0000-0000160B0000}"/>
    <cellStyle name="Warning Text 6 2" xfId="2509" xr:uid="{00000000-0005-0000-0000-0000170B0000}"/>
    <cellStyle name="Warning Text 6 3" xfId="2510" xr:uid="{00000000-0005-0000-0000-0000180B0000}"/>
    <cellStyle name="Warning Text 6 4" xfId="2511" xr:uid="{00000000-0005-0000-0000-0000190B0000}"/>
    <cellStyle name="Warning Text 6 5" xfId="2512" xr:uid="{00000000-0005-0000-0000-00001A0B0000}"/>
    <cellStyle name="Warning Text 6 6" xfId="2513" xr:uid="{00000000-0005-0000-0000-00001B0B0000}"/>
    <cellStyle name="Warning Text 7" xfId="254" xr:uid="{00000000-0005-0000-0000-00001C0B0000}"/>
    <cellStyle name="Warning Text 7 2" xfId="2514" xr:uid="{00000000-0005-0000-0000-00001D0B0000}"/>
    <cellStyle name="Warning Text 7 3" xfId="2515" xr:uid="{00000000-0005-0000-0000-00001E0B0000}"/>
    <cellStyle name="Warning Text 7 4" xfId="2516" xr:uid="{00000000-0005-0000-0000-00001F0B0000}"/>
    <cellStyle name="Warning Text 7 5" xfId="2517" xr:uid="{00000000-0005-0000-0000-0000200B0000}"/>
    <cellStyle name="Warning Text 7 6" xfId="2518" xr:uid="{00000000-0005-0000-0000-0000210B0000}"/>
    <cellStyle name="Warning Text 8 2" xfId="2519" xr:uid="{00000000-0005-0000-0000-0000220B0000}"/>
    <cellStyle name="Warning Text 8 3" xfId="2520" xr:uid="{00000000-0005-0000-0000-0000230B0000}"/>
    <cellStyle name="Warning Text 8 4" xfId="2521" xr:uid="{00000000-0005-0000-0000-0000240B0000}"/>
    <cellStyle name="Warning Text 8 5" xfId="2522" xr:uid="{00000000-0005-0000-0000-0000250B0000}"/>
    <cellStyle name="Warning Text 8 6" xfId="2523" xr:uid="{00000000-0005-0000-0000-0000260B0000}"/>
    <cellStyle name="Warning Text 9 2" xfId="2524" xr:uid="{00000000-0005-0000-0000-0000270B0000}"/>
    <cellStyle name="Warning Text 9 3" xfId="2525" xr:uid="{00000000-0005-0000-0000-0000280B0000}"/>
    <cellStyle name="Warning Text 9 4" xfId="2526" xr:uid="{00000000-0005-0000-0000-0000290B0000}"/>
    <cellStyle name="Warning Text 9 5" xfId="2527" xr:uid="{00000000-0005-0000-0000-00002A0B0000}"/>
    <cellStyle name="Warning Text 9 6" xfId="2528" xr:uid="{00000000-0005-0000-0000-00002B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914400</xdr:colOff>
          <xdr:row>8</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50"/>
    <pageSetUpPr fitToPage="1"/>
  </sheetPr>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1992</v>
      </c>
      <c r="B1" s="45"/>
      <c r="C1" s="45"/>
      <c r="D1" s="46"/>
      <c r="I1" s="2055" t="s">
        <v>405</v>
      </c>
      <c r="J1" s="2056"/>
      <c r="K1" s="2056"/>
      <c r="L1" s="2056"/>
      <c r="M1" s="2056"/>
      <c r="N1" s="2056"/>
      <c r="O1" s="2056"/>
      <c r="P1" s="2056"/>
      <c r="Q1" s="2056"/>
      <c r="R1" s="2056"/>
      <c r="S1" s="2056"/>
    </row>
    <row r="2" spans="1:28" ht="12" customHeight="1" x14ac:dyDescent="0.2">
      <c r="A2" s="47" t="s">
        <v>1993</v>
      </c>
      <c r="D2" s="48"/>
      <c r="I2" s="2057" t="s">
        <v>979</v>
      </c>
      <c r="J2" s="2056"/>
      <c r="K2" s="2056"/>
      <c r="L2" s="2056"/>
      <c r="M2" s="2056"/>
      <c r="N2" s="2056"/>
      <c r="O2" s="2056"/>
      <c r="P2" s="2056"/>
      <c r="Q2" s="2056"/>
      <c r="R2" s="2056"/>
      <c r="S2" s="2056"/>
    </row>
    <row r="3" spans="1:28" ht="12" customHeight="1" x14ac:dyDescent="0.2">
      <c r="A3" s="155" t="s">
        <v>1945</v>
      </c>
      <c r="B3" s="156"/>
      <c r="C3" s="156"/>
      <c r="D3" s="157"/>
      <c r="I3" s="2057" t="s">
        <v>52</v>
      </c>
      <c r="J3" s="2056"/>
      <c r="K3" s="2056"/>
      <c r="L3" s="2056"/>
      <c r="M3" s="2056"/>
      <c r="N3" s="2056"/>
      <c r="O3" s="2056"/>
      <c r="P3" s="2056"/>
      <c r="Q3" s="2056"/>
      <c r="R3" s="2056"/>
      <c r="S3" s="2056"/>
    </row>
    <row r="4" spans="1:28" ht="12" customHeight="1" x14ac:dyDescent="0.2">
      <c r="A4" s="37"/>
      <c r="I4" s="2057" t="s">
        <v>524</v>
      </c>
      <c r="J4" s="2056"/>
      <c r="K4" s="2056"/>
      <c r="L4" s="2056"/>
      <c r="M4" s="2056"/>
      <c r="N4" s="2056"/>
      <c r="O4" s="2056"/>
      <c r="P4" s="2056"/>
      <c r="Q4" s="2056"/>
      <c r="R4" s="2056"/>
      <c r="S4" s="2056"/>
    </row>
    <row r="5" spans="1:28" ht="14.1" customHeight="1" x14ac:dyDescent="0.2">
      <c r="B5" s="104" t="s">
        <v>2076</v>
      </c>
      <c r="C5" s="26" t="s">
        <v>910</v>
      </c>
      <c r="D5" s="84"/>
      <c r="E5" s="84"/>
      <c r="H5" s="38"/>
      <c r="I5" s="2065" t="s">
        <v>680</v>
      </c>
      <c r="J5" s="2064"/>
      <c r="K5" s="2064"/>
      <c r="L5" s="2064"/>
      <c r="M5" s="2064"/>
      <c r="N5" s="2064"/>
      <c r="O5" s="2064"/>
      <c r="P5" s="2064"/>
      <c r="Q5" s="2064"/>
      <c r="R5" s="2064"/>
      <c r="S5" s="2064"/>
    </row>
    <row r="6" spans="1:28" ht="14.1" customHeight="1" x14ac:dyDescent="0.2">
      <c r="B6" s="104"/>
      <c r="C6" s="26" t="s">
        <v>911</v>
      </c>
      <c r="D6" s="84"/>
      <c r="E6" s="84"/>
      <c r="I6" s="2063" t="s">
        <v>883</v>
      </c>
      <c r="J6" s="2064"/>
      <c r="K6" s="2064"/>
      <c r="L6" s="2064"/>
      <c r="M6" s="2064"/>
      <c r="N6" s="2064"/>
      <c r="O6" s="2064"/>
      <c r="P6" s="2064"/>
      <c r="Q6" s="2064"/>
      <c r="R6" s="2064"/>
      <c r="S6" s="2064"/>
    </row>
    <row r="7" spans="1:28" ht="12.2" customHeight="1" x14ac:dyDescent="0.2">
      <c r="I7" s="2058">
        <v>43646</v>
      </c>
      <c r="J7" s="2059"/>
      <c r="K7" s="2059"/>
      <c r="L7" s="2059"/>
      <c r="M7" s="2059"/>
      <c r="N7" s="2059"/>
      <c r="O7" s="2059"/>
      <c r="P7" s="2059"/>
      <c r="Q7" s="2059"/>
      <c r="R7" s="2059"/>
      <c r="S7" s="205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60" t="s">
        <v>674</v>
      </c>
      <c r="J9" s="2061"/>
      <c r="K9" s="2061"/>
      <c r="L9" s="2061"/>
      <c r="M9" s="2061"/>
      <c r="N9" s="2061"/>
      <c r="O9" s="2061"/>
      <c r="P9" s="2061"/>
      <c r="Q9" s="2061"/>
      <c r="R9" s="2061"/>
      <c r="S9" s="2062"/>
      <c r="T9" s="2076" t="s">
        <v>533</v>
      </c>
      <c r="U9" s="2077"/>
      <c r="V9" s="2077"/>
      <c r="W9" s="2077"/>
      <c r="X9" s="2077"/>
      <c r="Y9" s="2077"/>
      <c r="Z9" s="2077"/>
      <c r="AA9" s="2078"/>
    </row>
    <row r="10" spans="1:28" ht="13.5" customHeight="1" x14ac:dyDescent="0.2">
      <c r="A10" s="2083" t="s">
        <v>675</v>
      </c>
      <c r="B10" s="2084"/>
      <c r="C10" s="2084"/>
      <c r="D10" s="2084"/>
      <c r="E10" s="2084"/>
      <c r="F10" s="2084"/>
      <c r="G10" s="2084"/>
      <c r="H10" s="2085"/>
      <c r="I10" s="29"/>
      <c r="J10" s="30"/>
      <c r="K10" s="28"/>
      <c r="R10" s="30"/>
      <c r="S10" s="30"/>
      <c r="T10" s="2079"/>
      <c r="U10" s="2064"/>
      <c r="V10" s="2064"/>
      <c r="W10" s="2064"/>
      <c r="X10" s="2064"/>
      <c r="Y10" s="2064"/>
      <c r="Z10" s="2064"/>
      <c r="AA10" s="2070"/>
    </row>
    <row r="11" spans="1:28" ht="14.25" customHeight="1" x14ac:dyDescent="0.2">
      <c r="A11" s="2086" t="s">
        <v>955</v>
      </c>
      <c r="B11" s="2087"/>
      <c r="C11" s="2087"/>
      <c r="D11" s="2087"/>
      <c r="E11" s="2087"/>
      <c r="F11" s="2087"/>
      <c r="G11" s="2087"/>
      <c r="H11" s="2088"/>
      <c r="I11" s="27"/>
      <c r="J11" s="74"/>
      <c r="K11" s="27"/>
      <c r="O11" s="148" t="s">
        <v>2076</v>
      </c>
      <c r="P11" s="100" t="s">
        <v>201</v>
      </c>
      <c r="Q11" s="30"/>
      <c r="R11" s="28"/>
      <c r="S11" s="27"/>
      <c r="T11" s="2080"/>
      <c r="U11" s="2081"/>
      <c r="V11" s="2081"/>
      <c r="W11" s="2081"/>
      <c r="X11" s="2081"/>
      <c r="Y11" s="2081"/>
      <c r="Z11" s="2081"/>
      <c r="AA11" s="2082"/>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90">
        <v>44063018004</v>
      </c>
      <c r="B13" s="2091"/>
      <c r="C13" s="2091"/>
      <c r="D13" s="2091"/>
      <c r="E13" s="2091"/>
      <c r="F13" s="2091"/>
      <c r="G13" s="2091"/>
      <c r="H13" s="2092"/>
      <c r="I13" s="31"/>
      <c r="J13" s="30"/>
      <c r="K13" s="28"/>
      <c r="L13" s="30"/>
      <c r="M13" s="30"/>
      <c r="N13" s="30"/>
      <c r="O13" s="30"/>
      <c r="P13" s="30"/>
      <c r="Q13" s="30"/>
      <c r="R13" s="30"/>
      <c r="S13" s="30"/>
      <c r="T13" s="2095" t="s">
        <v>2064</v>
      </c>
      <c r="U13" s="2096"/>
      <c r="V13" s="2096"/>
      <c r="W13" s="2096"/>
      <c r="X13" s="2096"/>
      <c r="Y13" s="2097"/>
      <c r="Z13" s="2097"/>
      <c r="AA13" s="2098"/>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89" t="s">
        <v>2066</v>
      </c>
      <c r="B15" s="2093"/>
      <c r="C15" s="2093"/>
      <c r="D15" s="2093"/>
      <c r="E15" s="2093"/>
      <c r="F15" s="2093"/>
      <c r="G15" s="2093"/>
      <c r="H15" s="2094"/>
      <c r="T15" s="2099" t="s">
        <v>2115</v>
      </c>
      <c r="U15" s="2043"/>
      <c r="V15" s="2043"/>
      <c r="W15" s="2043"/>
      <c r="X15" s="2043"/>
      <c r="Y15" s="2100"/>
      <c r="Z15" s="2100"/>
      <c r="AA15" s="2101"/>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2049" t="s">
        <v>2123</v>
      </c>
      <c r="B17" s="2050"/>
      <c r="C17" s="2050"/>
      <c r="D17" s="2050"/>
      <c r="E17" s="2050"/>
      <c r="F17" s="2050"/>
      <c r="G17" s="2050"/>
      <c r="H17" s="2075"/>
      <c r="T17" s="2106" t="s">
        <v>2065</v>
      </c>
      <c r="U17" s="2107"/>
      <c r="V17" s="2107"/>
      <c r="W17" s="2107"/>
      <c r="X17" s="2107"/>
      <c r="Y17" s="2107"/>
      <c r="Z17" s="2107"/>
      <c r="AA17" s="2108"/>
    </row>
    <row r="18" spans="1:27" ht="13.5" customHeight="1" x14ac:dyDescent="0.2">
      <c r="A18" s="85" t="s">
        <v>530</v>
      </c>
      <c r="B18" s="76"/>
      <c r="C18" s="72"/>
      <c r="D18" s="76"/>
      <c r="E18" s="76"/>
      <c r="F18" s="76"/>
      <c r="G18" s="76"/>
      <c r="H18" s="56"/>
      <c r="I18" s="2074" t="s">
        <v>676</v>
      </c>
      <c r="J18" s="2025"/>
      <c r="K18" s="2025"/>
      <c r="L18" s="2025"/>
      <c r="M18" s="2025"/>
      <c r="N18" s="2025"/>
      <c r="O18" s="2025"/>
      <c r="P18" s="2025"/>
      <c r="Q18" s="2025"/>
      <c r="R18" s="2025"/>
      <c r="S18" s="2026"/>
      <c r="T18" s="85" t="s">
        <v>711</v>
      </c>
      <c r="U18" s="51"/>
      <c r="V18" s="72"/>
      <c r="W18" s="50"/>
      <c r="X18" s="85" t="s">
        <v>266</v>
      </c>
      <c r="Y18" s="81"/>
      <c r="Z18" s="159" t="s">
        <v>677</v>
      </c>
      <c r="AA18" s="46"/>
    </row>
    <row r="19" spans="1:27" ht="13.5" customHeight="1" x14ac:dyDescent="0.2">
      <c r="A19" s="2089" t="s">
        <v>2073</v>
      </c>
      <c r="B19" s="2035"/>
      <c r="C19" s="2035"/>
      <c r="D19" s="2035"/>
      <c r="E19" s="2035"/>
      <c r="F19" s="2035"/>
      <c r="G19" s="2035"/>
      <c r="H19" s="2015"/>
      <c r="I19" s="30"/>
      <c r="J19" s="99"/>
      <c r="K19" s="40"/>
      <c r="L19" s="38"/>
      <c r="M19" s="112" t="s">
        <v>315</v>
      </c>
      <c r="P19" s="27"/>
      <c r="Q19" s="27"/>
      <c r="R19" s="27"/>
      <c r="S19" s="31"/>
      <c r="T19" s="2089" t="s">
        <v>2066</v>
      </c>
      <c r="U19" s="2014"/>
      <c r="V19" s="2014"/>
      <c r="W19" s="2015"/>
      <c r="X19" s="2104" t="s">
        <v>2067</v>
      </c>
      <c r="Y19" s="2105"/>
      <c r="Z19" s="2102">
        <v>60050</v>
      </c>
      <c r="AA19" s="2103"/>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2013" t="s">
        <v>2074</v>
      </c>
      <c r="B21" s="2014"/>
      <c r="C21" s="2014"/>
      <c r="D21" s="2014"/>
      <c r="E21" s="2014"/>
      <c r="F21" s="2014"/>
      <c r="G21" s="2014"/>
      <c r="H21" s="2015"/>
      <c r="I21" s="2069" t="s">
        <v>678</v>
      </c>
      <c r="J21" s="2064"/>
      <c r="K21" s="2064"/>
      <c r="L21" s="2064"/>
      <c r="M21" s="2064"/>
      <c r="N21" s="2064"/>
      <c r="O21" s="2064"/>
      <c r="P21" s="2064"/>
      <c r="Q21" s="2064"/>
      <c r="R21" s="2064"/>
      <c r="S21" s="2070"/>
      <c r="T21" s="2113" t="s">
        <v>2068</v>
      </c>
      <c r="U21" s="2114"/>
      <c r="V21" s="2114"/>
      <c r="W21" s="2114"/>
      <c r="X21" s="2119" t="s">
        <v>2069</v>
      </c>
      <c r="Y21" s="2120"/>
      <c r="Z21" s="2120"/>
      <c r="AA21" s="2121"/>
    </row>
    <row r="22" spans="1:27" ht="13.5" customHeight="1" x14ac:dyDescent="0.2">
      <c r="A22" s="87" t="s">
        <v>531</v>
      </c>
      <c r="B22" s="59"/>
      <c r="C22" s="59"/>
      <c r="D22" s="59"/>
      <c r="E22" s="59"/>
      <c r="F22" s="59"/>
      <c r="G22" s="59"/>
      <c r="H22" s="60"/>
      <c r="I22" s="2071" t="s">
        <v>1429</v>
      </c>
      <c r="J22" s="2072"/>
      <c r="K22" s="2072"/>
      <c r="L22" s="2072"/>
      <c r="M22" s="2072"/>
      <c r="N22" s="2072"/>
      <c r="O22" s="2072"/>
      <c r="P22" s="2072"/>
      <c r="Q22" s="2072"/>
      <c r="R22" s="2072"/>
      <c r="S22" s="2073"/>
      <c r="T22" s="85" t="s">
        <v>1516</v>
      </c>
      <c r="U22" s="51"/>
      <c r="V22" s="72"/>
      <c r="W22" s="51"/>
      <c r="X22" s="160" t="s">
        <v>1318</v>
      </c>
      <c r="Z22" s="45"/>
      <c r="AA22" s="46"/>
    </row>
    <row r="23" spans="1:27" ht="13.5" customHeight="1" x14ac:dyDescent="0.2">
      <c r="A23" s="2066" t="s">
        <v>2075</v>
      </c>
      <c r="B23" s="2067"/>
      <c r="C23" s="2067"/>
      <c r="D23" s="2067"/>
      <c r="E23" s="2067"/>
      <c r="F23" s="2067"/>
      <c r="G23" s="2067"/>
      <c r="H23" s="2068"/>
      <c r="T23" s="2049" t="s">
        <v>2070</v>
      </c>
      <c r="U23" s="2112"/>
      <c r="V23" s="2112"/>
      <c r="W23" s="2112"/>
      <c r="X23" s="2116">
        <v>44530</v>
      </c>
      <c r="Y23" s="2117"/>
      <c r="Z23" s="2117"/>
      <c r="AA23" s="2118"/>
    </row>
    <row r="24" spans="1:27" ht="14.1" customHeight="1" x14ac:dyDescent="0.2">
      <c r="A24" s="88" t="s">
        <v>677</v>
      </c>
      <c r="B24" s="49"/>
      <c r="C24" s="49"/>
      <c r="D24" s="49"/>
      <c r="E24" s="49"/>
      <c r="F24" s="49"/>
      <c r="G24" s="49"/>
      <c r="H24" s="61"/>
      <c r="J24" s="2036">
        <f>IF(B5="x",IF(AUDITCHECK!D29="AFR form Incomplete.","",IF(AUDITCHECK!D29="Deficit reduction plan is required.","School District must complete a deficit reduction plan in the 2019-2020 Budget",)),"")</f>
        <v>0</v>
      </c>
      <c r="K24" s="2036"/>
      <c r="L24" s="2036"/>
      <c r="M24" s="2036"/>
      <c r="N24" s="2036"/>
      <c r="O24" s="2036"/>
      <c r="P24" s="2036"/>
      <c r="Q24" s="2036"/>
      <c r="R24" s="2036"/>
      <c r="S24" s="2037"/>
      <c r="T24" s="105" t="s">
        <v>531</v>
      </c>
      <c r="U24" s="106"/>
      <c r="V24" s="106"/>
      <c r="W24" s="106"/>
      <c r="X24" s="107"/>
      <c r="Y24" s="107"/>
      <c r="Z24" s="107"/>
      <c r="AA24" s="108"/>
    </row>
    <row r="25" spans="1:27" ht="14.1" customHeight="1" x14ac:dyDescent="0.2">
      <c r="A25" s="2013">
        <v>60152</v>
      </c>
      <c r="B25" s="2014"/>
      <c r="C25" s="2014"/>
      <c r="D25" s="2014"/>
      <c r="E25" s="2014"/>
      <c r="F25" s="2014"/>
      <c r="G25" s="2014"/>
      <c r="H25" s="2015"/>
      <c r="I25" s="113"/>
      <c r="J25" s="2038"/>
      <c r="K25" s="2038"/>
      <c r="L25" s="2038"/>
      <c r="M25" s="2038"/>
      <c r="N25" s="2038"/>
      <c r="O25" s="2038"/>
      <c r="P25" s="2038"/>
      <c r="Q25" s="2038"/>
      <c r="R25" s="2038"/>
      <c r="S25" s="2039"/>
      <c r="T25" s="2109" t="s">
        <v>2071</v>
      </c>
      <c r="U25" s="2110"/>
      <c r="V25" s="2110"/>
      <c r="W25" s="2110"/>
      <c r="X25" s="2110"/>
      <c r="Y25" s="2110"/>
      <c r="Z25" s="2110"/>
      <c r="AA25" s="211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24" t="s">
        <v>1511</v>
      </c>
      <c r="J27" s="2025"/>
      <c r="K27" s="2025"/>
      <c r="L27" s="2025"/>
      <c r="M27" s="2025"/>
      <c r="N27" s="2025"/>
      <c r="O27" s="2025"/>
      <c r="P27" s="2025"/>
      <c r="Q27" s="2025"/>
      <c r="R27" s="2025"/>
      <c r="S27" s="2026"/>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2076</v>
      </c>
      <c r="M29" s="40" t="s">
        <v>99</v>
      </c>
      <c r="N29" s="32" t="s">
        <v>1523</v>
      </c>
      <c r="O29" s="32"/>
      <c r="P29" s="32"/>
      <c r="Q29" s="32"/>
      <c r="R29" s="32"/>
      <c r="S29" s="123"/>
      <c r="T29" s="6"/>
      <c r="U29" s="6"/>
      <c r="V29" s="6"/>
      <c r="W29" s="6"/>
      <c r="X29" s="6"/>
      <c r="Y29" s="6"/>
      <c r="Z29" s="6"/>
      <c r="AA29" s="132"/>
    </row>
    <row r="30" spans="1:27" ht="13.5" customHeight="1" x14ac:dyDescent="0.2">
      <c r="A30" s="153"/>
      <c r="B30" s="136" t="s">
        <v>2076</v>
      </c>
      <c r="C30" s="124" t="s">
        <v>1164</v>
      </c>
      <c r="D30" s="28"/>
      <c r="E30" s="28"/>
      <c r="F30" s="140"/>
      <c r="G30" s="114"/>
      <c r="H30" s="114"/>
      <c r="I30" s="54"/>
      <c r="J30" s="102"/>
      <c r="K30" s="28" t="s">
        <v>576</v>
      </c>
      <c r="L30" s="148" t="s">
        <v>2076</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2076</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2035"/>
      <c r="Q35" s="2014"/>
      <c r="R35" s="2014"/>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2049" t="s">
        <v>2077</v>
      </c>
      <c r="B38" s="2050"/>
      <c r="C38" s="2050"/>
      <c r="D38" s="2050"/>
      <c r="E38" s="2050"/>
      <c r="F38" s="2014"/>
      <c r="G38" s="2014"/>
      <c r="H38" s="2015"/>
      <c r="I38" s="2042"/>
      <c r="J38" s="2043"/>
      <c r="K38" s="2043"/>
      <c r="L38" s="2043"/>
      <c r="M38" s="2043"/>
      <c r="N38" s="2043"/>
      <c r="O38" s="2043"/>
      <c r="P38" s="2044"/>
      <c r="Q38" s="2044"/>
      <c r="R38" s="2044"/>
      <c r="S38" s="2045"/>
      <c r="T38" s="2099"/>
      <c r="U38" s="2043"/>
      <c r="V38" s="2043"/>
      <c r="W38" s="2043"/>
      <c r="X38" s="2044"/>
      <c r="Y38" s="2044"/>
      <c r="Z38" s="2044"/>
      <c r="AA38" s="2045"/>
    </row>
    <row r="39" spans="1:27" ht="12" customHeight="1" x14ac:dyDescent="0.2">
      <c r="A39" s="2019" t="s">
        <v>531</v>
      </c>
      <c r="B39" s="2020"/>
      <c r="C39" s="72"/>
      <c r="D39" s="69"/>
      <c r="E39" s="69"/>
      <c r="F39" s="79"/>
      <c r="G39" s="69"/>
      <c r="H39" s="56"/>
      <c r="I39" s="2019" t="s">
        <v>531</v>
      </c>
      <c r="J39" s="2020"/>
      <c r="K39" s="2020"/>
      <c r="L39" s="2020"/>
      <c r="M39" s="2020"/>
      <c r="N39" s="67"/>
      <c r="O39" s="72"/>
      <c r="P39" s="72"/>
      <c r="Q39" s="78"/>
      <c r="R39" s="72"/>
      <c r="S39" s="56"/>
      <c r="T39" s="72" t="s">
        <v>531</v>
      </c>
      <c r="U39" s="51"/>
      <c r="V39" s="72"/>
      <c r="W39" s="50"/>
      <c r="X39" s="78"/>
      <c r="Y39" s="45"/>
      <c r="Z39" s="45"/>
      <c r="AA39" s="46"/>
    </row>
    <row r="40" spans="1:27" ht="13.5" customHeight="1" x14ac:dyDescent="0.2">
      <c r="A40" s="2027" t="s">
        <v>2075</v>
      </c>
      <c r="B40" s="2028"/>
      <c r="C40" s="2029"/>
      <c r="D40" s="2029"/>
      <c r="E40" s="2029"/>
      <c r="F40" s="2030"/>
      <c r="G40" s="2030"/>
      <c r="H40" s="2031"/>
      <c r="I40" s="2052"/>
      <c r="J40" s="2053"/>
      <c r="K40" s="2053"/>
      <c r="L40" s="2053"/>
      <c r="M40" s="2053"/>
      <c r="N40" s="2053"/>
      <c r="O40" s="2053"/>
      <c r="P40" s="2053"/>
      <c r="Q40" s="2053"/>
      <c r="R40" s="2053"/>
      <c r="S40" s="2054"/>
      <c r="T40" s="2052"/>
      <c r="U40" s="2115"/>
      <c r="V40" s="2053"/>
      <c r="W40" s="2053"/>
      <c r="X40" s="2053"/>
      <c r="Y40" s="2053"/>
      <c r="Z40" s="2053"/>
      <c r="AA40" s="2054"/>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41" t="s">
        <v>2078</v>
      </c>
      <c r="B42" s="2033"/>
      <c r="C42" s="2034"/>
      <c r="D42" s="2032" t="s">
        <v>2079</v>
      </c>
      <c r="E42" s="2033"/>
      <c r="F42" s="2033"/>
      <c r="G42" s="2033"/>
      <c r="H42" s="2034"/>
      <c r="I42" s="2016"/>
      <c r="J42" s="2017"/>
      <c r="K42" s="2017"/>
      <c r="L42" s="2017"/>
      <c r="M42" s="2017"/>
      <c r="N42" s="2017"/>
      <c r="O42" s="2018"/>
      <c r="P42" s="2051"/>
      <c r="Q42" s="2017"/>
      <c r="R42" s="2017"/>
      <c r="S42" s="2018"/>
      <c r="T42" s="2016"/>
      <c r="U42" s="2017"/>
      <c r="V42" s="2017"/>
      <c r="W42" s="2018"/>
      <c r="X42" s="2051"/>
      <c r="Y42" s="2017"/>
      <c r="Z42" s="2017"/>
      <c r="AA42" s="2018"/>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46"/>
      <c r="B44" s="2047"/>
      <c r="C44" s="2047"/>
      <c r="D44" s="2047"/>
      <c r="E44" s="2047"/>
      <c r="F44" s="2047"/>
      <c r="G44" s="2047"/>
      <c r="H44" s="2048"/>
      <c r="I44" s="2021"/>
      <c r="J44" s="2022"/>
      <c r="K44" s="2022"/>
      <c r="L44" s="2022"/>
      <c r="M44" s="2022"/>
      <c r="N44" s="2022"/>
      <c r="O44" s="2022"/>
      <c r="P44" s="2022"/>
      <c r="Q44" s="2022"/>
      <c r="R44" s="2022"/>
      <c r="S44" s="2023"/>
      <c r="T44" s="2021"/>
      <c r="U44" s="2040"/>
      <c r="V44" s="2040"/>
      <c r="W44" s="2040"/>
      <c r="X44" s="2040"/>
      <c r="Y44" s="2040"/>
      <c r="Z44" s="2022"/>
      <c r="AA44" s="202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1944</v>
      </c>
      <c r="D46" s="41"/>
      <c r="E46" s="41"/>
      <c r="F46" s="41"/>
      <c r="G46" s="41"/>
      <c r="Q46" s="29" t="s">
        <v>1420</v>
      </c>
      <c r="R46" s="41"/>
      <c r="S46" s="41"/>
      <c r="T46" s="41"/>
      <c r="U46" s="41"/>
      <c r="V46" s="41"/>
      <c r="W46" s="41"/>
      <c r="X46" s="41"/>
      <c r="Y46" s="41"/>
      <c r="Z46" s="41"/>
      <c r="AA46" s="41"/>
    </row>
    <row r="47" spans="1:27" x14ac:dyDescent="0.2">
      <c r="A47" s="137"/>
      <c r="Q47" s="41" t="s">
        <v>1926</v>
      </c>
      <c r="R47" s="41"/>
      <c r="S47" s="41"/>
      <c r="T47" s="41"/>
      <c r="U47" s="41"/>
      <c r="V47" s="41"/>
      <c r="W47" s="41"/>
      <c r="X47" s="41"/>
      <c r="Y47" s="41"/>
      <c r="Z47" s="41"/>
      <c r="AA47" s="41"/>
    </row>
    <row r="48" spans="1:27" x14ac:dyDescent="0.2">
      <c r="Q48" s="41" t="s">
        <v>1927</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20"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A1:F36"/>
  <sheetViews>
    <sheetView showGridLines="0" defaultGridColor="0" view="pageBreakPreview" colorId="8" zoomScaleNormal="110" zoomScaleSheetLayoutView="100" workbookViewId="0">
      <selection activeCell="E19" sqref="E19"/>
    </sheetView>
  </sheetViews>
  <sheetFormatPr defaultRowHeight="12.75" x14ac:dyDescent="0.2"/>
  <cols>
    <col min="1" max="1" width="41.42578125" style="252" customWidth="1"/>
    <col min="2" max="3" width="17.7109375" style="685" customWidth="1"/>
    <col min="4" max="5" width="17.7109375" style="686"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56" t="s">
        <v>104</v>
      </c>
    </row>
    <row r="2" spans="1:6" ht="39.75" customHeight="1" x14ac:dyDescent="0.2">
      <c r="A2" s="2255" t="s">
        <v>1802</v>
      </c>
      <c r="B2" s="1501" t="s">
        <v>1951</v>
      </c>
      <c r="C2" s="687" t="s">
        <v>1952</v>
      </c>
      <c r="D2" s="687" t="s">
        <v>1953</v>
      </c>
      <c r="E2" s="687" t="s">
        <v>1954</v>
      </c>
      <c r="F2" s="687" t="s">
        <v>1955</v>
      </c>
    </row>
    <row r="3" spans="1:6" ht="12" customHeight="1" x14ac:dyDescent="0.2">
      <c r="A3" s="2256"/>
      <c r="B3" s="1498"/>
      <c r="C3" s="1499"/>
      <c r="D3" s="1500" t="s">
        <v>256</v>
      </c>
      <c r="E3" s="1499"/>
      <c r="F3" s="1500" t="s">
        <v>257</v>
      </c>
    </row>
    <row r="4" spans="1:6" ht="13.7" customHeight="1" x14ac:dyDescent="0.2">
      <c r="A4" s="688" t="s">
        <v>1155</v>
      </c>
      <c r="B4" s="1722">
        <f>'Revenues 9-14'!C5</f>
        <v>3057207</v>
      </c>
      <c r="C4" s="1497">
        <v>1646296</v>
      </c>
      <c r="D4" s="1725">
        <f>B4-C4</f>
        <v>1410911</v>
      </c>
      <c r="E4" s="1497">
        <v>3087593</v>
      </c>
      <c r="F4" s="1725">
        <f>E4-C4</f>
        <v>1441297</v>
      </c>
    </row>
    <row r="5" spans="1:6" ht="13.7" customHeight="1" x14ac:dyDescent="0.2">
      <c r="A5" s="688" t="s">
        <v>870</v>
      </c>
      <c r="B5" s="1723">
        <f>'Revenues 9-14'!D5</f>
        <v>592102</v>
      </c>
      <c r="C5" s="565">
        <v>327116</v>
      </c>
      <c r="D5" s="1726">
        <f t="shared" ref="D5:D18" si="0">B5-C5</f>
        <v>264986</v>
      </c>
      <c r="E5" s="565">
        <v>613499</v>
      </c>
      <c r="F5" s="1726">
        <f>E5-C5</f>
        <v>286383</v>
      </c>
    </row>
    <row r="6" spans="1:6" ht="13.7" customHeight="1" x14ac:dyDescent="0.2">
      <c r="A6" s="688" t="s">
        <v>411</v>
      </c>
      <c r="B6" s="1723">
        <f>'Revenues 9-14'!E5</f>
        <v>0</v>
      </c>
      <c r="C6" s="565">
        <v>0</v>
      </c>
      <c r="D6" s="1726">
        <f t="shared" si="0"/>
        <v>0</v>
      </c>
      <c r="E6" s="565">
        <v>0</v>
      </c>
      <c r="F6" s="1726">
        <f t="shared" ref="F6:F18" si="1">E6-C6</f>
        <v>0</v>
      </c>
    </row>
    <row r="7" spans="1:6" ht="13.7" customHeight="1" x14ac:dyDescent="0.2">
      <c r="A7" s="688" t="s">
        <v>155</v>
      </c>
      <c r="B7" s="1723">
        <f>'Revenues 9-14'!F5</f>
        <v>7291</v>
      </c>
      <c r="C7" s="565">
        <v>4205</v>
      </c>
      <c r="D7" s="1726">
        <f t="shared" si="0"/>
        <v>3086</v>
      </c>
      <c r="E7" s="565">
        <v>7886</v>
      </c>
      <c r="F7" s="1726">
        <f t="shared" si="1"/>
        <v>3681</v>
      </c>
    </row>
    <row r="8" spans="1:6" ht="13.7" customHeight="1" x14ac:dyDescent="0.2">
      <c r="A8" s="688" t="s">
        <v>1179</v>
      </c>
      <c r="B8" s="1723">
        <f>'Revenues 9-14'!G5</f>
        <v>98228</v>
      </c>
      <c r="C8" s="565">
        <v>54137</v>
      </c>
      <c r="D8" s="1726">
        <f t="shared" si="0"/>
        <v>44091</v>
      </c>
      <c r="E8" s="565">
        <v>101533</v>
      </c>
      <c r="F8" s="1726">
        <f t="shared" si="1"/>
        <v>47396</v>
      </c>
    </row>
    <row r="9" spans="1:6" ht="13.7" customHeight="1" x14ac:dyDescent="0.2">
      <c r="A9" s="688" t="s">
        <v>408</v>
      </c>
      <c r="B9" s="1723">
        <f>'Revenues 9-14'!H5</f>
        <v>0</v>
      </c>
      <c r="C9" s="565">
        <v>0</v>
      </c>
      <c r="D9" s="1726">
        <f t="shared" si="0"/>
        <v>0</v>
      </c>
      <c r="E9" s="565">
        <v>0</v>
      </c>
      <c r="F9" s="1726">
        <f t="shared" si="1"/>
        <v>0</v>
      </c>
    </row>
    <row r="10" spans="1:6" ht="13.7" customHeight="1" x14ac:dyDescent="0.2">
      <c r="A10" s="688" t="s">
        <v>407</v>
      </c>
      <c r="B10" s="1723">
        <f>'Revenues 9-14'!I5</f>
        <v>16607</v>
      </c>
      <c r="C10" s="565">
        <v>11563</v>
      </c>
      <c r="D10" s="1726">
        <f t="shared" si="0"/>
        <v>5044</v>
      </c>
      <c r="E10" s="565">
        <v>21687</v>
      </c>
      <c r="F10" s="1726">
        <f t="shared" si="1"/>
        <v>10124</v>
      </c>
    </row>
    <row r="11" spans="1:6" x14ac:dyDescent="0.2">
      <c r="A11" s="688" t="s">
        <v>409</v>
      </c>
      <c r="B11" s="1723">
        <f>'Revenues 9-14'!J5</f>
        <v>45699</v>
      </c>
      <c r="C11" s="565">
        <v>23653</v>
      </c>
      <c r="D11" s="1726">
        <f t="shared" si="0"/>
        <v>22046</v>
      </c>
      <c r="E11" s="565">
        <v>44360</v>
      </c>
      <c r="F11" s="1726">
        <f t="shared" si="1"/>
        <v>20707</v>
      </c>
    </row>
    <row r="12" spans="1:6" ht="13.7" customHeight="1" x14ac:dyDescent="0.2">
      <c r="A12" s="688" t="s">
        <v>157</v>
      </c>
      <c r="B12" s="1723">
        <f>'Revenues 9-14'!K5</f>
        <v>0</v>
      </c>
      <c r="C12" s="565">
        <v>0</v>
      </c>
      <c r="D12" s="1726">
        <f t="shared" si="0"/>
        <v>0</v>
      </c>
      <c r="E12" s="565">
        <v>0</v>
      </c>
      <c r="F12" s="1726">
        <f t="shared" si="1"/>
        <v>0</v>
      </c>
    </row>
    <row r="13" spans="1:6" ht="13.7" customHeight="1" x14ac:dyDescent="0.2">
      <c r="A13" s="688" t="s">
        <v>936</v>
      </c>
      <c r="B13" s="1723">
        <f>SUM('Revenues 9-14'!C6:D6)</f>
        <v>0</v>
      </c>
      <c r="C13" s="565">
        <v>0</v>
      </c>
      <c r="D13" s="1726">
        <f t="shared" si="0"/>
        <v>0</v>
      </c>
      <c r="E13" s="565">
        <v>0</v>
      </c>
      <c r="F13" s="1726">
        <f t="shared" si="1"/>
        <v>0</v>
      </c>
    </row>
    <row r="14" spans="1:6" ht="13.7" customHeight="1" x14ac:dyDescent="0.2">
      <c r="A14" s="688" t="s">
        <v>410</v>
      </c>
      <c r="B14" s="1723">
        <f>SUM('Revenues 9-14'!C7:D7,'Revenues 9-14'!F7:H7)</f>
        <v>150679</v>
      </c>
      <c r="C14" s="565">
        <v>131401</v>
      </c>
      <c r="D14" s="1726">
        <f t="shared" si="0"/>
        <v>19278</v>
      </c>
      <c r="E14" s="565">
        <v>246439</v>
      </c>
      <c r="F14" s="1726">
        <f t="shared" si="1"/>
        <v>115038</v>
      </c>
    </row>
    <row r="15" spans="1:6" ht="13.7" customHeight="1" x14ac:dyDescent="0.2">
      <c r="A15" s="688" t="s">
        <v>1158</v>
      </c>
      <c r="B15" s="1723">
        <f>SUM('Revenues 9-14'!D9:E9,'Revenues 9-14'!H9)</f>
        <v>0</v>
      </c>
      <c r="C15" s="565">
        <v>0</v>
      </c>
      <c r="D15" s="1726">
        <f t="shared" si="0"/>
        <v>0</v>
      </c>
      <c r="E15" s="565">
        <v>0</v>
      </c>
      <c r="F15" s="1726">
        <f t="shared" si="1"/>
        <v>0</v>
      </c>
    </row>
    <row r="16" spans="1:6" ht="13.7" customHeight="1" x14ac:dyDescent="0.2">
      <c r="A16" s="688" t="s">
        <v>1159</v>
      </c>
      <c r="B16" s="1723">
        <f>'Revenues 9-14'!G8</f>
        <v>49378</v>
      </c>
      <c r="C16" s="565">
        <v>27331</v>
      </c>
      <c r="D16" s="1726">
        <f t="shared" si="0"/>
        <v>22047</v>
      </c>
      <c r="E16" s="565">
        <v>51259</v>
      </c>
      <c r="F16" s="1726">
        <f t="shared" si="1"/>
        <v>23928</v>
      </c>
    </row>
    <row r="17" spans="1:6" ht="13.7" customHeight="1" x14ac:dyDescent="0.2">
      <c r="A17" s="688" t="s">
        <v>1160</v>
      </c>
      <c r="B17" s="1723">
        <f>'Revenues 9-14'!C10</f>
        <v>0</v>
      </c>
      <c r="C17" s="565">
        <v>0</v>
      </c>
      <c r="D17" s="1726">
        <f t="shared" si="0"/>
        <v>0</v>
      </c>
      <c r="E17" s="565">
        <v>0</v>
      </c>
      <c r="F17" s="1726">
        <f t="shared" si="1"/>
        <v>0</v>
      </c>
    </row>
    <row r="18" spans="1:6" ht="13.7" customHeight="1" x14ac:dyDescent="0.2">
      <c r="A18" s="688" t="s">
        <v>762</v>
      </c>
      <c r="B18" s="1723">
        <f>SUM('Revenues 9-14'!C11:K11)</f>
        <v>0</v>
      </c>
      <c r="C18" s="565">
        <v>0</v>
      </c>
      <c r="D18" s="1726">
        <f t="shared" si="0"/>
        <v>0</v>
      </c>
      <c r="E18" s="565">
        <v>0</v>
      </c>
      <c r="F18" s="1726">
        <f t="shared" si="1"/>
        <v>0</v>
      </c>
    </row>
    <row r="19" spans="1:6" ht="13.7" customHeight="1" thickBot="1" x14ac:dyDescent="0.25">
      <c r="A19" s="1727" t="s">
        <v>1161</v>
      </c>
      <c r="B19" s="1724">
        <f>SUM(B4:B18)</f>
        <v>4017191</v>
      </c>
      <c r="C19" s="1724">
        <f>SUM(C4:C18)</f>
        <v>2225702</v>
      </c>
      <c r="D19" s="1724">
        <f>SUM(D4:D18)</f>
        <v>1791489</v>
      </c>
      <c r="E19" s="1724">
        <f>SUM(E4:E18)</f>
        <v>4174256</v>
      </c>
      <c r="F19" s="1724">
        <f>SUM(F4:F18)</f>
        <v>1948554</v>
      </c>
    </row>
    <row r="20" spans="1:6" ht="13.5" thickTop="1" x14ac:dyDescent="0.2">
      <c r="B20" s="686"/>
      <c r="F20" s="689"/>
    </row>
    <row r="21" spans="1:6" x14ac:dyDescent="0.2">
      <c r="A21" s="690" t="s">
        <v>1808</v>
      </c>
      <c r="B21" s="691"/>
      <c r="F21" s="689"/>
    </row>
    <row r="22" spans="1:6" x14ac:dyDescent="0.2">
      <c r="A22" s="692" t="s">
        <v>628</v>
      </c>
      <c r="B22" s="693"/>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20"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K59"/>
  <sheetViews>
    <sheetView showGridLines="0" defaultGridColor="0" view="pageBreakPreview" colorId="8" zoomScaleNormal="110" zoomScaleSheetLayoutView="100" workbookViewId="0">
      <selection activeCell="E31" sqref="E31"/>
    </sheetView>
  </sheetViews>
  <sheetFormatPr defaultColWidth="9.140625" defaultRowHeight="12.75" x14ac:dyDescent="0.2"/>
  <cols>
    <col min="1" max="1" width="44" style="401" customWidth="1"/>
    <col min="2" max="2" width="12.140625" style="695" customWidth="1"/>
    <col min="3" max="5" width="16.7109375" style="695"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77" t="s">
        <v>629</v>
      </c>
      <c r="B1" s="2275"/>
      <c r="C1" s="694"/>
    </row>
    <row r="2" spans="1:7" ht="33.75" x14ac:dyDescent="0.2">
      <c r="A2" s="2282" t="s">
        <v>1802</v>
      </c>
      <c r="B2" s="2283"/>
      <c r="C2" s="1857" t="s">
        <v>1956</v>
      </c>
      <c r="D2" s="696" t="s">
        <v>1957</v>
      </c>
      <c r="E2" s="696" t="s">
        <v>1958</v>
      </c>
      <c r="F2" s="1857" t="s">
        <v>1959</v>
      </c>
    </row>
    <row r="3" spans="1:7" ht="15.75" customHeight="1" x14ac:dyDescent="0.2">
      <c r="A3" s="2284" t="s">
        <v>1114</v>
      </c>
      <c r="B3" s="2285"/>
      <c r="C3" s="2278"/>
      <c r="D3" s="2279"/>
      <c r="E3" s="2279"/>
      <c r="F3" s="2280"/>
    </row>
    <row r="4" spans="1:7" ht="12.75" customHeight="1" thickBot="1" x14ac:dyDescent="0.25">
      <c r="A4" s="2272" t="s">
        <v>630</v>
      </c>
      <c r="B4" s="2273"/>
      <c r="C4" s="562"/>
      <c r="D4" s="562"/>
      <c r="E4" s="562"/>
      <c r="F4" s="1728">
        <f>SUM(C4+D4)-E4</f>
        <v>0</v>
      </c>
    </row>
    <row r="5" spans="1:7" ht="15.75" customHeight="1" thickTop="1" x14ac:dyDescent="0.2">
      <c r="A5" s="2276" t="s">
        <v>1110</v>
      </c>
      <c r="B5" s="2271"/>
      <c r="C5" s="2265"/>
      <c r="D5" s="2266"/>
      <c r="E5" s="2266"/>
      <c r="F5" s="2267"/>
    </row>
    <row r="6" spans="1:7" ht="12.75" customHeight="1" thickBot="1" x14ac:dyDescent="0.25">
      <c r="A6" s="697" t="s">
        <v>64</v>
      </c>
      <c r="B6" s="698"/>
      <c r="C6" s="699"/>
      <c r="D6" s="565"/>
      <c r="E6" s="699"/>
      <c r="F6" s="1728">
        <f t="shared" ref="F6:F14" si="0">SUM(C6+D6)-E6</f>
        <v>0</v>
      </c>
    </row>
    <row r="7" spans="1:7" ht="12.75" customHeight="1" thickTop="1" thickBot="1" x14ac:dyDescent="0.25">
      <c r="A7" s="697" t="s">
        <v>6</v>
      </c>
      <c r="B7" s="698"/>
      <c r="C7" s="699"/>
      <c r="D7" s="565"/>
      <c r="E7" s="699"/>
      <c r="F7" s="1728">
        <f t="shared" si="0"/>
        <v>0</v>
      </c>
    </row>
    <row r="8" spans="1:7" ht="12.75" customHeight="1" thickTop="1" thickBot="1" x14ac:dyDescent="0.25">
      <c r="A8" s="697" t="s">
        <v>508</v>
      </c>
      <c r="B8" s="698"/>
      <c r="C8" s="699"/>
      <c r="D8" s="565"/>
      <c r="E8" s="699"/>
      <c r="F8" s="1728">
        <f t="shared" si="0"/>
        <v>0</v>
      </c>
    </row>
    <row r="9" spans="1:7" ht="12.75" customHeight="1" thickTop="1" thickBot="1" x14ac:dyDescent="0.25">
      <c r="A9" s="697" t="s">
        <v>509</v>
      </c>
      <c r="B9" s="698"/>
      <c r="C9" s="699"/>
      <c r="D9" s="565"/>
      <c r="E9" s="699"/>
      <c r="F9" s="1728">
        <f t="shared" si="0"/>
        <v>0</v>
      </c>
    </row>
    <row r="10" spans="1:7" ht="12.75" customHeight="1" thickTop="1" thickBot="1" x14ac:dyDescent="0.25">
      <c r="A10" s="697" t="s">
        <v>510</v>
      </c>
      <c r="B10" s="698"/>
      <c r="C10" s="699"/>
      <c r="D10" s="565"/>
      <c r="E10" s="699"/>
      <c r="F10" s="1728">
        <f t="shared" si="0"/>
        <v>0</v>
      </c>
    </row>
    <row r="11" spans="1:7" ht="12.75" customHeight="1" thickTop="1" thickBot="1" x14ac:dyDescent="0.25">
      <c r="A11" s="697" t="s">
        <v>341</v>
      </c>
      <c r="B11" s="698"/>
      <c r="C11" s="699"/>
      <c r="D11" s="565"/>
      <c r="E11" s="699"/>
      <c r="F11" s="1728">
        <f t="shared" si="0"/>
        <v>0</v>
      </c>
    </row>
    <row r="12" spans="1:7" ht="12.75" customHeight="1" thickTop="1" thickBot="1" x14ac:dyDescent="0.25">
      <c r="A12" s="697" t="s">
        <v>1157</v>
      </c>
      <c r="B12" s="698"/>
      <c r="C12" s="699"/>
      <c r="D12" s="565"/>
      <c r="E12" s="699"/>
      <c r="F12" s="1728">
        <f t="shared" si="0"/>
        <v>0</v>
      </c>
    </row>
    <row r="13" spans="1:7" ht="12.75" customHeight="1" thickTop="1" thickBot="1" x14ac:dyDescent="0.25">
      <c r="A13" s="697" t="s">
        <v>388</v>
      </c>
      <c r="B13" s="698"/>
      <c r="C13" s="699"/>
      <c r="D13" s="565"/>
      <c r="E13" s="699"/>
      <c r="F13" s="1728">
        <f t="shared" si="0"/>
        <v>0</v>
      </c>
    </row>
    <row r="14" spans="1:7" ht="12.75" customHeight="1" thickTop="1" thickBot="1" x14ac:dyDescent="0.25">
      <c r="A14" s="697" t="s">
        <v>448</v>
      </c>
      <c r="B14" s="698"/>
      <c r="C14" s="699"/>
      <c r="D14" s="565"/>
      <c r="E14" s="699"/>
      <c r="F14" s="1728">
        <f t="shared" si="0"/>
        <v>0</v>
      </c>
    </row>
    <row r="15" spans="1:7" ht="14.25" thickTop="1" thickBot="1" x14ac:dyDescent="0.25">
      <c r="A15" s="2268" t="s">
        <v>631</v>
      </c>
      <c r="B15" s="2269"/>
      <c r="C15" s="1728">
        <f>SUM(C6:C14)</f>
        <v>0</v>
      </c>
      <c r="D15" s="1728">
        <f>SUM(D6:D14)</f>
        <v>0</v>
      </c>
      <c r="E15" s="1728">
        <f>SUM(E6:E14)</f>
        <v>0</v>
      </c>
      <c r="F15" s="1728">
        <f>SUM(F6:F14)</f>
        <v>0</v>
      </c>
      <c r="G15" s="540"/>
    </row>
    <row r="16" spans="1:7" s="202" customFormat="1" ht="15.75" customHeight="1" thickTop="1" x14ac:dyDescent="0.2">
      <c r="A16" s="2281" t="s">
        <v>1111</v>
      </c>
      <c r="B16" s="2271"/>
      <c r="C16" s="2265"/>
      <c r="D16" s="2266"/>
      <c r="E16" s="2266"/>
      <c r="F16" s="2267"/>
    </row>
    <row r="17" spans="1:11" ht="12.75" customHeight="1" thickBot="1" x14ac:dyDescent="0.25">
      <c r="A17" s="2263" t="s">
        <v>64</v>
      </c>
      <c r="B17" s="2264"/>
      <c r="C17" s="699"/>
      <c r="D17" s="565"/>
      <c r="E17" s="699"/>
      <c r="F17" s="1728">
        <f>SUM(C17+D17)-E17</f>
        <v>0</v>
      </c>
    </row>
    <row r="18" spans="1:11" ht="12.75" customHeight="1" thickTop="1" thickBot="1" x14ac:dyDescent="0.25">
      <c r="A18" s="2263" t="s">
        <v>6</v>
      </c>
      <c r="B18" s="2264"/>
      <c r="C18" s="699"/>
      <c r="D18" s="565"/>
      <c r="E18" s="699"/>
      <c r="F18" s="1728">
        <f>SUM(C18+D18)-E18</f>
        <v>0</v>
      </c>
    </row>
    <row r="19" spans="1:11" ht="12.75" customHeight="1" thickTop="1" thickBot="1" x14ac:dyDescent="0.25">
      <c r="A19" s="2263" t="s">
        <v>388</v>
      </c>
      <c r="B19" s="2264"/>
      <c r="C19" s="699"/>
      <c r="D19" s="565"/>
      <c r="E19" s="699"/>
      <c r="F19" s="1728">
        <f>SUM(C19+D19)-E19</f>
        <v>0</v>
      </c>
    </row>
    <row r="20" spans="1:11" ht="12.75" customHeight="1" thickTop="1" thickBot="1" x14ac:dyDescent="0.25">
      <c r="A20" s="2263" t="s">
        <v>448</v>
      </c>
      <c r="B20" s="2264"/>
      <c r="C20" s="699"/>
      <c r="D20" s="565"/>
      <c r="E20" s="699"/>
      <c r="F20" s="1728">
        <f>SUM(C20+D20)-E20</f>
        <v>0</v>
      </c>
    </row>
    <row r="21" spans="1:11" ht="14.25" thickTop="1" thickBot="1" x14ac:dyDescent="0.25">
      <c r="A21" s="2268" t="s">
        <v>632</v>
      </c>
      <c r="B21" s="2269"/>
      <c r="C21" s="1728">
        <f>SUM(C17:C20)</f>
        <v>0</v>
      </c>
      <c r="D21" s="1728">
        <f>SUM(D17:D20)</f>
        <v>0</v>
      </c>
      <c r="E21" s="1728">
        <f>SUM(E17:E20)</f>
        <v>0</v>
      </c>
      <c r="F21" s="1728">
        <f>SUM(F17:F20)</f>
        <v>0</v>
      </c>
      <c r="G21" s="540"/>
    </row>
    <row r="22" spans="1:11" ht="15.75" customHeight="1" thickTop="1" x14ac:dyDescent="0.2">
      <c r="A22" s="2270" t="s">
        <v>1112</v>
      </c>
      <c r="B22" s="2271"/>
      <c r="C22" s="2265"/>
      <c r="D22" s="2266"/>
      <c r="E22" s="2266"/>
      <c r="F22" s="2267"/>
    </row>
    <row r="23" spans="1:11" ht="13.5" thickBot="1" x14ac:dyDescent="0.25">
      <c r="A23" s="2272" t="s">
        <v>633</v>
      </c>
      <c r="B23" s="2273"/>
      <c r="C23" s="562"/>
      <c r="D23" s="562"/>
      <c r="E23" s="562"/>
      <c r="F23" s="1728">
        <f>SUM(C23+D23)-E23</f>
        <v>0</v>
      </c>
      <c r="G23" s="540"/>
    </row>
    <row r="24" spans="1:11" ht="15.75" customHeight="1" thickTop="1" x14ac:dyDescent="0.2">
      <c r="A24" s="2270" t="s">
        <v>1113</v>
      </c>
      <c r="B24" s="2271"/>
      <c r="C24" s="2265"/>
      <c r="D24" s="2266"/>
      <c r="E24" s="2266"/>
      <c r="F24" s="2267"/>
    </row>
    <row r="25" spans="1:11" ht="13.5" thickBot="1" x14ac:dyDescent="0.25">
      <c r="A25" s="2272" t="s">
        <v>634</v>
      </c>
      <c r="B25" s="2273"/>
      <c r="C25" s="562"/>
      <c r="D25" s="562"/>
      <c r="E25" s="562"/>
      <c r="F25" s="1728">
        <f>SUM(C25+D25)-E25</f>
        <v>0</v>
      </c>
      <c r="G25" s="540"/>
    </row>
    <row r="26" spans="1:11" ht="15.75" customHeight="1" thickTop="1" x14ac:dyDescent="0.2">
      <c r="A26" s="2276" t="s">
        <v>657</v>
      </c>
      <c r="B26" s="2271"/>
      <c r="C26" s="700"/>
      <c r="D26" s="700"/>
      <c r="E26" s="700"/>
      <c r="F26" s="701"/>
    </row>
    <row r="27" spans="1:11" ht="13.5" thickBot="1" x14ac:dyDescent="0.25">
      <c r="A27" s="2268" t="s">
        <v>1070</v>
      </c>
      <c r="B27" s="2269"/>
      <c r="C27" s="565"/>
      <c r="D27" s="565"/>
      <c r="E27" s="565"/>
      <c r="F27" s="1728">
        <f>SUM(C27+D27)-E27</f>
        <v>0</v>
      </c>
      <c r="G27" s="540"/>
    </row>
    <row r="28" spans="1:11" ht="7.5" customHeight="1" thickTop="1" x14ac:dyDescent="0.2">
      <c r="A28" s="570"/>
    </row>
    <row r="29" spans="1:11" ht="23.25" customHeight="1" x14ac:dyDescent="0.2">
      <c r="A29" s="2274" t="s">
        <v>582</v>
      </c>
      <c r="B29" s="2275"/>
      <c r="C29" s="702"/>
      <c r="D29" s="702"/>
      <c r="E29" s="702"/>
      <c r="F29" s="702"/>
      <c r="G29" s="702"/>
      <c r="H29" s="702"/>
      <c r="I29" s="702"/>
      <c r="J29" s="702"/>
    </row>
    <row r="30" spans="1:11" ht="33.75" x14ac:dyDescent="0.2">
      <c r="A30" s="1502" t="s">
        <v>1071</v>
      </c>
      <c r="B30" s="703" t="s">
        <v>1124</v>
      </c>
      <c r="C30" s="1858" t="s">
        <v>583</v>
      </c>
      <c r="D30" s="1858" t="s">
        <v>1673</v>
      </c>
      <c r="E30" s="1858" t="s">
        <v>1960</v>
      </c>
      <c r="F30" s="1858" t="s">
        <v>1961</v>
      </c>
      <c r="G30" s="1858" t="s">
        <v>1911</v>
      </c>
      <c r="H30" s="1858" t="s">
        <v>1962</v>
      </c>
      <c r="I30" s="1858" t="s">
        <v>1963</v>
      </c>
      <c r="J30" s="1859" t="s">
        <v>2</v>
      </c>
      <c r="K30" s="704"/>
    </row>
    <row r="31" spans="1:11" ht="12" customHeight="1" x14ac:dyDescent="0.2">
      <c r="A31" s="705"/>
      <c r="B31" s="706"/>
      <c r="C31" s="707"/>
      <c r="D31" s="708"/>
      <c r="E31" s="707"/>
      <c r="F31" s="707"/>
      <c r="G31" s="707"/>
      <c r="H31" s="707"/>
      <c r="I31" s="1729">
        <f>((E31+F31)-H31)+G31</f>
        <v>0</v>
      </c>
      <c r="J31" s="707"/>
      <c r="K31" s="709"/>
    </row>
    <row r="32" spans="1:11" ht="12" customHeight="1" x14ac:dyDescent="0.2">
      <c r="A32" s="705"/>
      <c r="B32" s="706"/>
      <c r="C32" s="707"/>
      <c r="D32" s="708"/>
      <c r="E32" s="707"/>
      <c r="F32" s="707"/>
      <c r="G32" s="707"/>
      <c r="H32" s="707"/>
      <c r="I32" s="1729">
        <f>((E32+F32)-H32)+G32</f>
        <v>0</v>
      </c>
      <c r="J32" s="707"/>
      <c r="K32" s="709"/>
    </row>
    <row r="33" spans="1:11" ht="12" customHeight="1" x14ac:dyDescent="0.2">
      <c r="A33" s="705"/>
      <c r="B33" s="706"/>
      <c r="C33" s="707"/>
      <c r="D33" s="708"/>
      <c r="E33" s="707"/>
      <c r="F33" s="707"/>
      <c r="G33" s="707"/>
      <c r="H33" s="707"/>
      <c r="I33" s="1729">
        <f t="shared" ref="I33:I48" si="1">((E33+F33)-H33)+G33</f>
        <v>0</v>
      </c>
      <c r="J33" s="707"/>
      <c r="K33" s="709"/>
    </row>
    <row r="34" spans="1:11" ht="12" customHeight="1" x14ac:dyDescent="0.2">
      <c r="A34" s="705"/>
      <c r="B34" s="706"/>
      <c r="C34" s="707"/>
      <c r="D34" s="708"/>
      <c r="E34" s="707"/>
      <c r="F34" s="707"/>
      <c r="G34" s="707"/>
      <c r="H34" s="707"/>
      <c r="I34" s="1729">
        <f t="shared" si="1"/>
        <v>0</v>
      </c>
      <c r="J34" s="707"/>
      <c r="K34" s="710"/>
    </row>
    <row r="35" spans="1:11" ht="12" customHeight="1" x14ac:dyDescent="0.2">
      <c r="A35" s="705"/>
      <c r="B35" s="706"/>
      <c r="C35" s="711"/>
      <c r="D35" s="708"/>
      <c r="E35" s="711"/>
      <c r="F35" s="711"/>
      <c r="G35" s="711"/>
      <c r="H35" s="711"/>
      <c r="I35" s="1729">
        <f t="shared" si="1"/>
        <v>0</v>
      </c>
      <c r="J35" s="711"/>
      <c r="K35" s="710"/>
    </row>
    <row r="36" spans="1:11" ht="12" customHeight="1" x14ac:dyDescent="0.2">
      <c r="A36" s="705"/>
      <c r="B36" s="706"/>
      <c r="C36" s="707"/>
      <c r="D36" s="708"/>
      <c r="E36" s="707"/>
      <c r="F36" s="707"/>
      <c r="G36" s="707"/>
      <c r="H36" s="707"/>
      <c r="I36" s="1729">
        <f t="shared" si="1"/>
        <v>0</v>
      </c>
      <c r="J36" s="707"/>
      <c r="K36" s="712"/>
    </row>
    <row r="37" spans="1:11" ht="12" customHeight="1" x14ac:dyDescent="0.2">
      <c r="A37" s="705"/>
      <c r="B37" s="706"/>
      <c r="C37" s="466"/>
      <c r="D37" s="713"/>
      <c r="E37" s="466"/>
      <c r="F37" s="466"/>
      <c r="G37" s="466"/>
      <c r="H37" s="466"/>
      <c r="I37" s="1729">
        <f t="shared" si="1"/>
        <v>0</v>
      </c>
      <c r="J37" s="466"/>
      <c r="K37" s="710"/>
    </row>
    <row r="38" spans="1:11" ht="12" customHeight="1" x14ac:dyDescent="0.2">
      <c r="A38" s="705"/>
      <c r="B38" s="706"/>
      <c r="C38" s="707"/>
      <c r="D38" s="714"/>
      <c r="E38" s="715"/>
      <c r="F38" s="715"/>
      <c r="G38" s="715"/>
      <c r="H38" s="715"/>
      <c r="I38" s="1729">
        <f t="shared" si="1"/>
        <v>0</v>
      </c>
      <c r="J38" s="716" t="s">
        <v>264</v>
      </c>
      <c r="K38" s="717"/>
    </row>
    <row r="39" spans="1:11" ht="12" customHeight="1" x14ac:dyDescent="0.2">
      <c r="A39" s="705"/>
      <c r="B39" s="706"/>
      <c r="C39" s="707"/>
      <c r="D39" s="714"/>
      <c r="E39" s="715"/>
      <c r="F39" s="715"/>
      <c r="G39" s="715"/>
      <c r="H39" s="715"/>
      <c r="I39" s="1729">
        <f t="shared" si="1"/>
        <v>0</v>
      </c>
      <c r="J39" s="716"/>
      <c r="K39" s="717"/>
    </row>
    <row r="40" spans="1:11" ht="12" customHeight="1" x14ac:dyDescent="0.2">
      <c r="A40" s="705"/>
      <c r="B40" s="706"/>
      <c r="C40" s="707"/>
      <c r="D40" s="714"/>
      <c r="E40" s="715"/>
      <c r="F40" s="715"/>
      <c r="G40" s="715"/>
      <c r="H40" s="715"/>
      <c r="I40" s="1729">
        <f t="shared" si="1"/>
        <v>0</v>
      </c>
      <c r="J40" s="716"/>
      <c r="K40" s="717"/>
    </row>
    <row r="41" spans="1:11" ht="12" customHeight="1" x14ac:dyDescent="0.2">
      <c r="A41" s="705"/>
      <c r="B41" s="706"/>
      <c r="C41" s="707"/>
      <c r="D41" s="714"/>
      <c r="E41" s="715"/>
      <c r="F41" s="715"/>
      <c r="G41" s="715"/>
      <c r="H41" s="715"/>
      <c r="I41" s="1729">
        <f t="shared" si="1"/>
        <v>0</v>
      </c>
      <c r="J41" s="716"/>
      <c r="K41" s="717"/>
    </row>
    <row r="42" spans="1:11" ht="12" customHeight="1" x14ac:dyDescent="0.2">
      <c r="A42" s="705"/>
      <c r="B42" s="706"/>
      <c r="C42" s="707"/>
      <c r="D42" s="714"/>
      <c r="E42" s="715"/>
      <c r="F42" s="715"/>
      <c r="G42" s="715"/>
      <c r="H42" s="715"/>
      <c r="I42" s="1729">
        <f t="shared" si="1"/>
        <v>0</v>
      </c>
      <c r="J42" s="716"/>
      <c r="K42" s="717"/>
    </row>
    <row r="43" spans="1:11" ht="12" customHeight="1" x14ac:dyDescent="0.2">
      <c r="A43" s="705"/>
      <c r="B43" s="706"/>
      <c r="C43" s="707"/>
      <c r="D43" s="714"/>
      <c r="E43" s="715"/>
      <c r="F43" s="715"/>
      <c r="G43" s="715"/>
      <c r="H43" s="715"/>
      <c r="I43" s="1729">
        <f t="shared" si="1"/>
        <v>0</v>
      </c>
      <c r="J43" s="716"/>
      <c r="K43" s="717"/>
    </row>
    <row r="44" spans="1:11" ht="12" customHeight="1" x14ac:dyDescent="0.2">
      <c r="A44" s="705"/>
      <c r="B44" s="706"/>
      <c r="C44" s="707"/>
      <c r="D44" s="708"/>
      <c r="E44" s="707"/>
      <c r="F44" s="707"/>
      <c r="G44" s="707"/>
      <c r="H44" s="707"/>
      <c r="I44" s="1729">
        <f t="shared" si="1"/>
        <v>0</v>
      </c>
      <c r="J44" s="707"/>
      <c r="K44" s="710"/>
    </row>
    <row r="45" spans="1:11" ht="12" customHeight="1" x14ac:dyDescent="0.2">
      <c r="A45" s="705"/>
      <c r="B45" s="706"/>
      <c r="C45" s="707"/>
      <c r="D45" s="708"/>
      <c r="E45" s="707"/>
      <c r="F45" s="707"/>
      <c r="G45" s="707"/>
      <c r="H45" s="707"/>
      <c r="I45" s="1729">
        <f t="shared" si="1"/>
        <v>0</v>
      </c>
      <c r="J45" s="707"/>
      <c r="K45" s="710"/>
    </row>
    <row r="46" spans="1:11" ht="12" customHeight="1" x14ac:dyDescent="0.2">
      <c r="A46" s="705"/>
      <c r="B46" s="706"/>
      <c r="C46" s="707"/>
      <c r="D46" s="708"/>
      <c r="E46" s="707"/>
      <c r="F46" s="707"/>
      <c r="G46" s="707"/>
      <c r="H46" s="707"/>
      <c r="I46" s="1729">
        <f t="shared" si="1"/>
        <v>0</v>
      </c>
      <c r="J46" s="707"/>
      <c r="K46" s="710"/>
    </row>
    <row r="47" spans="1:11" ht="12" customHeight="1" x14ac:dyDescent="0.2">
      <c r="A47" s="705"/>
      <c r="B47" s="706"/>
      <c r="C47" s="711"/>
      <c r="D47" s="708"/>
      <c r="E47" s="711"/>
      <c r="F47" s="711"/>
      <c r="G47" s="711"/>
      <c r="H47" s="711"/>
      <c r="I47" s="1729">
        <f t="shared" si="1"/>
        <v>0</v>
      </c>
      <c r="J47" s="711"/>
      <c r="K47" s="710"/>
    </row>
    <row r="48" spans="1:11" ht="12" customHeight="1" x14ac:dyDescent="0.2">
      <c r="A48" s="705"/>
      <c r="B48" s="706"/>
      <c r="C48" s="707"/>
      <c r="D48" s="708"/>
      <c r="E48" s="707"/>
      <c r="F48" s="707"/>
      <c r="G48" s="707"/>
      <c r="H48" s="707"/>
      <c r="I48" s="1729">
        <f t="shared" si="1"/>
        <v>0</v>
      </c>
      <c r="J48" s="707"/>
      <c r="K48" s="710"/>
    </row>
    <row r="49" spans="1:11" ht="12" customHeight="1" x14ac:dyDescent="0.2">
      <c r="A49" s="705"/>
      <c r="B49" s="706"/>
      <c r="C49" s="1729">
        <f>SUM(C31:C48)</f>
        <v>0</v>
      </c>
      <c r="D49" s="718"/>
      <c r="E49" s="1729">
        <f t="shared" ref="E49:J49" si="2">SUM(E31:E48)</f>
        <v>0</v>
      </c>
      <c r="F49" s="1729">
        <f t="shared" si="2"/>
        <v>0</v>
      </c>
      <c r="G49" s="1729">
        <f t="shared" si="2"/>
        <v>0</v>
      </c>
      <c r="H49" s="1729">
        <f t="shared" si="2"/>
        <v>0</v>
      </c>
      <c r="I49" s="1729">
        <f t="shared" si="2"/>
        <v>0</v>
      </c>
      <c r="J49" s="1729">
        <f t="shared" si="2"/>
        <v>0</v>
      </c>
      <c r="K49" s="710"/>
    </row>
    <row r="50" spans="1:11" ht="6" customHeight="1" x14ac:dyDescent="0.2">
      <c r="A50" s="719"/>
      <c r="B50" s="709"/>
      <c r="C50" s="709"/>
      <c r="D50" s="709"/>
      <c r="E50" s="709"/>
      <c r="F50" s="709"/>
      <c r="G50" s="709"/>
      <c r="H50" s="709"/>
      <c r="I50" s="709"/>
      <c r="J50" s="719"/>
    </row>
    <row r="51" spans="1:11" x14ac:dyDescent="0.2">
      <c r="A51" s="720" t="s">
        <v>1807</v>
      </c>
      <c r="B51" s="719"/>
      <c r="C51" s="710"/>
      <c r="D51" s="710"/>
      <c r="E51" s="710"/>
      <c r="F51" s="710"/>
      <c r="G51" s="710"/>
      <c r="H51" s="709"/>
      <c r="I51" s="709"/>
      <c r="J51" s="719"/>
    </row>
    <row r="52" spans="1:11" ht="11.25" customHeight="1" x14ac:dyDescent="0.2">
      <c r="A52" s="721" t="s">
        <v>912</v>
      </c>
      <c r="B52" s="2257" t="s">
        <v>584</v>
      </c>
      <c r="C52" s="2258"/>
      <c r="D52" s="2258"/>
      <c r="E52" s="722" t="s">
        <v>845</v>
      </c>
      <c r="F52" s="2259"/>
      <c r="G52" s="2260"/>
      <c r="H52" s="709"/>
      <c r="I52" s="709"/>
      <c r="J52" s="719"/>
    </row>
    <row r="53" spans="1:11" ht="11.25" customHeight="1" x14ac:dyDescent="0.2">
      <c r="A53" s="723" t="s">
        <v>913</v>
      </c>
      <c r="B53" s="724" t="s">
        <v>951</v>
      </c>
      <c r="C53" s="719"/>
      <c r="D53" s="710"/>
      <c r="E53" s="722" t="s">
        <v>497</v>
      </c>
      <c r="F53" s="2261"/>
      <c r="G53" s="2262"/>
      <c r="H53" s="709"/>
      <c r="I53" s="709"/>
      <c r="J53" s="719"/>
    </row>
    <row r="54" spans="1:11" ht="11.25" customHeight="1" x14ac:dyDescent="0.2">
      <c r="A54" s="725" t="s">
        <v>914</v>
      </c>
      <c r="B54" s="720" t="s">
        <v>952</v>
      </c>
      <c r="C54" s="719"/>
      <c r="D54" s="710"/>
      <c r="E54" s="722" t="s">
        <v>498</v>
      </c>
      <c r="F54" s="2261"/>
      <c r="G54" s="2262"/>
      <c r="H54" s="709"/>
      <c r="I54" s="709"/>
      <c r="J54" s="719"/>
    </row>
    <row r="55" spans="1:11" ht="6" customHeight="1" x14ac:dyDescent="0.2">
      <c r="A55" s="710"/>
      <c r="B55" s="726"/>
      <c r="C55" s="727"/>
      <c r="D55" s="728"/>
      <c r="E55" s="729"/>
      <c r="F55" s="730"/>
      <c r="G55" s="719"/>
      <c r="H55" s="709"/>
      <c r="I55" s="709"/>
      <c r="J55" s="719"/>
    </row>
    <row r="56" spans="1:11" ht="11.25" customHeight="1" x14ac:dyDescent="0.2">
      <c r="A56" s="726"/>
      <c r="B56" s="731"/>
      <c r="C56" s="710"/>
      <c r="D56" s="710"/>
      <c r="E56" s="710"/>
      <c r="F56" s="710"/>
      <c r="G56" s="709"/>
      <c r="H56" s="709"/>
      <c r="I56" s="709"/>
      <c r="J56" s="719"/>
    </row>
    <row r="57" spans="1:11" ht="11.25" customHeight="1" x14ac:dyDescent="0.2">
      <c r="A57" s="710"/>
      <c r="B57" s="732"/>
      <c r="C57" s="710"/>
      <c r="D57" s="710"/>
      <c r="E57" s="710"/>
      <c r="F57" s="710"/>
      <c r="G57" s="709"/>
      <c r="H57" s="709"/>
      <c r="I57" s="709"/>
      <c r="J57" s="719"/>
    </row>
    <row r="58" spans="1:11" ht="11.25" customHeight="1" x14ac:dyDescent="0.2">
      <c r="A58" s="726"/>
      <c r="B58" s="731"/>
      <c r="C58" s="710"/>
      <c r="D58" s="710"/>
      <c r="E58" s="710"/>
      <c r="F58" s="710"/>
      <c r="G58" s="709"/>
      <c r="H58" s="709"/>
      <c r="I58" s="709"/>
      <c r="J58" s="719"/>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20"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B050"/>
  </sheetPr>
  <dimension ref="A1:K48"/>
  <sheetViews>
    <sheetView showGridLines="0" defaultGridColor="0" view="pageBreakPreview" topLeftCell="A13" colorId="8" zoomScaleNormal="110" zoomScaleSheetLayoutView="100" workbookViewId="0">
      <selection activeCell="H14" sqref="H14"/>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86" t="s">
        <v>856</v>
      </c>
      <c r="B1" s="2287"/>
      <c r="C1" s="2287"/>
      <c r="D1" s="2287"/>
      <c r="E1" s="2287"/>
      <c r="F1" s="2287"/>
      <c r="G1" s="2288"/>
      <c r="H1" s="1503"/>
      <c r="I1" s="733"/>
      <c r="J1" s="433"/>
    </row>
    <row r="2" spans="1:11" ht="26.25" x14ac:dyDescent="0.2">
      <c r="A2" s="2305" t="s">
        <v>1677</v>
      </c>
      <c r="B2" s="2306"/>
      <c r="C2" s="2306"/>
      <c r="D2" s="2306"/>
      <c r="E2" s="2307"/>
      <c r="F2" s="734" t="s">
        <v>904</v>
      </c>
      <c r="G2" s="735" t="s">
        <v>1674</v>
      </c>
      <c r="H2" s="735" t="s">
        <v>410</v>
      </c>
      <c r="I2" s="735" t="s">
        <v>1158</v>
      </c>
      <c r="J2" s="735" t="s">
        <v>1812</v>
      </c>
      <c r="K2" s="735" t="s">
        <v>138</v>
      </c>
    </row>
    <row r="3" spans="1:11" x14ac:dyDescent="0.2">
      <c r="A3" s="2308" t="s">
        <v>1964</v>
      </c>
      <c r="B3" s="2309"/>
      <c r="C3" s="2309"/>
      <c r="D3" s="2309"/>
      <c r="E3" s="2310"/>
      <c r="F3" s="736"/>
      <c r="G3" s="737"/>
      <c r="H3" s="737"/>
      <c r="I3" s="737"/>
      <c r="J3" s="738"/>
      <c r="K3" s="738"/>
    </row>
    <row r="4" spans="1:11" x14ac:dyDescent="0.2">
      <c r="A4" s="2311" t="s">
        <v>369</v>
      </c>
      <c r="B4" s="2312"/>
      <c r="C4" s="2312"/>
      <c r="D4" s="2312"/>
      <c r="E4" s="2258"/>
      <c r="F4" s="739"/>
      <c r="G4" s="740"/>
      <c r="H4" s="741"/>
      <c r="I4" s="740"/>
      <c r="J4" s="742"/>
      <c r="K4" s="742"/>
    </row>
    <row r="5" spans="1:11" x14ac:dyDescent="0.2">
      <c r="A5" s="2289" t="s">
        <v>1069</v>
      </c>
      <c r="B5" s="2290"/>
      <c r="C5" s="2290"/>
      <c r="D5" s="2290"/>
      <c r="E5" s="2291"/>
      <c r="F5" s="743" t="s">
        <v>848</v>
      </c>
      <c r="G5" s="744"/>
      <c r="H5" s="737">
        <v>150679</v>
      </c>
      <c r="I5" s="745"/>
      <c r="J5" s="746"/>
      <c r="K5" s="746"/>
    </row>
    <row r="6" spans="1:11" x14ac:dyDescent="0.2">
      <c r="A6" s="747" t="s">
        <v>720</v>
      </c>
      <c r="B6" s="748"/>
      <c r="C6" s="748"/>
      <c r="D6" s="748"/>
      <c r="E6" s="749"/>
      <c r="F6" s="750" t="s">
        <v>849</v>
      </c>
      <c r="G6" s="737"/>
      <c r="H6" s="737"/>
      <c r="I6" s="737"/>
      <c r="J6" s="738"/>
      <c r="K6" s="738"/>
    </row>
    <row r="7" spans="1:11" x14ac:dyDescent="0.2">
      <c r="A7" s="751" t="s">
        <v>246</v>
      </c>
      <c r="B7" s="752"/>
      <c r="C7" s="752"/>
      <c r="D7" s="752"/>
      <c r="E7" s="753"/>
      <c r="F7" s="743" t="s">
        <v>850</v>
      </c>
      <c r="G7" s="740"/>
      <c r="H7" s="740"/>
      <c r="I7" s="740"/>
      <c r="J7" s="754"/>
      <c r="K7" s="738"/>
    </row>
    <row r="8" spans="1:11" x14ac:dyDescent="0.2">
      <c r="A8" s="751" t="s">
        <v>345</v>
      </c>
      <c r="B8" s="752"/>
      <c r="C8" s="752"/>
      <c r="D8" s="752"/>
      <c r="E8" s="753"/>
      <c r="F8" s="743" t="s">
        <v>851</v>
      </c>
      <c r="G8" s="755"/>
      <c r="H8" s="755"/>
      <c r="I8" s="755"/>
      <c r="J8" s="738"/>
      <c r="K8" s="742"/>
    </row>
    <row r="9" spans="1:11" x14ac:dyDescent="0.2">
      <c r="A9" s="751" t="s">
        <v>138</v>
      </c>
      <c r="B9" s="752"/>
      <c r="C9" s="752"/>
      <c r="D9" s="752"/>
      <c r="E9" s="753"/>
      <c r="F9" s="750" t="s">
        <v>853</v>
      </c>
      <c r="G9" s="755"/>
      <c r="H9" s="744"/>
      <c r="I9" s="744"/>
      <c r="J9" s="754"/>
      <c r="K9" s="738"/>
    </row>
    <row r="10" spans="1:11" x14ac:dyDescent="0.2">
      <c r="A10" s="2289" t="s">
        <v>1813</v>
      </c>
      <c r="B10" s="2290"/>
      <c r="C10" s="2290"/>
      <c r="D10" s="2290"/>
      <c r="E10" s="2292"/>
      <c r="F10" s="756" t="s">
        <v>862</v>
      </c>
      <c r="G10" s="755"/>
      <c r="H10" s="757"/>
      <c r="I10" s="737"/>
      <c r="J10" s="738"/>
      <c r="K10" s="738"/>
    </row>
    <row r="11" spans="1:11" x14ac:dyDescent="0.2">
      <c r="A11" s="2289" t="s">
        <v>160</v>
      </c>
      <c r="B11" s="2290"/>
      <c r="C11" s="2290"/>
      <c r="D11" s="2290"/>
      <c r="E11" s="2291"/>
      <c r="F11" s="743" t="s">
        <v>852</v>
      </c>
      <c r="G11" s="744"/>
      <c r="H11" s="737"/>
      <c r="I11" s="737"/>
      <c r="J11" s="738"/>
      <c r="K11" s="746"/>
    </row>
    <row r="12" spans="1:11" ht="13.5" thickBot="1" x14ac:dyDescent="0.25">
      <c r="A12" s="2316" t="s">
        <v>905</v>
      </c>
      <c r="B12" s="2317"/>
      <c r="C12" s="2317"/>
      <c r="D12" s="2317"/>
      <c r="E12" s="2318"/>
      <c r="F12" s="1730"/>
      <c r="G12" s="1731">
        <f>SUM(G5:G11)</f>
        <v>0</v>
      </c>
      <c r="H12" s="1731">
        <f>SUM(H5:H11)</f>
        <v>150679</v>
      </c>
      <c r="I12" s="1731">
        <f>SUM(I5:I11)</f>
        <v>0</v>
      </c>
      <c r="J12" s="1731">
        <f>SUM(J5:J11)</f>
        <v>0</v>
      </c>
      <c r="K12" s="1731">
        <f>SUM(K5:K11)</f>
        <v>0</v>
      </c>
    </row>
    <row r="13" spans="1:11" ht="13.5" thickTop="1" x14ac:dyDescent="0.2">
      <c r="A13" s="2313" t="s">
        <v>370</v>
      </c>
      <c r="B13" s="2314"/>
      <c r="C13" s="2314"/>
      <c r="D13" s="2314"/>
      <c r="E13" s="2315"/>
      <c r="F13" s="758"/>
      <c r="G13" s="759"/>
      <c r="H13" s="760"/>
      <c r="I13" s="761"/>
      <c r="J13" s="761"/>
      <c r="K13" s="761"/>
    </row>
    <row r="14" spans="1:11" x14ac:dyDescent="0.2">
      <c r="A14" s="2296" t="s">
        <v>456</v>
      </c>
      <c r="B14" s="2296"/>
      <c r="C14" s="2296"/>
      <c r="D14" s="2296"/>
      <c r="E14" s="2297"/>
      <c r="F14" s="762" t="s">
        <v>854</v>
      </c>
      <c r="G14" s="755"/>
      <c r="H14" s="737">
        <v>150679</v>
      </c>
      <c r="I14" s="744"/>
      <c r="J14" s="746"/>
      <c r="K14" s="738"/>
    </row>
    <row r="15" spans="1:11" x14ac:dyDescent="0.2">
      <c r="A15" s="2290" t="s">
        <v>4</v>
      </c>
      <c r="B15" s="2290"/>
      <c r="C15" s="2290"/>
      <c r="D15" s="2290"/>
      <c r="E15" s="2291"/>
      <c r="F15" s="762" t="s">
        <v>855</v>
      </c>
      <c r="G15" s="744"/>
      <c r="H15" s="737"/>
      <c r="I15" s="737"/>
      <c r="J15" s="738"/>
      <c r="K15" s="738"/>
    </row>
    <row r="16" spans="1:11" x14ac:dyDescent="0.2">
      <c r="A16" s="2290" t="s">
        <v>298</v>
      </c>
      <c r="B16" s="2290"/>
      <c r="C16" s="2290"/>
      <c r="D16" s="2290"/>
      <c r="E16" s="2291"/>
      <c r="F16" s="762" t="s">
        <v>923</v>
      </c>
      <c r="G16" s="745"/>
      <c r="H16" s="740"/>
      <c r="I16" s="740"/>
      <c r="J16" s="742"/>
      <c r="K16" s="742"/>
    </row>
    <row r="17" spans="1:11" x14ac:dyDescent="0.2">
      <c r="A17" s="2321" t="s">
        <v>935</v>
      </c>
      <c r="B17" s="2321"/>
      <c r="C17" s="2321"/>
      <c r="D17" s="2321"/>
      <c r="E17" s="2322"/>
      <c r="F17" s="763"/>
      <c r="G17" s="764"/>
      <c r="H17" s="765"/>
      <c r="I17" s="765"/>
      <c r="J17" s="766"/>
      <c r="K17" s="767"/>
    </row>
    <row r="18" spans="1:11" x14ac:dyDescent="0.2">
      <c r="A18" s="2300" t="s">
        <v>368</v>
      </c>
      <c r="B18" s="2301"/>
      <c r="C18" s="2301"/>
      <c r="D18" s="2301"/>
      <c r="E18" s="2302"/>
      <c r="F18" s="762" t="s">
        <v>932</v>
      </c>
      <c r="G18" s="755"/>
      <c r="H18" s="755"/>
      <c r="I18" s="755"/>
      <c r="J18" s="738"/>
      <c r="K18" s="768"/>
    </row>
    <row r="19" spans="1:11" ht="21.75" customHeight="1" x14ac:dyDescent="0.2">
      <c r="A19" s="2298" t="s">
        <v>1809</v>
      </c>
      <c r="B19" s="2298"/>
      <c r="C19" s="2298"/>
      <c r="D19" s="2298"/>
      <c r="E19" s="2299"/>
      <c r="F19" s="762" t="s">
        <v>933</v>
      </c>
      <c r="G19" s="755"/>
      <c r="H19" s="755"/>
      <c r="I19" s="755"/>
      <c r="J19" s="738"/>
      <c r="K19" s="768"/>
    </row>
    <row r="20" spans="1:11" x14ac:dyDescent="0.2">
      <c r="A20" s="2300" t="s">
        <v>1814</v>
      </c>
      <c r="B20" s="2301"/>
      <c r="C20" s="2301"/>
      <c r="D20" s="2301"/>
      <c r="E20" s="2302"/>
      <c r="F20" s="762" t="s">
        <v>934</v>
      </c>
      <c r="G20" s="755"/>
      <c r="H20" s="755"/>
      <c r="I20" s="755"/>
      <c r="J20" s="738"/>
      <c r="K20" s="768"/>
    </row>
    <row r="21" spans="1:11" ht="13.5" thickBot="1" x14ac:dyDescent="0.25">
      <c r="A21" s="2319" t="s">
        <v>638</v>
      </c>
      <c r="B21" s="2319"/>
      <c r="C21" s="2319"/>
      <c r="D21" s="2319"/>
      <c r="E21" s="2319"/>
      <c r="F21" s="1732"/>
      <c r="G21" s="765"/>
      <c r="H21" s="769"/>
      <c r="I21" s="769"/>
      <c r="J21" s="1733">
        <f>SUM(J18:J20)</f>
        <v>0</v>
      </c>
      <c r="K21" s="766"/>
    </row>
    <row r="22" spans="1:11" ht="13.5" thickTop="1" x14ac:dyDescent="0.2">
      <c r="A22" s="2290" t="s">
        <v>1815</v>
      </c>
      <c r="B22" s="2290"/>
      <c r="C22" s="2290"/>
      <c r="D22" s="2290"/>
      <c r="E22" s="2291"/>
      <c r="F22" s="762" t="s">
        <v>862</v>
      </c>
      <c r="G22" s="755"/>
      <c r="H22" s="737"/>
      <c r="I22" s="737"/>
      <c r="J22" s="770"/>
      <c r="K22" s="738"/>
    </row>
    <row r="23" spans="1:11" ht="13.5" thickBot="1" x14ac:dyDescent="0.25">
      <c r="A23" s="2320" t="s">
        <v>906</v>
      </c>
      <c r="B23" s="2319"/>
      <c r="C23" s="2319"/>
      <c r="D23" s="2319"/>
      <c r="E23" s="2319"/>
      <c r="F23" s="1734"/>
      <c r="G23" s="1731">
        <f>SUM(G14:G16,G21,G22)</f>
        <v>0</v>
      </c>
      <c r="H23" s="1731">
        <f>SUM(H14:H16,H21,H22)</f>
        <v>150679</v>
      </c>
      <c r="I23" s="1731">
        <f>SUM(I14:I16,I21,I22)</f>
        <v>0</v>
      </c>
      <c r="J23" s="1731">
        <f>SUM(J14:J16,J21,J22)</f>
        <v>0</v>
      </c>
      <c r="K23" s="1731">
        <f>SUM(K14:K16,K21,K22)</f>
        <v>0</v>
      </c>
    </row>
    <row r="24" spans="1:11" ht="14.25" thickTop="1" thickBot="1" x14ac:dyDescent="0.25">
      <c r="A24" s="2320" t="s">
        <v>1965</v>
      </c>
      <c r="B24" s="2319"/>
      <c r="C24" s="2319"/>
      <c r="D24" s="2319"/>
      <c r="E24" s="2319"/>
      <c r="F24" s="1735"/>
      <c r="G24" s="1736">
        <f>SUM(G3,G12)-G23</f>
        <v>0</v>
      </c>
      <c r="H24" s="1736">
        <f>SUM(H3,H12)-H23</f>
        <v>0</v>
      </c>
      <c r="I24" s="1736">
        <f>SUM(I3,I12)-I23</f>
        <v>0</v>
      </c>
      <c r="J24" s="1736">
        <f>SUM(J3,J12)-J23</f>
        <v>0</v>
      </c>
      <c r="K24" s="1736">
        <f>SUM(K3,K12)-K23</f>
        <v>0</v>
      </c>
    </row>
    <row r="25" spans="1:11" ht="13.5" thickTop="1" x14ac:dyDescent="0.2">
      <c r="A25" s="771" t="s">
        <v>420</v>
      </c>
      <c r="B25" s="772"/>
      <c r="C25" s="772"/>
      <c r="D25" s="772"/>
      <c r="E25" s="773"/>
      <c r="F25" s="774">
        <v>714</v>
      </c>
      <c r="G25" s="775"/>
      <c r="H25" s="775"/>
      <c r="I25" s="775"/>
      <c r="J25" s="770"/>
      <c r="K25" s="770"/>
    </row>
    <row r="26" spans="1:11" ht="13.5" thickBot="1" x14ac:dyDescent="0.25">
      <c r="A26" s="771" t="s">
        <v>342</v>
      </c>
      <c r="B26" s="772"/>
      <c r="C26" s="772"/>
      <c r="D26" s="772"/>
      <c r="E26" s="773"/>
      <c r="F26" s="774">
        <v>730</v>
      </c>
      <c r="G26" s="1731">
        <f>G24-G25</f>
        <v>0</v>
      </c>
      <c r="H26" s="1731">
        <f>H24-H25</f>
        <v>0</v>
      </c>
      <c r="I26" s="1731">
        <f>I24-I25</f>
        <v>0</v>
      </c>
      <c r="J26" s="1731">
        <f>J24-J25</f>
        <v>0</v>
      </c>
      <c r="K26" s="1731">
        <f>K24-K25</f>
        <v>0</v>
      </c>
    </row>
    <row r="27" spans="1:11" ht="5.25" customHeight="1" thickTop="1" x14ac:dyDescent="0.2">
      <c r="I27" s="202"/>
      <c r="J27" s="202"/>
    </row>
    <row r="28" spans="1:11" ht="29.25" customHeight="1" x14ac:dyDescent="0.2">
      <c r="A28" s="1853" t="s">
        <v>1910</v>
      </c>
      <c r="B28" s="1854"/>
      <c r="C28" s="1854"/>
      <c r="D28" s="1854"/>
      <c r="E28" s="1855"/>
      <c r="F28" s="776"/>
      <c r="G28" s="777"/>
    </row>
    <row r="29" spans="1:11" x14ac:dyDescent="0.2">
      <c r="B29" s="494"/>
      <c r="C29" s="494"/>
      <c r="D29" s="494"/>
      <c r="F29" s="202"/>
      <c r="G29" s="778"/>
    </row>
    <row r="30" spans="1:11" x14ac:dyDescent="0.2">
      <c r="A30" s="779" t="s">
        <v>572</v>
      </c>
      <c r="B30" s="780"/>
      <c r="C30" s="779" t="s">
        <v>383</v>
      </c>
      <c r="D30" s="780"/>
      <c r="E30" s="781" t="s">
        <v>768</v>
      </c>
      <c r="F30" s="202"/>
      <c r="G30" s="778"/>
    </row>
    <row r="31" spans="1:11" x14ac:dyDescent="0.2">
      <c r="A31" s="782"/>
      <c r="D31" s="237"/>
      <c r="E31" s="783" t="s">
        <v>769</v>
      </c>
      <c r="F31" s="784" t="s">
        <v>539</v>
      </c>
      <c r="G31" s="737"/>
      <c r="H31" s="2293"/>
      <c r="I31" s="2294"/>
      <c r="J31" s="2294"/>
      <c r="K31" s="2294"/>
    </row>
    <row r="32" spans="1:11" x14ac:dyDescent="0.2">
      <c r="A32" s="782"/>
      <c r="B32" s="237"/>
      <c r="C32" s="237"/>
      <c r="D32" s="237"/>
      <c r="E32" s="778"/>
      <c r="F32" s="784" t="s">
        <v>540</v>
      </c>
      <c r="G32" s="737"/>
      <c r="H32" s="2295"/>
      <c r="I32" s="2294"/>
      <c r="J32" s="2294"/>
      <c r="K32" s="2294"/>
    </row>
    <row r="33" spans="1:11" ht="1.5" customHeight="1" x14ac:dyDescent="0.2">
      <c r="A33" s="785" t="s">
        <v>1169</v>
      </c>
      <c r="B33" s="364"/>
      <c r="C33" s="364"/>
      <c r="D33" s="364"/>
      <c r="E33" s="364"/>
      <c r="F33" s="364"/>
      <c r="G33" s="786"/>
      <c r="H33" s="2295"/>
      <c r="I33" s="2294"/>
      <c r="J33" s="2294"/>
      <c r="K33" s="2294"/>
    </row>
    <row r="34" spans="1:11" x14ac:dyDescent="0.2">
      <c r="A34" s="787" t="s">
        <v>1816</v>
      </c>
      <c r="B34" s="364"/>
      <c r="C34" s="364"/>
      <c r="D34" s="364"/>
      <c r="E34" s="364"/>
      <c r="F34" s="364"/>
      <c r="G34" s="786"/>
    </row>
    <row r="35" spans="1:11" ht="15" x14ac:dyDescent="0.2">
      <c r="A35" s="798" t="s">
        <v>907</v>
      </c>
      <c r="B35" s="788"/>
      <c r="C35" s="788"/>
      <c r="D35" s="788"/>
      <c r="E35" s="788"/>
      <c r="F35" s="788"/>
      <c r="G35" s="789"/>
      <c r="H35" s="790"/>
    </row>
    <row r="36" spans="1:11" x14ac:dyDescent="0.2">
      <c r="A36" s="751" t="s">
        <v>1109</v>
      </c>
      <c r="B36" s="791"/>
      <c r="C36" s="791"/>
      <c r="D36" s="791"/>
      <c r="E36" s="791"/>
      <c r="F36" s="792"/>
      <c r="G36" s="738"/>
    </row>
    <row r="37" spans="1:11" x14ac:dyDescent="0.2">
      <c r="A37" s="793" t="s">
        <v>896</v>
      </c>
      <c r="B37" s="791"/>
      <c r="C37" s="791"/>
      <c r="D37" s="791"/>
      <c r="E37" s="791"/>
      <c r="F37" s="792"/>
      <c r="G37" s="738"/>
    </row>
    <row r="38" spans="1:11" x14ac:dyDescent="0.2">
      <c r="A38" s="793" t="s">
        <v>993</v>
      </c>
      <c r="B38" s="791"/>
      <c r="C38" s="791"/>
      <c r="D38" s="791"/>
      <c r="E38" s="791"/>
      <c r="F38" s="792"/>
      <c r="G38" s="738"/>
    </row>
    <row r="39" spans="1:11" x14ac:dyDescent="0.2">
      <c r="A39" s="793" t="s">
        <v>994</v>
      </c>
      <c r="B39" s="791"/>
      <c r="C39" s="791"/>
      <c r="D39" s="791"/>
      <c r="E39" s="791"/>
      <c r="F39" s="792"/>
      <c r="G39" s="738"/>
    </row>
    <row r="40" spans="1:11" x14ac:dyDescent="0.2">
      <c r="A40" s="793" t="s">
        <v>995</v>
      </c>
      <c r="B40" s="791"/>
      <c r="C40" s="791"/>
      <c r="D40" s="791"/>
      <c r="E40" s="791"/>
      <c r="F40" s="792"/>
      <c r="G40" s="738"/>
    </row>
    <row r="41" spans="1:11" x14ac:dyDescent="0.2">
      <c r="A41" s="2290" t="s">
        <v>541</v>
      </c>
      <c r="B41" s="2303"/>
      <c r="C41" s="2303"/>
      <c r="D41" s="2303"/>
      <c r="E41" s="2303"/>
      <c r="F41" s="2304"/>
      <c r="G41" s="738"/>
    </row>
    <row r="42" spans="1:11" x14ac:dyDescent="0.2">
      <c r="A42" s="793" t="s">
        <v>970</v>
      </c>
      <c r="B42" s="791"/>
      <c r="C42" s="791"/>
      <c r="D42" s="791"/>
      <c r="E42" s="791"/>
      <c r="F42" s="792"/>
      <c r="G42" s="738"/>
    </row>
    <row r="43" spans="1:11" x14ac:dyDescent="0.2">
      <c r="A43" s="793" t="s">
        <v>971</v>
      </c>
      <c r="B43" s="791"/>
      <c r="C43" s="791"/>
      <c r="D43" s="791"/>
      <c r="E43" s="791"/>
      <c r="F43" s="792"/>
      <c r="G43" s="738"/>
    </row>
    <row r="44" spans="1:11" x14ac:dyDescent="0.2">
      <c r="A44" s="793" t="s">
        <v>972</v>
      </c>
      <c r="B44" s="791"/>
      <c r="C44" s="791"/>
      <c r="D44" s="791"/>
      <c r="E44" s="791"/>
      <c r="F44" s="792"/>
      <c r="G44" s="738"/>
    </row>
    <row r="45" spans="1:11" ht="6.75" customHeight="1" x14ac:dyDescent="0.2"/>
    <row r="46" spans="1:11" ht="15" x14ac:dyDescent="0.2">
      <c r="A46" s="1504" t="s">
        <v>1810</v>
      </c>
      <c r="B46" s="408" t="s">
        <v>1675</v>
      </c>
    </row>
    <row r="47" spans="1:11" s="796" customFormat="1" ht="12.75" customHeight="1" x14ac:dyDescent="0.2">
      <c r="A47" s="794"/>
      <c r="B47" s="795" t="s">
        <v>1676</v>
      </c>
      <c r="E47" s="795"/>
      <c r="K47" s="797"/>
    </row>
    <row r="48" spans="1:11" ht="12.75" customHeight="1" x14ac:dyDescent="0.2">
      <c r="A48" s="1505"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20"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00B050"/>
  </sheetPr>
  <dimension ref="A1:N27"/>
  <sheetViews>
    <sheetView showGridLines="0" defaultGridColor="0" view="pageBreakPreview" colorId="8" zoomScaleNormal="110" zoomScaleSheetLayoutView="100" workbookViewId="0">
      <selection activeCell="F12" sqref="F12:F13"/>
    </sheetView>
  </sheetViews>
  <sheetFormatPr defaultColWidth="9.140625" defaultRowHeight="12.75" x14ac:dyDescent="0.2"/>
  <cols>
    <col min="1" max="1" width="28.85546875" style="781"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325" t="s">
        <v>1909</v>
      </c>
      <c r="B1" s="2326"/>
      <c r="C1" s="2327"/>
      <c r="D1" s="799"/>
      <c r="E1" s="800"/>
      <c r="F1" s="800"/>
      <c r="G1" s="801"/>
      <c r="H1" s="802"/>
      <c r="I1" s="803"/>
      <c r="J1" s="2323"/>
      <c r="K1" s="2324"/>
      <c r="L1" s="2324"/>
    </row>
    <row r="2" spans="1:14" ht="69.75" customHeight="1" x14ac:dyDescent="0.2">
      <c r="A2" s="804" t="s">
        <v>1678</v>
      </c>
      <c r="B2" s="805" t="s">
        <v>378</v>
      </c>
      <c r="C2" s="806" t="s">
        <v>1966</v>
      </c>
      <c r="D2" s="806" t="s">
        <v>1967</v>
      </c>
      <c r="E2" s="806" t="s">
        <v>1968</v>
      </c>
      <c r="F2" s="806" t="s">
        <v>1969</v>
      </c>
      <c r="G2" s="806" t="s">
        <v>605</v>
      </c>
      <c r="H2" s="806" t="s">
        <v>1970</v>
      </c>
      <c r="I2" s="806" t="s">
        <v>1971</v>
      </c>
      <c r="J2" s="806" t="s">
        <v>1972</v>
      </c>
      <c r="K2" s="806" t="s">
        <v>1973</v>
      </c>
      <c r="L2" s="806" t="s">
        <v>1974</v>
      </c>
      <c r="M2" s="807"/>
      <c r="N2" s="807"/>
    </row>
    <row r="3" spans="1:14" ht="13.5" thickBot="1" x14ac:dyDescent="0.25">
      <c r="A3" s="1602" t="s">
        <v>892</v>
      </c>
      <c r="B3" s="1603">
        <v>210</v>
      </c>
      <c r="C3" s="808"/>
      <c r="D3" s="808"/>
      <c r="E3" s="808"/>
      <c r="F3" s="1733">
        <f>(C3+D3)-E3</f>
        <v>0</v>
      </c>
      <c r="G3" s="809"/>
      <c r="H3" s="808"/>
      <c r="I3" s="808"/>
      <c r="J3" s="808"/>
      <c r="K3" s="1742">
        <f>(H3+I3)-J3</f>
        <v>0</v>
      </c>
      <c r="L3" s="1742">
        <f>F3-K3</f>
        <v>0</v>
      </c>
      <c r="M3" s="807"/>
      <c r="N3" s="807"/>
    </row>
    <row r="4" spans="1:14" ht="15" customHeight="1" thickTop="1" x14ac:dyDescent="0.2">
      <c r="A4" s="1604" t="s">
        <v>158</v>
      </c>
      <c r="B4" s="1603">
        <v>220</v>
      </c>
      <c r="C4" s="754"/>
      <c r="D4" s="754"/>
      <c r="E4" s="754"/>
      <c r="F4" s="746"/>
      <c r="G4" s="810"/>
      <c r="H4" s="811"/>
      <c r="I4" s="811"/>
      <c r="J4" s="811"/>
      <c r="K4" s="812"/>
      <c r="L4" s="746"/>
    </row>
    <row r="5" spans="1:14" ht="13.5" thickBot="1" x14ac:dyDescent="0.25">
      <c r="A5" s="751" t="s">
        <v>893</v>
      </c>
      <c r="B5" s="813">
        <v>221</v>
      </c>
      <c r="C5" s="814">
        <v>25000</v>
      </c>
      <c r="D5" s="814"/>
      <c r="E5" s="814"/>
      <c r="F5" s="1733">
        <f>(C5+D5)-E5</f>
        <v>25000</v>
      </c>
      <c r="G5" s="810"/>
      <c r="H5" s="815"/>
      <c r="I5" s="815"/>
      <c r="J5" s="815"/>
      <c r="K5" s="766"/>
      <c r="L5" s="1742">
        <f>F5-K5</f>
        <v>25000</v>
      </c>
    </row>
    <row r="6" spans="1:14" ht="14.25" thickTop="1" thickBot="1" x14ac:dyDescent="0.25">
      <c r="A6" s="751" t="s">
        <v>1117</v>
      </c>
      <c r="B6" s="813">
        <v>222</v>
      </c>
      <c r="C6" s="738"/>
      <c r="D6" s="738"/>
      <c r="E6" s="738"/>
      <c r="F6" s="1733">
        <f>(C6+D6)-E6</f>
        <v>0</v>
      </c>
      <c r="G6" s="810">
        <v>50</v>
      </c>
      <c r="H6" s="738"/>
      <c r="I6" s="738"/>
      <c r="J6" s="738"/>
      <c r="K6" s="1742">
        <f>(H6+I6)-J6</f>
        <v>0</v>
      </c>
      <c r="L6" s="1742">
        <f>F6-K6</f>
        <v>0</v>
      </c>
    </row>
    <row r="7" spans="1:14" ht="15" customHeight="1" thickTop="1" x14ac:dyDescent="0.2">
      <c r="A7" s="1604" t="s">
        <v>159</v>
      </c>
      <c r="B7" s="1603">
        <v>230</v>
      </c>
      <c r="C7" s="754"/>
      <c r="D7" s="754"/>
      <c r="E7" s="754"/>
      <c r="F7" s="746"/>
      <c r="G7" s="816"/>
      <c r="H7" s="754"/>
      <c r="I7" s="754"/>
      <c r="J7" s="754"/>
      <c r="K7" s="746"/>
      <c r="L7" s="746"/>
    </row>
    <row r="8" spans="1:14" ht="13.5" thickBot="1" x14ac:dyDescent="0.25">
      <c r="A8" s="751" t="s">
        <v>1118</v>
      </c>
      <c r="B8" s="813">
        <v>231</v>
      </c>
      <c r="C8" s="817">
        <v>3484822</v>
      </c>
      <c r="D8" s="817">
        <v>317795</v>
      </c>
      <c r="E8" s="817"/>
      <c r="F8" s="1733">
        <f>(C8+D8)-E8</f>
        <v>3802617</v>
      </c>
      <c r="G8" s="816">
        <v>50</v>
      </c>
      <c r="H8" s="738">
        <v>1185377</v>
      </c>
      <c r="I8" s="738">
        <v>72874</v>
      </c>
      <c r="J8" s="738"/>
      <c r="K8" s="1742">
        <f>(H8+I8)-J8</f>
        <v>1258251</v>
      </c>
      <c r="L8" s="1742">
        <f>F8-K8</f>
        <v>2544366</v>
      </c>
    </row>
    <row r="9" spans="1:14" ht="14.25" thickTop="1" thickBot="1" x14ac:dyDescent="0.25">
      <c r="A9" s="751" t="s">
        <v>1119</v>
      </c>
      <c r="B9" s="813">
        <v>232</v>
      </c>
      <c r="C9" s="738"/>
      <c r="D9" s="738"/>
      <c r="E9" s="738"/>
      <c r="F9" s="1733">
        <f>(C9+D9)-E9</f>
        <v>0</v>
      </c>
      <c r="G9" s="816">
        <v>20</v>
      </c>
      <c r="H9" s="738"/>
      <c r="I9" s="738"/>
      <c r="J9" s="738"/>
      <c r="K9" s="1742">
        <f>(H9+I9)-J9</f>
        <v>0</v>
      </c>
      <c r="L9" s="1742">
        <f>F9-K9</f>
        <v>0</v>
      </c>
    </row>
    <row r="10" spans="1:14" ht="24" thickTop="1" thickBot="1" x14ac:dyDescent="0.25">
      <c r="A10" s="818" t="s">
        <v>1120</v>
      </c>
      <c r="B10" s="813">
        <v>240</v>
      </c>
      <c r="C10" s="819">
        <v>225937</v>
      </c>
      <c r="D10" s="819"/>
      <c r="E10" s="819"/>
      <c r="F10" s="1737">
        <f>(C10+D10)-E10</f>
        <v>225937</v>
      </c>
      <c r="G10" s="816">
        <v>20</v>
      </c>
      <c r="H10" s="820">
        <v>88994</v>
      </c>
      <c r="I10" s="820">
        <v>7505</v>
      </c>
      <c r="J10" s="820"/>
      <c r="K10" s="1742">
        <f>(H10+I10)-J10</f>
        <v>96499</v>
      </c>
      <c r="L10" s="1742">
        <f>F10-K10</f>
        <v>129438</v>
      </c>
    </row>
    <row r="11" spans="1:14" ht="13.5" thickTop="1" x14ac:dyDescent="0.2">
      <c r="A11" s="1605" t="s">
        <v>1136</v>
      </c>
      <c r="B11" s="1603">
        <v>250</v>
      </c>
      <c r="C11" s="754"/>
      <c r="D11" s="754"/>
      <c r="E11" s="754"/>
      <c r="F11" s="746"/>
      <c r="G11" s="816"/>
      <c r="H11" s="754"/>
      <c r="I11" s="754"/>
      <c r="J11" s="754"/>
      <c r="K11" s="746"/>
      <c r="L11" s="746"/>
    </row>
    <row r="12" spans="1:14" ht="13.5" thickBot="1" x14ac:dyDescent="0.25">
      <c r="A12" s="821" t="s">
        <v>1121</v>
      </c>
      <c r="B12" s="813">
        <v>251</v>
      </c>
      <c r="C12" s="817">
        <v>702433</v>
      </c>
      <c r="D12" s="817"/>
      <c r="E12" s="817"/>
      <c r="F12" s="1733">
        <f>(C12+D12)-E12</f>
        <v>702433</v>
      </c>
      <c r="G12" s="816">
        <v>10</v>
      </c>
      <c r="H12" s="738">
        <v>567498</v>
      </c>
      <c r="I12" s="738">
        <v>23444</v>
      </c>
      <c r="J12" s="738"/>
      <c r="K12" s="1742">
        <f>(H12+I12)-J12</f>
        <v>590942</v>
      </c>
      <c r="L12" s="1742">
        <f>F12-K12</f>
        <v>111491</v>
      </c>
    </row>
    <row r="13" spans="1:14" ht="14.25" thickTop="1" thickBot="1" x14ac:dyDescent="0.25">
      <c r="A13" s="821" t="s">
        <v>1122</v>
      </c>
      <c r="B13" s="813">
        <v>252</v>
      </c>
      <c r="C13" s="817">
        <v>611441</v>
      </c>
      <c r="D13" s="817">
        <v>78630</v>
      </c>
      <c r="E13" s="817"/>
      <c r="F13" s="1733">
        <f>(C13+D13)-E13</f>
        <v>690071</v>
      </c>
      <c r="G13" s="816">
        <v>5</v>
      </c>
      <c r="H13" s="738">
        <v>223263</v>
      </c>
      <c r="I13" s="738">
        <v>117051</v>
      </c>
      <c r="J13" s="738"/>
      <c r="K13" s="1742">
        <f>(H13+I13)-J13</f>
        <v>340314</v>
      </c>
      <c r="L13" s="1742">
        <f>F13-K13</f>
        <v>349757</v>
      </c>
    </row>
    <row r="14" spans="1:14" ht="14.25" thickTop="1" thickBot="1" x14ac:dyDescent="0.25">
      <c r="A14" s="821" t="s">
        <v>1123</v>
      </c>
      <c r="B14" s="813">
        <v>253</v>
      </c>
      <c r="C14" s="738"/>
      <c r="D14" s="738"/>
      <c r="E14" s="738"/>
      <c r="F14" s="1733">
        <f>(C14+D14)-E14</f>
        <v>0</v>
      </c>
      <c r="G14" s="816">
        <v>3</v>
      </c>
      <c r="H14" s="738"/>
      <c r="I14" s="738"/>
      <c r="J14" s="738"/>
      <c r="K14" s="1742">
        <f>(H14+I14)-J14</f>
        <v>0</v>
      </c>
      <c r="L14" s="1742">
        <f>F14-K14</f>
        <v>0</v>
      </c>
    </row>
    <row r="15" spans="1:14" ht="15" customHeight="1" thickTop="1" thickBot="1" x14ac:dyDescent="0.25">
      <c r="A15" s="1604" t="s">
        <v>528</v>
      </c>
      <c r="B15" s="1603">
        <v>260</v>
      </c>
      <c r="C15" s="817"/>
      <c r="D15" s="817"/>
      <c r="E15" s="817"/>
      <c r="F15" s="1733">
        <f>(C15+D15)-E15</f>
        <v>0</v>
      </c>
      <c r="G15" s="822" t="s">
        <v>862</v>
      </c>
      <c r="H15" s="754"/>
      <c r="I15" s="754"/>
      <c r="J15" s="754"/>
      <c r="K15" s="754"/>
      <c r="L15" s="1742">
        <f>F15-K15</f>
        <v>0</v>
      </c>
    </row>
    <row r="16" spans="1:14" ht="15" customHeight="1" thickTop="1" thickBot="1" x14ac:dyDescent="0.25">
      <c r="A16" s="1738" t="s">
        <v>643</v>
      </c>
      <c r="B16" s="1739">
        <v>200</v>
      </c>
      <c r="C16" s="1733">
        <f>SUM(C3,C5:C6,C8:C10,C12:C15)</f>
        <v>5049633</v>
      </c>
      <c r="D16" s="1733">
        <f>SUM(D3,D5:D6,D8:D10,D12:D15)</f>
        <v>396425</v>
      </c>
      <c r="E16" s="1733">
        <f>SUM(E3,E5:E6,E8:E10,E12:E15)</f>
        <v>0</v>
      </c>
      <c r="F16" s="1733">
        <f>SUM(F3,F5:F6,F8:F10,F12:F15)</f>
        <v>5446058</v>
      </c>
      <c r="G16" s="816"/>
      <c r="H16" s="1733">
        <f>SUM(H3,H6,H8:H10,H12:H14,)</f>
        <v>2065132</v>
      </c>
      <c r="I16" s="1733">
        <f>SUM(I3,I6,I8:I10,I12:I14,)</f>
        <v>220874</v>
      </c>
      <c r="J16" s="1733">
        <f>SUM(J3,J6,J8:J10,J12:J14,)</f>
        <v>0</v>
      </c>
      <c r="K16" s="1733">
        <f>(H16+I16)-J16</f>
        <v>2286006</v>
      </c>
      <c r="L16" s="1733">
        <f>F16-K16</f>
        <v>3160052</v>
      </c>
    </row>
    <row r="17" spans="1:12" ht="15" customHeight="1" thickTop="1" thickBot="1" x14ac:dyDescent="0.25">
      <c r="A17" s="1606" t="s">
        <v>291</v>
      </c>
      <c r="B17" s="1603">
        <v>700</v>
      </c>
      <c r="C17" s="742"/>
      <c r="D17" s="742"/>
      <c r="E17" s="742"/>
      <c r="F17" s="1733">
        <f>SUM('Expenditures 15-22'!I114,'Expenditures 15-22'!I151,'Expenditures 15-22'!I210,'Expenditures 15-22'!I312,'Expenditures 15-22'!I342,'Expenditures 15-22'!I367)</f>
        <v>2425</v>
      </c>
      <c r="G17" s="810">
        <v>10</v>
      </c>
      <c r="H17" s="742"/>
      <c r="I17" s="1742">
        <f>F17/G17</f>
        <v>242.5</v>
      </c>
      <c r="J17" s="742"/>
      <c r="K17" s="768"/>
      <c r="L17" s="768"/>
    </row>
    <row r="18" spans="1:12" ht="14.25" thickTop="1" thickBot="1" x14ac:dyDescent="0.25">
      <c r="A18" s="1740" t="s">
        <v>685</v>
      </c>
      <c r="B18" s="1741"/>
      <c r="C18" s="744"/>
      <c r="D18" s="744"/>
      <c r="E18" s="744"/>
      <c r="F18" s="823"/>
      <c r="G18" s="824"/>
      <c r="H18" s="746"/>
      <c r="I18" s="1733">
        <f>SUM(I16,I17)</f>
        <v>221116.5</v>
      </c>
      <c r="J18" s="746"/>
      <c r="K18" s="746"/>
      <c r="L18" s="746"/>
    </row>
    <row r="19" spans="1:12" ht="12" customHeight="1" thickTop="1" x14ac:dyDescent="0.2">
      <c r="F19" s="496"/>
      <c r="L19" s="496"/>
    </row>
    <row r="20" spans="1:12" ht="12" customHeight="1" x14ac:dyDescent="0.2">
      <c r="A20" s="825"/>
      <c r="B20" s="494"/>
      <c r="F20" s="496"/>
      <c r="L20" s="496"/>
    </row>
    <row r="21" spans="1:12" ht="12" customHeight="1" x14ac:dyDescent="0.2">
      <c r="B21" s="494"/>
      <c r="F21" s="496"/>
      <c r="L21" s="496"/>
    </row>
    <row r="22" spans="1:12" ht="12" customHeight="1" x14ac:dyDescent="0.2">
      <c r="B22" s="494"/>
      <c r="F22" s="496"/>
      <c r="L22" s="496"/>
    </row>
    <row r="23" spans="1:12" ht="12" customHeight="1" x14ac:dyDescent="0.2">
      <c r="A23" s="826"/>
      <c r="B23" s="494"/>
      <c r="F23" s="496"/>
      <c r="L23" s="496"/>
    </row>
    <row r="24" spans="1:12" ht="12" customHeight="1" x14ac:dyDescent="0.2">
      <c r="B24" s="494"/>
      <c r="F24" s="496"/>
      <c r="L24" s="496"/>
    </row>
    <row r="25" spans="1:12" x14ac:dyDescent="0.2">
      <c r="F25" s="496"/>
      <c r="L25" s="496"/>
    </row>
    <row r="26" spans="1:12" ht="10.9" customHeight="1" x14ac:dyDescent="0.2">
      <c r="A26" s="827"/>
      <c r="B26" s="247"/>
      <c r="D26" s="347"/>
    </row>
    <row r="27" spans="1:12" x14ac:dyDescent="0.2">
      <c r="A27" s="827"/>
      <c r="B27" s="247"/>
      <c r="D27" s="347"/>
    </row>
  </sheetData>
  <sheetProtection password="F60E" sheet="1" objects="1" scenarios="1"/>
  <mergeCells count="2">
    <mergeCell ref="J1:L1"/>
    <mergeCell ref="A1:C1"/>
  </mergeCells>
  <phoneticPr fontId="20"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tabColor rgb="FF00B050"/>
  </sheetPr>
  <dimension ref="A1:H202"/>
  <sheetViews>
    <sheetView showGridLines="0" defaultGridColor="0" view="pageBreakPreview" colorId="8" zoomScaleNormal="110" zoomScaleSheetLayoutView="100" workbookViewId="0">
      <pane ySplit="5" topLeftCell="A79" activePane="bottomLeft" state="frozen"/>
      <selection activeCell="AF22" sqref="AF22"/>
      <selection pane="bottomLeft" activeCell="F79" sqref="F79"/>
    </sheetView>
  </sheetViews>
  <sheetFormatPr defaultColWidth="8.7109375" defaultRowHeight="11.25" x14ac:dyDescent="0.2"/>
  <cols>
    <col min="1" max="1" width="22.140625" style="829" customWidth="1"/>
    <col min="2" max="2" width="31.85546875" style="829" customWidth="1"/>
    <col min="3" max="3" width="6.7109375" style="836" customWidth="1"/>
    <col min="4" max="4" width="55.7109375" style="829" customWidth="1"/>
    <col min="5" max="5" width="3.140625" style="836" customWidth="1"/>
    <col min="6" max="6" width="17.42578125" style="829" customWidth="1"/>
    <col min="7" max="7" width="0.85546875" style="829" customWidth="1"/>
    <col min="8" max="8" width="2.28515625" style="829" customWidth="1"/>
    <col min="9" max="16384" width="8.7109375" style="829"/>
  </cols>
  <sheetData>
    <row r="1" spans="1:7" ht="19.5" customHeight="1" thickTop="1" x14ac:dyDescent="0.2">
      <c r="A1" s="2331" t="s">
        <v>1975</v>
      </c>
      <c r="B1" s="2332"/>
      <c r="C1" s="2332"/>
      <c r="D1" s="2332"/>
      <c r="E1" s="2332"/>
      <c r="F1" s="2333"/>
      <c r="G1" s="828"/>
    </row>
    <row r="2" spans="1:7" ht="15" customHeight="1" thickBot="1" x14ac:dyDescent="0.25">
      <c r="A2" s="2334" t="s">
        <v>477</v>
      </c>
      <c r="B2" s="2335"/>
      <c r="C2" s="2335"/>
      <c r="D2" s="2335"/>
      <c r="E2" s="2335"/>
      <c r="F2" s="2336"/>
      <c r="G2" s="830"/>
    </row>
    <row r="3" spans="1:7" ht="5.25" customHeight="1" thickTop="1" x14ac:dyDescent="0.2">
      <c r="A3" s="831"/>
      <c r="B3" s="832"/>
      <c r="C3" s="833"/>
      <c r="D3" s="832"/>
      <c r="E3" s="833"/>
      <c r="F3" s="832"/>
      <c r="G3" s="832"/>
    </row>
    <row r="4" spans="1:7" ht="12.2" customHeight="1" x14ac:dyDescent="0.2">
      <c r="A4" s="834" t="s">
        <v>1077</v>
      </c>
      <c r="B4" s="835" t="s">
        <v>115</v>
      </c>
      <c r="D4" s="837" t="s">
        <v>511</v>
      </c>
      <c r="F4" s="835" t="s">
        <v>865</v>
      </c>
    </row>
    <row r="5" spans="1:7" ht="7.5" customHeight="1" x14ac:dyDescent="0.2">
      <c r="A5" s="2337"/>
      <c r="B5" s="2338"/>
      <c r="C5" s="2338"/>
      <c r="D5" s="2338"/>
      <c r="E5" s="2338"/>
      <c r="F5" s="2338"/>
    </row>
    <row r="6" spans="1:7" ht="13.5" customHeight="1" thickBot="1" x14ac:dyDescent="0.25">
      <c r="A6" s="2328" t="s">
        <v>1104</v>
      </c>
      <c r="B6" s="2329"/>
      <c r="C6" s="2329"/>
      <c r="D6" s="2329"/>
      <c r="E6" s="2329"/>
      <c r="F6" s="2330"/>
      <c r="G6" s="838"/>
    </row>
    <row r="7" spans="1:7" s="838" customFormat="1" ht="12" thickTop="1" x14ac:dyDescent="0.2">
      <c r="A7" s="839" t="s">
        <v>502</v>
      </c>
      <c r="B7" s="840"/>
      <c r="C7" s="841"/>
      <c r="D7" s="840"/>
      <c r="E7" s="841"/>
      <c r="F7" s="840"/>
    </row>
    <row r="8" spans="1:7" x14ac:dyDescent="0.2">
      <c r="A8" s="842" t="s">
        <v>459</v>
      </c>
      <c r="B8" s="843" t="s">
        <v>1468</v>
      </c>
      <c r="C8" s="844"/>
      <c r="D8" s="842" t="s">
        <v>501</v>
      </c>
      <c r="E8" s="841" t="s">
        <v>958</v>
      </c>
      <c r="F8" s="1881">
        <f>'Expenditures 15-22'!K114</f>
        <v>3110891</v>
      </c>
      <c r="G8" s="838"/>
    </row>
    <row r="9" spans="1:7" x14ac:dyDescent="0.2">
      <c r="A9" s="842" t="s">
        <v>460</v>
      </c>
      <c r="B9" s="843" t="s">
        <v>1877</v>
      </c>
      <c r="C9" s="844"/>
      <c r="D9" s="842" t="s">
        <v>501</v>
      </c>
      <c r="E9" s="841"/>
      <c r="F9" s="1882">
        <f>'Expenditures 15-22'!K151</f>
        <v>196069</v>
      </c>
      <c r="G9" s="845"/>
    </row>
    <row r="10" spans="1:7" x14ac:dyDescent="0.2">
      <c r="A10" s="842" t="s">
        <v>499</v>
      </c>
      <c r="B10" s="843" t="s">
        <v>1878</v>
      </c>
      <c r="C10" s="844"/>
      <c r="D10" s="842" t="s">
        <v>501</v>
      </c>
      <c r="E10" s="841"/>
      <c r="F10" s="1882">
        <f>'Expenditures 15-22'!K174</f>
        <v>0</v>
      </c>
      <c r="G10" s="845"/>
    </row>
    <row r="11" spans="1:7" x14ac:dyDescent="0.2">
      <c r="A11" s="842" t="s">
        <v>461</v>
      </c>
      <c r="B11" s="843" t="s">
        <v>1879</v>
      </c>
      <c r="C11" s="844"/>
      <c r="D11" s="842" t="s">
        <v>501</v>
      </c>
      <c r="E11" s="841"/>
      <c r="F11" s="1882">
        <f>'Expenditures 15-22'!K210</f>
        <v>285964</v>
      </c>
      <c r="G11" s="845"/>
    </row>
    <row r="12" spans="1:7" x14ac:dyDescent="0.2">
      <c r="A12" s="842" t="s">
        <v>462</v>
      </c>
      <c r="B12" s="843" t="s">
        <v>1880</v>
      </c>
      <c r="C12" s="844"/>
      <c r="D12" s="842" t="s">
        <v>501</v>
      </c>
      <c r="E12" s="841"/>
      <c r="F12" s="1882">
        <f>'Expenditures 15-22'!K295</f>
        <v>120571</v>
      </c>
      <c r="G12" s="845"/>
    </row>
    <row r="13" spans="1:7" x14ac:dyDescent="0.2">
      <c r="A13" s="842" t="s">
        <v>106</v>
      </c>
      <c r="B13" s="843" t="s">
        <v>1881</v>
      </c>
      <c r="C13" s="844"/>
      <c r="D13" s="842" t="s">
        <v>501</v>
      </c>
      <c r="E13" s="841"/>
      <c r="F13" s="1882">
        <f>'Expenditures 15-22'!K342</f>
        <v>47338</v>
      </c>
      <c r="G13" s="846"/>
    </row>
    <row r="14" spans="1:7" ht="12" customHeight="1" thickBot="1" x14ac:dyDescent="0.25">
      <c r="A14" s="1743"/>
      <c r="B14" s="1744"/>
      <c r="C14" s="1745"/>
      <c r="D14" s="1746" t="s">
        <v>501</v>
      </c>
      <c r="E14" s="1747" t="s">
        <v>958</v>
      </c>
      <c r="F14" s="1748">
        <f>SUM(F8:F13)</f>
        <v>3760833</v>
      </c>
      <c r="G14" s="838"/>
    </row>
    <row r="15" spans="1:7" ht="3.75" customHeight="1" thickTop="1" x14ac:dyDescent="0.2">
      <c r="A15" s="838"/>
      <c r="B15" s="838"/>
      <c r="C15" s="844"/>
      <c r="D15" s="838"/>
      <c r="E15" s="841"/>
      <c r="F15" s="838"/>
      <c r="G15" s="838"/>
    </row>
    <row r="16" spans="1:7" ht="12" customHeight="1" x14ac:dyDescent="0.2">
      <c r="A16" s="847" t="s">
        <v>512</v>
      </c>
      <c r="B16" s="231"/>
      <c r="C16" s="231"/>
      <c r="D16" s="840"/>
      <c r="E16" s="841"/>
      <c r="F16" s="840"/>
      <c r="G16" s="838"/>
    </row>
    <row r="17" spans="1:7" ht="4.5" customHeight="1" x14ac:dyDescent="0.2">
      <c r="A17" s="847"/>
      <c r="B17" s="231"/>
      <c r="C17" s="231"/>
      <c r="D17" s="840"/>
      <c r="E17" s="841"/>
      <c r="F17" s="840"/>
      <c r="G17" s="838"/>
    </row>
    <row r="18" spans="1:7" x14ac:dyDescent="0.2">
      <c r="A18" s="842" t="s">
        <v>461</v>
      </c>
      <c r="B18" s="843" t="s">
        <v>1010</v>
      </c>
      <c r="C18" s="848">
        <f>'Revenues 9-14'!B43</f>
        <v>1412</v>
      </c>
      <c r="D18" s="849" t="str">
        <f>'Revenues 9-14'!A43</f>
        <v>Regular - Transp Fees from Other Districts (In State)</v>
      </c>
      <c r="E18" s="841" t="s">
        <v>958</v>
      </c>
      <c r="F18" s="1883">
        <f>'Revenues 9-14'!F43</f>
        <v>0</v>
      </c>
      <c r="G18" s="838"/>
    </row>
    <row r="19" spans="1:7" x14ac:dyDescent="0.2">
      <c r="A19" s="842" t="s">
        <v>461</v>
      </c>
      <c r="B19" s="843" t="s">
        <v>1011</v>
      </c>
      <c r="C19" s="850">
        <f>'Revenues 9-14'!B47</f>
        <v>1421</v>
      </c>
      <c r="D19" s="851" t="str">
        <f>'Revenues 9-14'!A47</f>
        <v>Summer Sch - Transp. Fees from Pupils or Parents (In State)</v>
      </c>
      <c r="E19" s="852"/>
      <c r="F19" s="1884">
        <f>'Revenues 9-14'!F47</f>
        <v>0</v>
      </c>
      <c r="G19" s="838"/>
    </row>
    <row r="20" spans="1:7" x14ac:dyDescent="0.2">
      <c r="A20" s="842" t="s">
        <v>461</v>
      </c>
      <c r="B20" s="843" t="s">
        <v>1012</v>
      </c>
      <c r="C20" s="848">
        <f>'Revenues 9-14'!B48</f>
        <v>1422</v>
      </c>
      <c r="D20" s="849" t="str">
        <f>'Revenues 9-14'!A48</f>
        <v>Summer Sch - Transp. Fees from Other Districts (In State)</v>
      </c>
      <c r="E20" s="841"/>
      <c r="F20" s="1885">
        <f>'Revenues 9-14'!F48</f>
        <v>0</v>
      </c>
      <c r="G20" s="838"/>
    </row>
    <row r="21" spans="1:7" x14ac:dyDescent="0.2">
      <c r="A21" s="842" t="s">
        <v>461</v>
      </c>
      <c r="B21" s="843" t="s">
        <v>1013</v>
      </c>
      <c r="C21" s="850">
        <f>'Revenues 9-14'!B49</f>
        <v>1423</v>
      </c>
      <c r="D21" s="849" t="str">
        <f>'Revenues 9-14'!A49</f>
        <v>Summer Sch - Transp. Fees from Other Sources (In State)</v>
      </c>
      <c r="E21" s="841"/>
      <c r="F21" s="1886">
        <f>'Revenues 9-14'!F49</f>
        <v>0</v>
      </c>
      <c r="G21" s="838"/>
    </row>
    <row r="22" spans="1:7" x14ac:dyDescent="0.2">
      <c r="A22" s="842" t="s">
        <v>461</v>
      </c>
      <c r="B22" s="843" t="s">
        <v>1014</v>
      </c>
      <c r="C22" s="850">
        <f>'Revenues 9-14'!B50</f>
        <v>1424</v>
      </c>
      <c r="D22" s="849" t="str">
        <f>'Revenues 9-14'!A50</f>
        <v>Summer Sch - Transp. Fees from Other Sources (Out of State)</v>
      </c>
      <c r="E22" s="841"/>
      <c r="F22" s="1886">
        <f>'Revenues 9-14'!F50</f>
        <v>0</v>
      </c>
      <c r="G22" s="838"/>
    </row>
    <row r="23" spans="1:7" x14ac:dyDescent="0.2">
      <c r="A23" s="842" t="s">
        <v>461</v>
      </c>
      <c r="B23" s="843" t="s">
        <v>1015</v>
      </c>
      <c r="C23" s="848">
        <f>'Revenues 9-14'!B52</f>
        <v>1432</v>
      </c>
      <c r="D23" s="849" t="str">
        <f>'Revenues 9-14'!A52</f>
        <v>CTE - Transp Fees from Other Districts (In State)</v>
      </c>
      <c r="E23" s="841"/>
      <c r="F23" s="1886">
        <f>'Revenues 9-14'!F52</f>
        <v>0</v>
      </c>
      <c r="G23" s="838"/>
    </row>
    <row r="24" spans="1:7" x14ac:dyDescent="0.2">
      <c r="A24" s="842" t="s">
        <v>461</v>
      </c>
      <c r="B24" s="843" t="s">
        <v>1016</v>
      </c>
      <c r="C24" s="848">
        <f>'Revenues 9-14'!B56</f>
        <v>1442</v>
      </c>
      <c r="D24" s="849" t="str">
        <f>'Revenues 9-14'!A56</f>
        <v>Special Ed - Transp Fees from Other Districts (In State)</v>
      </c>
      <c r="E24" s="841"/>
      <c r="F24" s="1886">
        <f>'Revenues 9-14'!F56</f>
        <v>0</v>
      </c>
      <c r="G24" s="838"/>
    </row>
    <row r="25" spans="1:7" x14ac:dyDescent="0.2">
      <c r="A25" s="842" t="s">
        <v>461</v>
      </c>
      <c r="B25" s="843" t="s">
        <v>1017</v>
      </c>
      <c r="C25" s="848">
        <f>'Revenues 9-14'!B59</f>
        <v>1451</v>
      </c>
      <c r="D25" s="849" t="str">
        <f>'Revenues 9-14'!A59</f>
        <v>Adult - Transp Fees from Pupils or Parents (In State)</v>
      </c>
      <c r="E25" s="841"/>
      <c r="F25" s="1886">
        <f>'Revenues 9-14'!F59</f>
        <v>0</v>
      </c>
      <c r="G25" s="838"/>
    </row>
    <row r="26" spans="1:7" x14ac:dyDescent="0.2">
      <c r="A26" s="842" t="s">
        <v>461</v>
      </c>
      <c r="B26" s="843" t="s">
        <v>1018</v>
      </c>
      <c r="C26" s="848">
        <f>'Revenues 9-14'!B60</f>
        <v>1452</v>
      </c>
      <c r="D26" s="849" t="str">
        <f>'Revenues 9-14'!A60</f>
        <v>Adult - Transp Fees from Other Districts (In State)</v>
      </c>
      <c r="E26" s="841"/>
      <c r="F26" s="1886">
        <f>'Revenues 9-14'!F60</f>
        <v>0</v>
      </c>
      <c r="G26" s="838"/>
    </row>
    <row r="27" spans="1:7" x14ac:dyDescent="0.2">
      <c r="A27" s="842" t="s">
        <v>461</v>
      </c>
      <c r="B27" s="843" t="s">
        <v>1019</v>
      </c>
      <c r="C27" s="848">
        <f>'Revenues 9-14'!B61</f>
        <v>1453</v>
      </c>
      <c r="D27" s="849" t="str">
        <f>'Revenues 9-14'!A61</f>
        <v>Adult - Transp Fees from Other Sources (In State)</v>
      </c>
      <c r="E27" s="841"/>
      <c r="F27" s="1886">
        <f>'Revenues 9-14'!F61</f>
        <v>0</v>
      </c>
      <c r="G27" s="838"/>
    </row>
    <row r="28" spans="1:7" x14ac:dyDescent="0.2">
      <c r="A28" s="842" t="s">
        <v>461</v>
      </c>
      <c r="B28" s="843" t="s">
        <v>1020</v>
      </c>
      <c r="C28" s="848">
        <f>'Revenues 9-14'!B62</f>
        <v>1454</v>
      </c>
      <c r="D28" s="849" t="str">
        <f>'Revenues 9-14'!A62</f>
        <v>Adult - Transp Fees from Other Sources (Out of State)</v>
      </c>
      <c r="E28" s="841"/>
      <c r="F28" s="1886">
        <f>'Revenues 9-14'!F62</f>
        <v>0</v>
      </c>
      <c r="G28" s="838"/>
    </row>
    <row r="29" spans="1:7" x14ac:dyDescent="0.2">
      <c r="A29" s="842" t="s">
        <v>1097</v>
      </c>
      <c r="B29" s="843" t="s">
        <v>810</v>
      </c>
      <c r="C29" s="853">
        <f>'Revenues 9-14'!B149</f>
        <v>3410</v>
      </c>
      <c r="D29" s="854" t="str">
        <f>'Revenues 9-14'!A149</f>
        <v>Adult Ed (from ICCB)</v>
      </c>
      <c r="E29" s="841"/>
      <c r="F29" s="1886">
        <f>SUM('Revenues 9-14'!D149,'Revenues 9-14'!F149)</f>
        <v>0</v>
      </c>
      <c r="G29" s="838"/>
    </row>
    <row r="30" spans="1:7" x14ac:dyDescent="0.2">
      <c r="A30" s="842" t="s">
        <v>1097</v>
      </c>
      <c r="B30" s="843" t="s">
        <v>1999</v>
      </c>
      <c r="C30" s="853">
        <f>'Revenues 9-14'!B150</f>
        <v>3499</v>
      </c>
      <c r="D30" s="854" t="str">
        <f>'Revenues 9-14'!A150</f>
        <v>Adult Ed - Other (Describe &amp; Itemize)</v>
      </c>
      <c r="E30" s="841"/>
      <c r="F30" s="1887">
        <f>('Revenues 9-14'!D150+'Revenues 9-14'!F150)</f>
        <v>0</v>
      </c>
      <c r="G30" s="838"/>
    </row>
    <row r="31" spans="1:7" x14ac:dyDescent="0.2">
      <c r="A31" s="842" t="s">
        <v>1097</v>
      </c>
      <c r="B31" s="843" t="s">
        <v>2000</v>
      </c>
      <c r="C31" s="848">
        <f>'Revenues 9-14'!B211</f>
        <v>4600</v>
      </c>
      <c r="D31" s="856" t="str">
        <f>'Revenues 9-14'!A211</f>
        <v>Fed - Spec Education - Preschool Flow-Through</v>
      </c>
      <c r="E31" s="857"/>
      <c r="F31" s="1886">
        <f>SUM('Revenues 9-14'!D211,'Revenues 9-14'!F211)</f>
        <v>0</v>
      </c>
      <c r="G31" s="838"/>
    </row>
    <row r="32" spans="1:7" x14ac:dyDescent="0.2">
      <c r="A32" s="842" t="s">
        <v>1097</v>
      </c>
      <c r="B32" s="843" t="s">
        <v>2001</v>
      </c>
      <c r="C32" s="848">
        <f>'Revenues 9-14'!B212</f>
        <v>4605</v>
      </c>
      <c r="D32" s="858" t="str">
        <f>'Revenues 9-14'!A212</f>
        <v>Fed - Spec Education - Preschool Discretionary</v>
      </c>
      <c r="E32" s="857"/>
      <c r="F32" s="1886">
        <f>SUM('Revenues 9-14'!D212,'Revenues 9-14'!F212)</f>
        <v>0</v>
      </c>
      <c r="G32" s="838"/>
    </row>
    <row r="33" spans="1:7" x14ac:dyDescent="0.2">
      <c r="A33" s="842" t="s">
        <v>460</v>
      </c>
      <c r="B33" s="843" t="s">
        <v>2002</v>
      </c>
      <c r="C33" s="848">
        <f>'Revenues 9-14'!B222</f>
        <v>4810</v>
      </c>
      <c r="D33" s="856" t="str">
        <f>'Revenues 9-14'!A222</f>
        <v>Federal - Adult Education</v>
      </c>
      <c r="E33" s="841"/>
      <c r="F33" s="1886">
        <f>'Revenues 9-14'!D222</f>
        <v>0</v>
      </c>
      <c r="G33" s="838"/>
    </row>
    <row r="34" spans="1:7" x14ac:dyDescent="0.2">
      <c r="A34" s="842" t="s">
        <v>459</v>
      </c>
      <c r="B34" s="842" t="s">
        <v>1469</v>
      </c>
      <c r="C34" s="859" t="str">
        <f>'Expenditures 15-22'!B7</f>
        <v>1125</v>
      </c>
      <c r="D34" s="860" t="str">
        <f>'Expenditures 15-22'!A7</f>
        <v>Pre-K Programs</v>
      </c>
      <c r="E34" s="841"/>
      <c r="F34" s="1886">
        <f>'Expenditures 15-22'!K7-SUM('Expenditures 15-22'!G7,'Expenditures 15-22'!I7)</f>
        <v>0</v>
      </c>
      <c r="G34" s="838"/>
    </row>
    <row r="35" spans="1:7" x14ac:dyDescent="0.2">
      <c r="A35" s="842" t="s">
        <v>459</v>
      </c>
      <c r="B35" s="842" t="s">
        <v>1470</v>
      </c>
      <c r="C35" s="859" t="str">
        <f>'Expenditures 15-22'!B9</f>
        <v>1225</v>
      </c>
      <c r="D35" s="860" t="str">
        <f>'Expenditures 15-22'!A9</f>
        <v>Special Education Programs Pre-K</v>
      </c>
      <c r="E35" s="841"/>
      <c r="F35" s="1886">
        <f>'Expenditures 15-22'!K9-SUM('Expenditures 15-22'!G9+'Expenditures 15-22'!I9)</f>
        <v>0</v>
      </c>
      <c r="G35" s="838"/>
    </row>
    <row r="36" spans="1:7" x14ac:dyDescent="0.2">
      <c r="A36" s="842" t="s">
        <v>459</v>
      </c>
      <c r="B36" s="842" t="s">
        <v>116</v>
      </c>
      <c r="C36" s="859" t="str">
        <f>'Expenditures 15-22'!B11</f>
        <v>1275</v>
      </c>
      <c r="D36" s="860" t="str">
        <f>'Expenditures 15-22'!A11</f>
        <v>Remedial and Supplemental Programs Pre-K</v>
      </c>
      <c r="E36" s="841"/>
      <c r="F36" s="1886">
        <f>'Expenditures 15-22'!K11-SUM('Expenditures 15-22'!G11,'Expenditures 15-22'!I11)</f>
        <v>0</v>
      </c>
      <c r="G36" s="838"/>
    </row>
    <row r="37" spans="1:7" x14ac:dyDescent="0.2">
      <c r="A37" s="842" t="s">
        <v>459</v>
      </c>
      <c r="B37" s="842" t="s">
        <v>1471</v>
      </c>
      <c r="C37" s="859">
        <f>'Expenditures 15-22'!B12</f>
        <v>1300</v>
      </c>
      <c r="D37" s="861" t="str">
        <f>'Expenditures 15-22'!A12</f>
        <v>Adult/Continuing Education Programs</v>
      </c>
      <c r="E37" s="841"/>
      <c r="F37" s="1886">
        <f>'Expenditures 15-22'!K12-SUM('Expenditures 15-22'!G12+'Expenditures 15-22'!I12)</f>
        <v>0</v>
      </c>
      <c r="G37" s="838"/>
    </row>
    <row r="38" spans="1:7" x14ac:dyDescent="0.2">
      <c r="A38" s="842" t="s">
        <v>459</v>
      </c>
      <c r="B38" s="842" t="s">
        <v>1472</v>
      </c>
      <c r="C38" s="859">
        <f>'Expenditures 15-22'!B15</f>
        <v>1600</v>
      </c>
      <c r="D38" s="861" t="str">
        <f>'Expenditures 15-22'!A15</f>
        <v>Summer School Programs</v>
      </c>
      <c r="E38" s="841"/>
      <c r="F38" s="1886">
        <f>'Expenditures 15-22'!K15-SUM('Expenditures 15-22'!G15,'Expenditures 15-22'!I15)</f>
        <v>0</v>
      </c>
      <c r="G38" s="838"/>
    </row>
    <row r="39" spans="1:7" x14ac:dyDescent="0.2">
      <c r="A39" s="842" t="s">
        <v>459</v>
      </c>
      <c r="B39" s="842" t="s">
        <v>117</v>
      </c>
      <c r="C39" s="859" t="str">
        <f>'Expenditures 15-22'!B20</f>
        <v>1910</v>
      </c>
      <c r="D39" s="861" t="str">
        <f>'Expenditures 15-22'!A20</f>
        <v>Pre-K Programs - Private Tuition</v>
      </c>
      <c r="E39" s="841"/>
      <c r="F39" s="1886">
        <f>'Expenditures 15-22'!K20</f>
        <v>0</v>
      </c>
      <c r="G39" s="838"/>
    </row>
    <row r="40" spans="1:7" x14ac:dyDescent="0.2">
      <c r="A40" s="842" t="s">
        <v>459</v>
      </c>
      <c r="B40" s="842" t="s">
        <v>118</v>
      </c>
      <c r="C40" s="859" t="str">
        <f>'Expenditures 15-22'!B21</f>
        <v>1911</v>
      </c>
      <c r="D40" s="861" t="str">
        <f>'Expenditures 15-22'!A21</f>
        <v>Regular K-12 Programs - Private Tuition</v>
      </c>
      <c r="E40" s="841"/>
      <c r="F40" s="1886">
        <f>'Expenditures 15-22'!K21</f>
        <v>0</v>
      </c>
      <c r="G40" s="838"/>
    </row>
    <row r="41" spans="1:7" x14ac:dyDescent="0.2">
      <c r="A41" s="842" t="s">
        <v>459</v>
      </c>
      <c r="B41" s="842" t="s">
        <v>119</v>
      </c>
      <c r="C41" s="859" t="str">
        <f>'Expenditures 15-22'!B22</f>
        <v>1912</v>
      </c>
      <c r="D41" s="861" t="str">
        <f>'Expenditures 15-22'!A22</f>
        <v>Special Education Programs K-12 - Private Tuition</v>
      </c>
      <c r="E41" s="841"/>
      <c r="F41" s="1886">
        <f>'Expenditures 15-22'!K22</f>
        <v>0</v>
      </c>
      <c r="G41" s="838"/>
    </row>
    <row r="42" spans="1:7" x14ac:dyDescent="0.2">
      <c r="A42" s="842" t="s">
        <v>459</v>
      </c>
      <c r="B42" s="842" t="s">
        <v>120</v>
      </c>
      <c r="C42" s="862" t="str">
        <f>'Expenditures 15-22'!B23</f>
        <v>1913</v>
      </c>
      <c r="D42" s="861" t="str">
        <f>'Expenditures 15-22'!A23</f>
        <v>Special Education Programs Pre-K - Tuition</v>
      </c>
      <c r="E42" s="841"/>
      <c r="F42" s="1886">
        <f>'Expenditures 15-22'!K23</f>
        <v>0</v>
      </c>
      <c r="G42" s="838"/>
    </row>
    <row r="43" spans="1:7" x14ac:dyDescent="0.2">
      <c r="A43" s="842" t="s">
        <v>459</v>
      </c>
      <c r="B43" s="842" t="s">
        <v>121</v>
      </c>
      <c r="C43" s="859" t="str">
        <f>'Expenditures 15-22'!B24</f>
        <v>1914</v>
      </c>
      <c r="D43" s="861" t="str">
        <f>'Expenditures 15-22'!A24</f>
        <v>Remedial/Supplemental Programs K-12 - Private Tuition</v>
      </c>
      <c r="E43" s="841"/>
      <c r="F43" s="1886">
        <f>'Expenditures 15-22'!K24</f>
        <v>0</v>
      </c>
      <c r="G43" s="838"/>
    </row>
    <row r="44" spans="1:7" x14ac:dyDescent="0.2">
      <c r="A44" s="842" t="s">
        <v>459</v>
      </c>
      <c r="B44" s="842" t="s">
        <v>122</v>
      </c>
      <c r="C44" s="862" t="str">
        <f>'Expenditures 15-22'!B25</f>
        <v>1915</v>
      </c>
      <c r="D44" s="861" t="str">
        <f>'Expenditures 15-22'!A25</f>
        <v>Remedial/Supplemental Programs Pre-K - Private Tuition</v>
      </c>
      <c r="E44" s="841"/>
      <c r="F44" s="1886">
        <f>'Expenditures 15-22'!K25</f>
        <v>0</v>
      </c>
      <c r="G44" s="838"/>
    </row>
    <row r="45" spans="1:7" x14ac:dyDescent="0.2">
      <c r="A45" s="842" t="s">
        <v>459</v>
      </c>
      <c r="B45" s="842" t="s">
        <v>123</v>
      </c>
      <c r="C45" s="862" t="str">
        <f>'Expenditures 15-22'!B26</f>
        <v>1916</v>
      </c>
      <c r="D45" s="861" t="str">
        <f>'Expenditures 15-22'!A26</f>
        <v>Adult/Continuing Education Programs - Private Tuition</v>
      </c>
      <c r="E45" s="841"/>
      <c r="F45" s="1886">
        <f>'Expenditures 15-22'!K26</f>
        <v>0</v>
      </c>
      <c r="G45" s="838"/>
    </row>
    <row r="46" spans="1:7" x14ac:dyDescent="0.2">
      <c r="A46" s="842" t="s">
        <v>459</v>
      </c>
      <c r="B46" s="842" t="s">
        <v>124</v>
      </c>
      <c r="C46" s="859" t="str">
        <f>'Expenditures 15-22'!B27</f>
        <v>1917</v>
      </c>
      <c r="D46" s="861" t="str">
        <f>'Expenditures 15-22'!A27</f>
        <v>CTE Programs - Private Tuition</v>
      </c>
      <c r="E46" s="841"/>
      <c r="F46" s="1886">
        <f>'Expenditures 15-22'!K27</f>
        <v>0</v>
      </c>
      <c r="G46" s="838"/>
    </row>
    <row r="47" spans="1:7" x14ac:dyDescent="0.2">
      <c r="A47" s="842" t="s">
        <v>459</v>
      </c>
      <c r="B47" s="842" t="s">
        <v>125</v>
      </c>
      <c r="C47" s="863" t="str">
        <f>'Expenditures 15-22'!B28</f>
        <v>1918</v>
      </c>
      <c r="D47" s="864" t="str">
        <f>'Expenditures 15-22'!A28</f>
        <v>Interscholastic Programs - Private Tuition</v>
      </c>
      <c r="E47" s="841"/>
      <c r="F47" s="1886">
        <f>'Expenditures 15-22'!K28</f>
        <v>0</v>
      </c>
      <c r="G47" s="838"/>
    </row>
    <row r="48" spans="1:7" x14ac:dyDescent="0.2">
      <c r="A48" s="842" t="s">
        <v>459</v>
      </c>
      <c r="B48" s="842" t="s">
        <v>126</v>
      </c>
      <c r="C48" s="862" t="str">
        <f>'Expenditures 15-22'!B29</f>
        <v>1919</v>
      </c>
      <c r="D48" s="861" t="str">
        <f>'Expenditures 15-22'!A29</f>
        <v>Summer School Programs - Private Tuition</v>
      </c>
      <c r="E48" s="841"/>
      <c r="F48" s="1886">
        <f>'Expenditures 15-22'!K29</f>
        <v>0</v>
      </c>
      <c r="G48" s="838"/>
    </row>
    <row r="49" spans="1:7" x14ac:dyDescent="0.2">
      <c r="A49" s="842" t="s">
        <v>459</v>
      </c>
      <c r="B49" s="842" t="s">
        <v>127</v>
      </c>
      <c r="C49" s="859" t="str">
        <f>'Expenditures 15-22'!B30</f>
        <v>1920</v>
      </c>
      <c r="D49" s="861" t="str">
        <f>'Expenditures 15-22'!A30</f>
        <v>Gifted Programs - Private Tuition</v>
      </c>
      <c r="E49" s="841"/>
      <c r="F49" s="1886">
        <f>'Expenditures 15-22'!K30</f>
        <v>0</v>
      </c>
      <c r="G49" s="838"/>
    </row>
    <row r="50" spans="1:7" x14ac:dyDescent="0.2">
      <c r="A50" s="842" t="s">
        <v>459</v>
      </c>
      <c r="B50" s="842" t="s">
        <v>128</v>
      </c>
      <c r="C50" s="859" t="str">
        <f>'Expenditures 15-22'!B31</f>
        <v>1921</v>
      </c>
      <c r="D50" s="861" t="str">
        <f>'Expenditures 15-22'!A31</f>
        <v>Bilingual Programs - Private Tuition</v>
      </c>
      <c r="E50" s="841"/>
      <c r="F50" s="1886">
        <f>'Expenditures 15-22'!K31</f>
        <v>0</v>
      </c>
      <c r="G50" s="838"/>
    </row>
    <row r="51" spans="1:7" x14ac:dyDescent="0.2">
      <c r="A51" s="842" t="s">
        <v>459</v>
      </c>
      <c r="B51" s="842" t="s">
        <v>1473</v>
      </c>
      <c r="C51" s="859" t="str">
        <f>'Expenditures 15-22'!B32</f>
        <v>1922</v>
      </c>
      <c r="D51" s="861" t="str">
        <f>'Expenditures 15-22'!A32</f>
        <v>Truants Alternative/Optional Ed Progms - Private Tuition</v>
      </c>
      <c r="E51" s="841"/>
      <c r="F51" s="1886">
        <f>'Expenditures 15-22'!K32</f>
        <v>0</v>
      </c>
      <c r="G51" s="838"/>
    </row>
    <row r="52" spans="1:7" x14ac:dyDescent="0.2">
      <c r="A52" s="842" t="s">
        <v>459</v>
      </c>
      <c r="B52" s="842" t="s">
        <v>1474</v>
      </c>
      <c r="C52" s="862" t="str">
        <f>'Expenditures 15-22'!B75</f>
        <v>3000</v>
      </c>
      <c r="D52" s="861" t="s">
        <v>449</v>
      </c>
      <c r="E52" s="841"/>
      <c r="F52" s="1886">
        <f>'Expenditures 15-22'!K75-SUM('Expenditures 15-22'!G75,'Expenditures 15-22'!I75)</f>
        <v>0</v>
      </c>
      <c r="G52" s="838"/>
    </row>
    <row r="53" spans="1:7" x14ac:dyDescent="0.2">
      <c r="A53" s="842" t="s">
        <v>459</v>
      </c>
      <c r="B53" s="842" t="s">
        <v>1475</v>
      </c>
      <c r="C53" s="862">
        <f>'Expenditures 15-22'!B102</f>
        <v>4000</v>
      </c>
      <c r="D53" s="861" t="str">
        <f>'Expenditures 15-22'!A102</f>
        <v>Total Payments to Other Govt Units</v>
      </c>
      <c r="E53" s="841"/>
      <c r="F53" s="1886">
        <f>'Expenditures 15-22'!K102</f>
        <v>195249</v>
      </c>
      <c r="G53" s="838"/>
    </row>
    <row r="54" spans="1:7" x14ac:dyDescent="0.2">
      <c r="A54" s="842" t="s">
        <v>459</v>
      </c>
      <c r="B54" s="842" t="s">
        <v>1476</v>
      </c>
      <c r="C54" s="862" t="s">
        <v>982</v>
      </c>
      <c r="D54" s="858" t="s">
        <v>1095</v>
      </c>
      <c r="E54" s="841"/>
      <c r="F54" s="1886">
        <f>'Expenditures 15-22'!G114</f>
        <v>0</v>
      </c>
      <c r="G54" s="838"/>
    </row>
    <row r="55" spans="1:7" x14ac:dyDescent="0.2">
      <c r="A55" s="842" t="s">
        <v>459</v>
      </c>
      <c r="B55" s="842" t="s">
        <v>1477</v>
      </c>
      <c r="C55" s="862" t="s">
        <v>982</v>
      </c>
      <c r="D55" s="858" t="s">
        <v>291</v>
      </c>
      <c r="E55" s="841"/>
      <c r="F55" s="1886">
        <f>'Expenditures 15-22'!I114</f>
        <v>2425</v>
      </c>
      <c r="G55" s="838"/>
    </row>
    <row r="56" spans="1:7" x14ac:dyDescent="0.2">
      <c r="A56" s="842" t="s">
        <v>460</v>
      </c>
      <c r="B56" s="842" t="s">
        <v>1478</v>
      </c>
      <c r="C56" s="859" t="str">
        <f>'Expenditures 15-22'!B130</f>
        <v>3000</v>
      </c>
      <c r="D56" s="865" t="s">
        <v>449</v>
      </c>
      <c r="E56" s="841"/>
      <c r="F56" s="1886">
        <f>'Expenditures 15-22'!K130-SUM('Expenditures 15-22'!G130+'Expenditures 15-22'!I130)</f>
        <v>0</v>
      </c>
      <c r="G56" s="838"/>
    </row>
    <row r="57" spans="1:7" x14ac:dyDescent="0.2">
      <c r="A57" s="842" t="s">
        <v>460</v>
      </c>
      <c r="B57" s="842" t="s">
        <v>1882</v>
      </c>
      <c r="C57" s="862">
        <f>'Expenditures 15-22'!B139</f>
        <v>4000</v>
      </c>
      <c r="D57" s="860" t="str">
        <f>'Expenditures 15-22'!A139</f>
        <v>Total Payments to Other Govt Units</v>
      </c>
      <c r="E57" s="841"/>
      <c r="F57" s="1886">
        <f>'Expenditures 15-22'!K139</f>
        <v>0</v>
      </c>
      <c r="G57" s="838"/>
    </row>
    <row r="58" spans="1:7" x14ac:dyDescent="0.2">
      <c r="A58" s="842" t="s">
        <v>460</v>
      </c>
      <c r="B58" s="842" t="s">
        <v>1883</v>
      </c>
      <c r="C58" s="859" t="s">
        <v>982</v>
      </c>
      <c r="D58" s="858" t="s">
        <v>1095</v>
      </c>
      <c r="E58" s="841"/>
      <c r="F58" s="1888">
        <f>'Expenditures 15-22'!G151</f>
        <v>0</v>
      </c>
      <c r="G58" s="838"/>
    </row>
    <row r="59" spans="1:7" x14ac:dyDescent="0.2">
      <c r="A59" s="866" t="s">
        <v>460</v>
      </c>
      <c r="B59" s="829" t="s">
        <v>1884</v>
      </c>
      <c r="C59" s="867" t="s">
        <v>982</v>
      </c>
      <c r="D59" s="829" t="s">
        <v>291</v>
      </c>
      <c r="F59" s="1889">
        <f>'Expenditures 15-22'!I151</f>
        <v>0</v>
      </c>
      <c r="G59" s="838"/>
    </row>
    <row r="60" spans="1:7" x14ac:dyDescent="0.2">
      <c r="A60" s="866" t="s">
        <v>499</v>
      </c>
      <c r="B60" s="829" t="s">
        <v>1885</v>
      </c>
      <c r="C60" s="867">
        <v>4000</v>
      </c>
      <c r="D60" s="829" t="s">
        <v>312</v>
      </c>
      <c r="F60" s="1887">
        <f>'Expenditures 15-22'!K160</f>
        <v>0</v>
      </c>
      <c r="G60" s="838"/>
    </row>
    <row r="61" spans="1:7" x14ac:dyDescent="0.2">
      <c r="A61" s="868" t="s">
        <v>499</v>
      </c>
      <c r="B61" s="868" t="s">
        <v>1886</v>
      </c>
      <c r="C61" s="869" t="str">
        <f>'Expenditures 15-22'!B170</f>
        <v>5300</v>
      </c>
      <c r="D61" s="870" t="s">
        <v>311</v>
      </c>
      <c r="E61" s="852"/>
      <c r="F61" s="1886">
        <f>'Expenditures 15-22'!K170</f>
        <v>0</v>
      </c>
      <c r="G61" s="838"/>
    </row>
    <row r="62" spans="1:7" x14ac:dyDescent="0.2">
      <c r="A62" s="842" t="s">
        <v>461</v>
      </c>
      <c r="B62" s="842" t="s">
        <v>1887</v>
      </c>
      <c r="C62" s="859">
        <f>'Expenditures 15-22'!B185</f>
        <v>3000</v>
      </c>
      <c r="D62" s="849" t="s">
        <v>449</v>
      </c>
      <c r="E62" s="841"/>
      <c r="F62" s="1886">
        <f>'Expenditures 15-22'!K185-SUM('Expenditures 15-22'!G185,'Expenditures 15-22'!I185)</f>
        <v>0</v>
      </c>
      <c r="G62" s="838"/>
    </row>
    <row r="63" spans="1:7" x14ac:dyDescent="0.2">
      <c r="A63" s="842" t="s">
        <v>461</v>
      </c>
      <c r="B63" s="842" t="s">
        <v>1888</v>
      </c>
      <c r="C63" s="859" t="str">
        <f>'Expenditures 15-22'!B196</f>
        <v>4000</v>
      </c>
      <c r="D63" s="860" t="str">
        <f>'Expenditures 15-22'!A196</f>
        <v>Total Payments to Other Govt Units</v>
      </c>
      <c r="E63" s="841"/>
      <c r="F63" s="1886">
        <f>'Expenditures 15-22'!K196</f>
        <v>0</v>
      </c>
      <c r="G63" s="838"/>
    </row>
    <row r="64" spans="1:7" x14ac:dyDescent="0.2">
      <c r="A64" s="868" t="s">
        <v>461</v>
      </c>
      <c r="B64" s="868" t="s">
        <v>1889</v>
      </c>
      <c r="C64" s="869" t="str">
        <f>'Expenditures 15-22'!B206</f>
        <v>5300</v>
      </c>
      <c r="D64" s="865" t="s">
        <v>311</v>
      </c>
      <c r="E64" s="841"/>
      <c r="F64" s="1886">
        <f>'Expenditures 15-22'!K206</f>
        <v>0</v>
      </c>
      <c r="G64" s="838"/>
    </row>
    <row r="65" spans="1:8" x14ac:dyDescent="0.2">
      <c r="A65" s="842" t="s">
        <v>461</v>
      </c>
      <c r="B65" s="842" t="s">
        <v>1890</v>
      </c>
      <c r="C65" s="859" t="s">
        <v>982</v>
      </c>
      <c r="D65" s="858" t="s">
        <v>1095</v>
      </c>
      <c r="E65" s="841"/>
      <c r="F65" s="1886">
        <f>'Expenditures 15-22'!G210</f>
        <v>78630</v>
      </c>
      <c r="G65" s="838"/>
    </row>
    <row r="66" spans="1:8" x14ac:dyDescent="0.2">
      <c r="A66" s="842" t="s">
        <v>461</v>
      </c>
      <c r="B66" s="842" t="s">
        <v>1891</v>
      </c>
      <c r="C66" s="859" t="s">
        <v>982</v>
      </c>
      <c r="D66" s="858" t="s">
        <v>291</v>
      </c>
      <c r="E66" s="841"/>
      <c r="F66" s="1886">
        <f>'Expenditures 15-22'!I210</f>
        <v>0</v>
      </c>
      <c r="G66" s="838"/>
    </row>
    <row r="67" spans="1:8" x14ac:dyDescent="0.2">
      <c r="A67" s="842" t="s">
        <v>462</v>
      </c>
      <c r="B67" s="842" t="s">
        <v>1892</v>
      </c>
      <c r="C67" s="859" t="str">
        <f>'Expenditures 15-22'!B216</f>
        <v>1125</v>
      </c>
      <c r="D67" s="865" t="str">
        <f>'Expenditures 15-22'!A216</f>
        <v>Pre-K Programs</v>
      </c>
      <c r="E67" s="841"/>
      <c r="F67" s="1886">
        <f>'Expenditures 15-22'!K216</f>
        <v>0</v>
      </c>
      <c r="G67" s="838"/>
    </row>
    <row r="68" spans="1:8" x14ac:dyDescent="0.2">
      <c r="A68" s="842" t="s">
        <v>462</v>
      </c>
      <c r="B68" s="842" t="s">
        <v>1479</v>
      </c>
      <c r="C68" s="859" t="str">
        <f>'Expenditures 15-22'!B218</f>
        <v>1225</v>
      </c>
      <c r="D68" s="865" t="str">
        <f>'Expenditures 15-22'!A218</f>
        <v>Special Education Programs - Pre-K</v>
      </c>
      <c r="E68" s="841"/>
      <c r="F68" s="1886">
        <f>'Expenditures 15-22'!K218</f>
        <v>0</v>
      </c>
      <c r="G68" s="838"/>
    </row>
    <row r="69" spans="1:8" x14ac:dyDescent="0.2">
      <c r="A69" s="842" t="s">
        <v>462</v>
      </c>
      <c r="B69" s="842" t="s">
        <v>1893</v>
      </c>
      <c r="C69" s="859" t="str">
        <f>'Expenditures 15-22'!B220</f>
        <v>1275</v>
      </c>
      <c r="D69" s="865" t="str">
        <f>'Expenditures 15-22'!A220</f>
        <v>Remedial and Supplemental Programs - Pre-K</v>
      </c>
      <c r="E69" s="841"/>
      <c r="F69" s="1886">
        <f>'Expenditures 15-22'!K220</f>
        <v>0</v>
      </c>
      <c r="G69" s="838"/>
    </row>
    <row r="70" spans="1:8" x14ac:dyDescent="0.2">
      <c r="A70" s="842" t="s">
        <v>462</v>
      </c>
      <c r="B70" s="842" t="s">
        <v>1894</v>
      </c>
      <c r="C70" s="859">
        <f>'Expenditures 15-22'!B221</f>
        <v>1300</v>
      </c>
      <c r="D70" s="860" t="str">
        <f>'Expenditures 15-22'!A221</f>
        <v>Adult/Continuing Education Programs</v>
      </c>
      <c r="E70" s="841"/>
      <c r="F70" s="1886">
        <f>'Expenditures 15-22'!K221</f>
        <v>0</v>
      </c>
      <c r="G70" s="838"/>
    </row>
    <row r="71" spans="1:8" x14ac:dyDescent="0.2">
      <c r="A71" s="842" t="s">
        <v>462</v>
      </c>
      <c r="B71" s="842" t="s">
        <v>1895</v>
      </c>
      <c r="C71" s="859">
        <f>'Expenditures 15-22'!B224</f>
        <v>1600</v>
      </c>
      <c r="D71" s="860" t="str">
        <f>'Expenditures 15-22'!A224</f>
        <v>Summer School Programs</v>
      </c>
      <c r="E71" s="841"/>
      <c r="F71" s="1886">
        <f>'Expenditures 15-22'!K224</f>
        <v>0</v>
      </c>
      <c r="G71" s="838"/>
    </row>
    <row r="72" spans="1:8" x14ac:dyDescent="0.2">
      <c r="A72" s="842" t="s">
        <v>462</v>
      </c>
      <c r="B72" s="842" t="s">
        <v>1896</v>
      </c>
      <c r="C72" s="859">
        <f>'Expenditures 15-22'!B280</f>
        <v>3000</v>
      </c>
      <c r="D72" s="849" t="s">
        <v>449</v>
      </c>
      <c r="E72" s="841"/>
      <c r="F72" s="1886">
        <f>'Expenditures 15-22'!K280</f>
        <v>0</v>
      </c>
      <c r="G72" s="838"/>
    </row>
    <row r="73" spans="1:8" x14ac:dyDescent="0.2">
      <c r="A73" s="842" t="s">
        <v>462</v>
      </c>
      <c r="B73" s="842" t="s">
        <v>1897</v>
      </c>
      <c r="C73" s="859" t="str">
        <f>'Expenditures 15-22'!B285</f>
        <v>4000</v>
      </c>
      <c r="D73" s="860" t="str">
        <f>'Expenditures 15-22'!A285</f>
        <v>Total Payments to Other Govt Units</v>
      </c>
      <c r="E73" s="841"/>
      <c r="F73" s="1886">
        <f>'Expenditures 15-22'!K285</f>
        <v>0</v>
      </c>
      <c r="G73" s="838"/>
    </row>
    <row r="74" spans="1:8" x14ac:dyDescent="0.2">
      <c r="A74" s="842" t="s">
        <v>436</v>
      </c>
      <c r="B74" s="842" t="s">
        <v>1898</v>
      </c>
      <c r="C74" s="859" t="s">
        <v>860</v>
      </c>
      <c r="D74" s="860" t="s">
        <v>1487</v>
      </c>
      <c r="E74" s="841"/>
      <c r="F74" s="1890">
        <f>'Expenditures 15-22'!K334</f>
        <v>0</v>
      </c>
      <c r="G74" s="838"/>
    </row>
    <row r="75" spans="1:8" ht="5.25" customHeight="1" x14ac:dyDescent="0.2">
      <c r="A75" s="838"/>
      <c r="B75" s="848"/>
      <c r="C75" s="848"/>
      <c r="D75" s="838"/>
      <c r="E75" s="841"/>
      <c r="F75" s="855"/>
      <c r="G75" s="840"/>
    </row>
    <row r="76" spans="1:8" ht="12" thickBot="1" x14ac:dyDescent="0.25">
      <c r="A76" s="1743"/>
      <c r="B76" s="1749"/>
      <c r="C76" s="1745"/>
      <c r="D76" s="1750" t="s">
        <v>1899</v>
      </c>
      <c r="E76" s="1747" t="s">
        <v>958</v>
      </c>
      <c r="F76" s="1751">
        <f>SUM(F18:F74)</f>
        <v>276304</v>
      </c>
      <c r="G76" s="838"/>
    </row>
    <row r="77" spans="1:8" s="866" customFormat="1" ht="12" customHeight="1" thickTop="1" thickBot="1" x14ac:dyDescent="0.25">
      <c r="A77" s="1752"/>
      <c r="B77" s="1749"/>
      <c r="C77" s="1745"/>
      <c r="D77" s="1750" t="s">
        <v>1900</v>
      </c>
      <c r="E77" s="1747"/>
      <c r="F77" s="1753">
        <f>(F14-F76)</f>
        <v>3484529</v>
      </c>
      <c r="G77" s="842"/>
    </row>
    <row r="78" spans="1:8" s="866" customFormat="1" ht="12" customHeight="1" thickTop="1" x14ac:dyDescent="0.2">
      <c r="A78" s="1754"/>
      <c r="B78" s="1749"/>
      <c r="C78" s="1745"/>
      <c r="D78" s="1750" t="s">
        <v>2062</v>
      </c>
      <c r="E78" s="1747"/>
      <c r="F78" s="871">
        <v>281.89999999999998</v>
      </c>
      <c r="G78" s="872"/>
      <c r="H78" s="842"/>
    </row>
    <row r="79" spans="1:8" s="866" customFormat="1" ht="12" customHeight="1" thickBot="1" x14ac:dyDescent="0.25">
      <c r="A79" s="1755"/>
      <c r="B79" s="1749"/>
      <c r="C79" s="1745"/>
      <c r="D79" s="1750" t="s">
        <v>1901</v>
      </c>
      <c r="E79" s="1747" t="s">
        <v>958</v>
      </c>
      <c r="F79" s="1756">
        <f>IF(F78&gt;0,F77/F78," Complete Line 78")</f>
        <v>12360.869102518625</v>
      </c>
      <c r="G79" s="842"/>
    </row>
    <row r="80" spans="1:8" s="866" customFormat="1" ht="8.25" customHeight="1" thickTop="1" x14ac:dyDescent="0.2">
      <c r="A80" s="873"/>
      <c r="B80" s="842"/>
      <c r="C80" s="844"/>
      <c r="D80" s="874"/>
      <c r="E80" s="841"/>
      <c r="F80" s="875"/>
      <c r="G80" s="842"/>
    </row>
    <row r="81" spans="1:7" s="866" customFormat="1" ht="12" thickBot="1" x14ac:dyDescent="0.25">
      <c r="A81" s="2328" t="s">
        <v>1105</v>
      </c>
      <c r="B81" s="2329"/>
      <c r="C81" s="2329"/>
      <c r="D81" s="2329"/>
      <c r="E81" s="2329"/>
      <c r="F81" s="2330"/>
      <c r="G81" s="842"/>
    </row>
    <row r="82" spans="1:7" s="866" customFormat="1" ht="5.25" customHeight="1" thickTop="1" x14ac:dyDescent="0.2">
      <c r="A82" s="842"/>
      <c r="B82" s="842"/>
      <c r="C82" s="844"/>
      <c r="D82" s="842"/>
      <c r="E82" s="844"/>
      <c r="F82" s="842"/>
      <c r="G82" s="876"/>
    </row>
    <row r="83" spans="1:7" ht="12" customHeight="1" x14ac:dyDescent="0.2">
      <c r="A83" s="877" t="s">
        <v>813</v>
      </c>
      <c r="B83" s="878"/>
      <c r="C83" s="879"/>
      <c r="D83" s="880"/>
      <c r="E83" s="879"/>
      <c r="F83" s="878"/>
      <c r="G83" s="878"/>
    </row>
    <row r="84" spans="1:7" x14ac:dyDescent="0.2">
      <c r="A84" s="881" t="s">
        <v>461</v>
      </c>
      <c r="B84" s="882" t="s">
        <v>146</v>
      </c>
      <c r="C84" s="883">
        <f>'Revenues 9-14'!B42</f>
        <v>1411</v>
      </c>
      <c r="D84" s="884" t="str">
        <f>'Revenues 9-14'!A42</f>
        <v>Regular -Transp Fees from Pupils or Parents (In State)</v>
      </c>
      <c r="E84" s="879" t="s">
        <v>958</v>
      </c>
      <c r="F84" s="1880">
        <f>'Revenues 9-14'!F42</f>
        <v>0</v>
      </c>
      <c r="G84" s="885"/>
    </row>
    <row r="85" spans="1:7" x14ac:dyDescent="0.2">
      <c r="A85" s="881" t="s">
        <v>461</v>
      </c>
      <c r="B85" s="881" t="s">
        <v>183</v>
      </c>
      <c r="C85" s="886">
        <f>'Revenues 9-14'!B44</f>
        <v>1413</v>
      </c>
      <c r="D85" s="884" t="str">
        <f>'Revenues 9-14'!A44</f>
        <v>Regular - Transp Fees from Other Sources (In State)</v>
      </c>
      <c r="E85" s="879"/>
      <c r="F85" s="1762">
        <f>'Revenues 9-14'!F44</f>
        <v>0</v>
      </c>
      <c r="G85" s="887"/>
    </row>
    <row r="86" spans="1:7" x14ac:dyDescent="0.2">
      <c r="A86" s="881" t="s">
        <v>461</v>
      </c>
      <c r="B86" s="881" t="s">
        <v>166</v>
      </c>
      <c r="C86" s="883">
        <f>'Revenues 9-14'!B45</f>
        <v>1415</v>
      </c>
      <c r="D86" s="884" t="str">
        <f>'Revenues 9-14'!A45</f>
        <v>Regular - Transp Fees from Co-curricular Activities (In State)</v>
      </c>
      <c r="E86" s="879"/>
      <c r="F86" s="1762">
        <f>'Revenues 9-14'!F45</f>
        <v>0</v>
      </c>
      <c r="G86" s="887"/>
    </row>
    <row r="87" spans="1:7" x14ac:dyDescent="0.2">
      <c r="A87" s="881" t="s">
        <v>461</v>
      </c>
      <c r="B87" s="881" t="s">
        <v>167</v>
      </c>
      <c r="C87" s="883">
        <v>1416</v>
      </c>
      <c r="D87" s="884" t="str">
        <f>'Revenues 9-14'!A46</f>
        <v>Regular Transp Fees from Other Sources (Out of State)</v>
      </c>
      <c r="E87" s="879"/>
      <c r="F87" s="1762">
        <f>'Revenues 9-14'!F46</f>
        <v>0</v>
      </c>
      <c r="G87" s="887"/>
    </row>
    <row r="88" spans="1:7" x14ac:dyDescent="0.2">
      <c r="A88" s="881" t="s">
        <v>461</v>
      </c>
      <c r="B88" s="881" t="s">
        <v>168</v>
      </c>
      <c r="C88" s="883">
        <f>'Revenues 9-14'!B51</f>
        <v>1431</v>
      </c>
      <c r="D88" s="884" t="str">
        <f>'Revenues 9-14'!A51</f>
        <v>CTE - Transp Fees from Pupils or Parents (In State)</v>
      </c>
      <c r="E88" s="879"/>
      <c r="F88" s="1762">
        <f>'Revenues 9-14'!F51</f>
        <v>0</v>
      </c>
      <c r="G88" s="887"/>
    </row>
    <row r="89" spans="1:7" x14ac:dyDescent="0.2">
      <c r="A89" s="881" t="s">
        <v>461</v>
      </c>
      <c r="B89" s="881" t="s">
        <v>169</v>
      </c>
      <c r="C89" s="883">
        <f>'Revenues 9-14'!B53</f>
        <v>1433</v>
      </c>
      <c r="D89" s="884" t="str">
        <f>'Revenues 9-14'!A53</f>
        <v>CTE - Transp Fees from Other Sources (In State)</v>
      </c>
      <c r="E89" s="879"/>
      <c r="F89" s="1762">
        <f>'Revenues 9-14'!F53</f>
        <v>0</v>
      </c>
      <c r="G89" s="887"/>
    </row>
    <row r="90" spans="1:7" x14ac:dyDescent="0.2">
      <c r="A90" s="881" t="s">
        <v>461</v>
      </c>
      <c r="B90" s="881" t="s">
        <v>170</v>
      </c>
      <c r="C90" s="883">
        <f>'Revenues 9-14'!B54</f>
        <v>1434</v>
      </c>
      <c r="D90" s="884" t="str">
        <f>'Revenues 9-14'!A54</f>
        <v>CTE - Transp Fees from Other Sources (Out of State)</v>
      </c>
      <c r="E90" s="879"/>
      <c r="F90" s="1762">
        <f>'Revenues 9-14'!F54</f>
        <v>0</v>
      </c>
      <c r="G90" s="887"/>
    </row>
    <row r="91" spans="1:7" x14ac:dyDescent="0.2">
      <c r="A91" s="881" t="s">
        <v>461</v>
      </c>
      <c r="B91" s="881" t="s">
        <v>171</v>
      </c>
      <c r="C91" s="888">
        <f>'Revenues 9-14'!B55</f>
        <v>1441</v>
      </c>
      <c r="D91" s="884" t="str">
        <f>'Revenues 9-14'!A55</f>
        <v>Special Ed - Transp Fees from Pupils or Parents (In State)</v>
      </c>
      <c r="E91" s="879"/>
      <c r="F91" s="1762">
        <f>'Revenues 9-14'!F55</f>
        <v>0</v>
      </c>
      <c r="G91" s="887"/>
    </row>
    <row r="92" spans="1:7" x14ac:dyDescent="0.2">
      <c r="A92" s="881" t="s">
        <v>461</v>
      </c>
      <c r="B92" s="881" t="s">
        <v>172</v>
      </c>
      <c r="C92" s="883">
        <f>'Revenues 9-14'!B57</f>
        <v>1443</v>
      </c>
      <c r="D92" s="884" t="str">
        <f>'Revenues 9-14'!A57</f>
        <v>Special Ed - Transp Fees from Other Sources (In State)</v>
      </c>
      <c r="E92" s="879"/>
      <c r="F92" s="1762">
        <f>'Revenues 9-14'!F57</f>
        <v>0</v>
      </c>
      <c r="G92" s="889"/>
    </row>
    <row r="93" spans="1:7" x14ac:dyDescent="0.2">
      <c r="A93" s="881" t="s">
        <v>461</v>
      </c>
      <c r="B93" s="881" t="s">
        <v>173</v>
      </c>
      <c r="C93" s="883">
        <f>'Revenues 9-14'!B58</f>
        <v>1444</v>
      </c>
      <c r="D93" s="884" t="str">
        <f>'Revenues 9-14'!A58</f>
        <v>Special Ed - Transp Fees from Other Sources (Out of State)</v>
      </c>
      <c r="E93" s="879"/>
      <c r="F93" s="1762">
        <f>'Revenues 9-14'!F58</f>
        <v>0</v>
      </c>
      <c r="G93" s="889"/>
    </row>
    <row r="94" spans="1:7" x14ac:dyDescent="0.2">
      <c r="A94" s="881" t="s">
        <v>459</v>
      </c>
      <c r="B94" s="881" t="s">
        <v>174</v>
      </c>
      <c r="C94" s="883">
        <v>1600</v>
      </c>
      <c r="D94" s="890" t="str">
        <f>'Revenues 9-14'!A75</f>
        <v>Total Food Service</v>
      </c>
      <c r="E94" s="879"/>
      <c r="F94" s="1762">
        <f>'Revenues 9-14'!C75</f>
        <v>47171</v>
      </c>
      <c r="G94" s="885"/>
    </row>
    <row r="95" spans="1:7" x14ac:dyDescent="0.2">
      <c r="A95" s="881" t="s">
        <v>140</v>
      </c>
      <c r="B95" s="881" t="s">
        <v>175</v>
      </c>
      <c r="C95" s="883">
        <v>1700</v>
      </c>
      <c r="D95" s="891" t="str">
        <f>'Revenues 9-14'!A82</f>
        <v>Total District/School Activity Income</v>
      </c>
      <c r="E95" s="879"/>
      <c r="F95" s="1762">
        <f>SUM('Revenues 9-14'!C82,'Revenues 9-14'!D82)</f>
        <v>18543</v>
      </c>
      <c r="G95" s="885"/>
    </row>
    <row r="96" spans="1:7" x14ac:dyDescent="0.2">
      <c r="A96" s="881" t="s">
        <v>459</v>
      </c>
      <c r="B96" s="881" t="s">
        <v>176</v>
      </c>
      <c r="C96" s="883">
        <f>'Revenues 9-14'!B84</f>
        <v>1811</v>
      </c>
      <c r="D96" s="884" t="str">
        <f>'Revenues 9-14'!A84</f>
        <v>Rentals - Regular Textbooks</v>
      </c>
      <c r="E96" s="879"/>
      <c r="F96" s="1762">
        <f>'Revenues 9-14'!C84</f>
        <v>21574</v>
      </c>
      <c r="G96" s="885"/>
    </row>
    <row r="97" spans="1:7" x14ac:dyDescent="0.2">
      <c r="A97" s="881" t="s">
        <v>459</v>
      </c>
      <c r="B97" s="881" t="s">
        <v>177</v>
      </c>
      <c r="C97" s="883">
        <f>'Revenues 9-14'!B87</f>
        <v>1819</v>
      </c>
      <c r="D97" s="884" t="str">
        <f>'Revenues 9-14'!A87</f>
        <v>Rentals - Other (Describe &amp; Itemize)</v>
      </c>
      <c r="E97" s="879"/>
      <c r="F97" s="1762">
        <f>'Revenues 9-14'!C87</f>
        <v>0</v>
      </c>
      <c r="G97" s="885"/>
    </row>
    <row r="98" spans="1:7" x14ac:dyDescent="0.2">
      <c r="A98" s="881" t="s">
        <v>459</v>
      </c>
      <c r="B98" s="881" t="s">
        <v>178</v>
      </c>
      <c r="C98" s="883">
        <f>'Revenues 9-14'!B88</f>
        <v>1821</v>
      </c>
      <c r="D98" s="884" t="str">
        <f>'Revenues 9-14'!A88</f>
        <v>Sales - Regular Textbooks</v>
      </c>
      <c r="E98" s="879"/>
      <c r="F98" s="1762">
        <f>'Revenues 9-14'!C88</f>
        <v>0</v>
      </c>
      <c r="G98" s="885"/>
    </row>
    <row r="99" spans="1:7" x14ac:dyDescent="0.2">
      <c r="A99" s="881" t="s">
        <v>459</v>
      </c>
      <c r="B99" s="881" t="s">
        <v>179</v>
      </c>
      <c r="C99" s="883">
        <f>'Revenues 9-14'!B91</f>
        <v>1829</v>
      </c>
      <c r="D99" s="884" t="str">
        <f>'Revenues 9-14'!A91</f>
        <v>Sales - Other (Describe &amp; Itemize)</v>
      </c>
      <c r="E99" s="879"/>
      <c r="F99" s="1762">
        <f>'Revenues 9-14'!C91</f>
        <v>0</v>
      </c>
      <c r="G99" s="885"/>
    </row>
    <row r="100" spans="1:7" x14ac:dyDescent="0.2">
      <c r="A100" s="881" t="s">
        <v>459</v>
      </c>
      <c r="B100" s="881" t="s">
        <v>180</v>
      </c>
      <c r="C100" s="883">
        <f>'Revenues 9-14'!B92</f>
        <v>1890</v>
      </c>
      <c r="D100" s="884" t="str">
        <f>'Revenues 9-14'!A92</f>
        <v>Other (Describe &amp; Itemize)</v>
      </c>
      <c r="E100" s="879"/>
      <c r="F100" s="1762">
        <f>'Revenues 9-14'!C92</f>
        <v>0</v>
      </c>
      <c r="G100" s="885"/>
    </row>
    <row r="101" spans="1:7" x14ac:dyDescent="0.2">
      <c r="A101" s="881" t="s">
        <v>140</v>
      </c>
      <c r="B101" s="881" t="s">
        <v>181</v>
      </c>
      <c r="C101" s="883">
        <f>'Revenues 9-14'!B95</f>
        <v>1910</v>
      </c>
      <c r="D101" s="884" t="str">
        <f>'Revenues 9-14'!A95</f>
        <v>Rentals</v>
      </c>
      <c r="E101" s="879"/>
      <c r="F101" s="1762">
        <f>SUM('Revenues 9-14'!C95:D95)</f>
        <v>0</v>
      </c>
      <c r="G101" s="885"/>
    </row>
    <row r="102" spans="1:7" x14ac:dyDescent="0.2">
      <c r="A102" s="881" t="s">
        <v>503</v>
      </c>
      <c r="B102" s="881" t="s">
        <v>182</v>
      </c>
      <c r="C102" s="883">
        <f>'Revenues 9-14'!B98</f>
        <v>1940</v>
      </c>
      <c r="D102" s="884" t="str">
        <f>'Revenues 9-14'!A98</f>
        <v>Services Provided Other Districts</v>
      </c>
      <c r="E102" s="879"/>
      <c r="F102" s="1762">
        <f>SUM('Revenues 9-14'!C98,'Revenues 9-14'!D98,'Revenues 9-14'!F98)</f>
        <v>0</v>
      </c>
      <c r="G102" s="885"/>
    </row>
    <row r="103" spans="1:7" x14ac:dyDescent="0.2">
      <c r="A103" s="881" t="s">
        <v>1009</v>
      </c>
      <c r="B103" s="881" t="s">
        <v>801</v>
      </c>
      <c r="C103" s="883">
        <f>'Revenues 9-14'!B104</f>
        <v>1991</v>
      </c>
      <c r="D103" s="892" t="str">
        <f>'Revenues 9-14'!A104</f>
        <v>Payment from Other Districts</v>
      </c>
      <c r="E103" s="879"/>
      <c r="F103" s="1762">
        <f>SUM('Revenues 9-14'!C104,'Revenues 9-14'!D104,'Revenues 9-14'!E104,'Revenues 9-14'!F104,'Revenues 9-14'!G104)</f>
        <v>0</v>
      </c>
      <c r="G103" s="885"/>
    </row>
    <row r="104" spans="1:7" x14ac:dyDescent="0.2">
      <c r="A104" s="881" t="s">
        <v>459</v>
      </c>
      <c r="B104" s="881" t="s">
        <v>808</v>
      </c>
      <c r="C104" s="883">
        <f>'Revenues 9-14'!B106</f>
        <v>1993</v>
      </c>
      <c r="D104" s="884" t="str">
        <f>'Revenues 9-14'!A106</f>
        <v>Other Local Fees (Describe &amp; Itemize)</v>
      </c>
      <c r="E104" s="879"/>
      <c r="F104" s="1762">
        <f>('Revenues 9-14'!C106)</f>
        <v>49599</v>
      </c>
      <c r="G104" s="885"/>
    </row>
    <row r="105" spans="1:7" x14ac:dyDescent="0.2">
      <c r="A105" s="881" t="s">
        <v>503</v>
      </c>
      <c r="B105" s="881" t="s">
        <v>2003</v>
      </c>
      <c r="C105" s="886">
        <v>3100</v>
      </c>
      <c r="D105" s="892" t="str">
        <f>'Revenues 9-14'!A132</f>
        <v>Total Special Education</v>
      </c>
      <c r="E105" s="879"/>
      <c r="F105" s="1762">
        <f>SUM('Revenues 9-14'!C132:D132,'Revenues 9-14'!F132)</f>
        <v>22133</v>
      </c>
      <c r="G105" s="885"/>
    </row>
    <row r="106" spans="1:7" x14ac:dyDescent="0.2">
      <c r="A106" s="881" t="s">
        <v>673</v>
      </c>
      <c r="B106" s="881" t="s">
        <v>2004</v>
      </c>
      <c r="C106" s="893">
        <v>3200</v>
      </c>
      <c r="D106" s="884" t="str">
        <f>'Revenues 9-14'!A141</f>
        <v>Total Career and Technical Education</v>
      </c>
      <c r="E106" s="879"/>
      <c r="F106" s="1762">
        <f>SUM('Revenues 9-14'!C141,'Revenues 9-14'!D141,'Revenues 9-14'!G141)</f>
        <v>0</v>
      </c>
      <c r="G106" s="885"/>
    </row>
    <row r="107" spans="1:7" x14ac:dyDescent="0.2">
      <c r="A107" s="894" t="s">
        <v>664</v>
      </c>
      <c r="B107" s="881" t="s">
        <v>2005</v>
      </c>
      <c r="C107" s="893">
        <v>3300</v>
      </c>
      <c r="D107" s="884" t="str">
        <f>'Revenues 9-14'!A145</f>
        <v>Total Bilingual Ed</v>
      </c>
      <c r="E107" s="879"/>
      <c r="F107" s="1762">
        <f>SUM('Revenues 9-14'!C145,'Revenues 9-14'!G145)</f>
        <v>0</v>
      </c>
      <c r="G107" s="885"/>
    </row>
    <row r="108" spans="1:7" x14ac:dyDescent="0.2">
      <c r="A108" s="881" t="s">
        <v>459</v>
      </c>
      <c r="B108" s="881" t="s">
        <v>2006</v>
      </c>
      <c r="C108" s="893">
        <f>'Revenues 9-14'!B146</f>
        <v>3360</v>
      </c>
      <c r="D108" s="884" t="str">
        <f>'Revenues 9-14'!A146</f>
        <v>State Free Lunch &amp; Breakfast</v>
      </c>
      <c r="E108" s="879"/>
      <c r="F108" s="1762">
        <f>'Revenues 9-14'!C146</f>
        <v>524</v>
      </c>
      <c r="G108" s="885"/>
    </row>
    <row r="109" spans="1:7" x14ac:dyDescent="0.2">
      <c r="A109" s="881" t="s">
        <v>673</v>
      </c>
      <c r="B109" s="881" t="s">
        <v>2007</v>
      </c>
      <c r="C109" s="893">
        <f>'Revenues 9-14'!B147</f>
        <v>3365</v>
      </c>
      <c r="D109" s="884" t="str">
        <f>'Revenues 9-14'!A147</f>
        <v>School Breakfast Initiative</v>
      </c>
      <c r="E109" s="879"/>
      <c r="F109" s="1762">
        <f>SUM('Revenues 9-14'!C147,'Revenues 9-14'!D147,'Revenues 9-14'!G147)</f>
        <v>0</v>
      </c>
      <c r="G109" s="885"/>
    </row>
    <row r="110" spans="1:7" x14ac:dyDescent="0.2">
      <c r="A110" s="881" t="s">
        <v>140</v>
      </c>
      <c r="B110" s="881" t="s">
        <v>2008</v>
      </c>
      <c r="C110" s="893">
        <f>'Revenues 9-14'!B148</f>
        <v>3370</v>
      </c>
      <c r="D110" s="884" t="str">
        <f>'Revenues 9-14'!A148</f>
        <v>Driver Education</v>
      </c>
      <c r="E110" s="879"/>
      <c r="F110" s="1762">
        <f>SUM('Revenues 9-14'!C148,'Revenues 9-14'!D148)</f>
        <v>0</v>
      </c>
      <c r="G110" s="885"/>
    </row>
    <row r="111" spans="1:7" x14ac:dyDescent="0.2">
      <c r="A111" s="881" t="s">
        <v>668</v>
      </c>
      <c r="B111" s="881" t="s">
        <v>2009</v>
      </c>
      <c r="C111" s="895">
        <v>3500</v>
      </c>
      <c r="D111" s="884" t="str">
        <f>'Revenues 9-14'!A155</f>
        <v>Total Transportation</v>
      </c>
      <c r="E111" s="879"/>
      <c r="F111" s="1762">
        <f>SUM('Revenues 9-14'!C155,'Revenues 9-14'!D155,'Revenues 9-14'!F155,'Revenues 9-14'!G155)</f>
        <v>162705</v>
      </c>
      <c r="G111" s="885"/>
    </row>
    <row r="112" spans="1:7" x14ac:dyDescent="0.2">
      <c r="A112" s="881" t="s">
        <v>459</v>
      </c>
      <c r="B112" s="881" t="s">
        <v>2010</v>
      </c>
      <c r="C112" s="893">
        <f>'Revenues 9-14'!B156</f>
        <v>3610</v>
      </c>
      <c r="D112" s="884" t="str">
        <f>'Revenues 9-14'!A156</f>
        <v>Learning Improvement - Change Grants</v>
      </c>
      <c r="E112" s="879"/>
      <c r="F112" s="1762">
        <f>'Revenues 9-14'!C156</f>
        <v>0</v>
      </c>
      <c r="G112" s="885"/>
    </row>
    <row r="113" spans="1:7" x14ac:dyDescent="0.2">
      <c r="A113" s="881" t="s">
        <v>668</v>
      </c>
      <c r="B113" s="881" t="s">
        <v>2011</v>
      </c>
      <c r="C113" s="893">
        <f>'Revenues 9-14'!B157</f>
        <v>3660</v>
      </c>
      <c r="D113" s="884" t="str">
        <f>'Revenues 9-14'!A157</f>
        <v>Scientific Literacy</v>
      </c>
      <c r="E113" s="879"/>
      <c r="F113" s="1762">
        <f>SUM('Revenues 9-14'!C157,'Revenues 9-14'!D157,'Revenues 9-14'!F157,'Revenues 9-14'!G157)</f>
        <v>0</v>
      </c>
      <c r="G113" s="885"/>
    </row>
    <row r="114" spans="1:7" x14ac:dyDescent="0.2">
      <c r="A114" s="881" t="s">
        <v>5</v>
      </c>
      <c r="B114" s="881" t="s">
        <v>2012</v>
      </c>
      <c r="C114" s="893">
        <f>'Revenues 9-14'!B158</f>
        <v>3695</v>
      </c>
      <c r="D114" s="884" t="str">
        <f>'Revenues 9-14'!A158</f>
        <v>Truant Alternative/Optional Education</v>
      </c>
      <c r="E114" s="879"/>
      <c r="F114" s="1762">
        <f>SUM('Revenues 9-14'!C158,'Revenues 9-14'!F158,'Revenues 9-14'!G158)</f>
        <v>0</v>
      </c>
      <c r="G114" s="885"/>
    </row>
    <row r="115" spans="1:7" x14ac:dyDescent="0.2">
      <c r="A115" s="881" t="s">
        <v>668</v>
      </c>
      <c r="B115" s="881" t="s">
        <v>2013</v>
      </c>
      <c r="C115" s="893">
        <f>'Revenues 9-14'!B160</f>
        <v>3766</v>
      </c>
      <c r="D115" s="884" t="str">
        <f>'Revenues 9-14'!A160</f>
        <v>Chicago General Education Block Grant</v>
      </c>
      <c r="E115" s="879"/>
      <c r="F115" s="1762">
        <f>SUM('Revenues 9-14'!C160,'Revenues 9-14'!D160,'Revenues 9-14'!F160,'Revenues 9-14'!G160)</f>
        <v>0</v>
      </c>
      <c r="G115" s="885"/>
    </row>
    <row r="116" spans="1:7" x14ac:dyDescent="0.2">
      <c r="A116" s="881" t="s">
        <v>668</v>
      </c>
      <c r="B116" s="881" t="s">
        <v>2014</v>
      </c>
      <c r="C116" s="893">
        <f>'Revenues 9-14'!B161</f>
        <v>3767</v>
      </c>
      <c r="D116" s="884" t="str">
        <f>'Revenues 9-14'!A161</f>
        <v>Chicago Educational Services Block Grant</v>
      </c>
      <c r="E116" s="879"/>
      <c r="F116" s="1762">
        <f>SUM('Revenues 9-14'!C161,'Revenues 9-14'!D161,'Revenues 9-14'!F161,'Revenues 9-14'!G161)</f>
        <v>0</v>
      </c>
      <c r="G116" s="885"/>
    </row>
    <row r="117" spans="1:7" x14ac:dyDescent="0.2">
      <c r="A117" s="896" t="s">
        <v>1009</v>
      </c>
      <c r="B117" s="896" t="s">
        <v>2015</v>
      </c>
      <c r="C117" s="897">
        <f>'Revenues 9-14'!B162</f>
        <v>3775</v>
      </c>
      <c r="D117" s="898" t="str">
        <f>'Revenues 9-14'!A162</f>
        <v>School Safety &amp; Educational Improvement Block Grant</v>
      </c>
      <c r="E117" s="879"/>
      <c r="F117" s="1880">
        <f>SUM('Revenues 9-14'!C162,'Revenues 9-14'!D162,'Revenues 9-14'!E162,'Revenues 9-14'!F162,'Revenues 9-14'!G162)</f>
        <v>0</v>
      </c>
      <c r="G117" s="885"/>
    </row>
    <row r="118" spans="1:7" x14ac:dyDescent="0.2">
      <c r="A118" s="896" t="s">
        <v>1009</v>
      </c>
      <c r="B118" s="896" t="s">
        <v>2016</v>
      </c>
      <c r="C118" s="897">
        <f>'Revenues 9-14'!B163</f>
        <v>3780</v>
      </c>
      <c r="D118" s="898" t="str">
        <f>'Revenues 9-14'!A163</f>
        <v>Technology - Technology for Success</v>
      </c>
      <c r="E118" s="879"/>
      <c r="F118" s="1880">
        <f>SUM('Revenues 9-14'!C163:G163)</f>
        <v>0</v>
      </c>
      <c r="G118" s="885"/>
    </row>
    <row r="119" spans="1:7" x14ac:dyDescent="0.2">
      <c r="A119" s="896" t="s">
        <v>504</v>
      </c>
      <c r="B119" s="896" t="s">
        <v>2017</v>
      </c>
      <c r="C119" s="897">
        <f>'Revenues 9-14'!B164</f>
        <v>3815</v>
      </c>
      <c r="D119" s="898" t="str">
        <f>'Revenues 9-14'!A164</f>
        <v>State Charter Schools</v>
      </c>
      <c r="E119" s="879"/>
      <c r="F119" s="1880">
        <f>SUM('Revenues 9-14'!C164,'Revenues 9-14'!F164)</f>
        <v>0</v>
      </c>
      <c r="G119" s="885"/>
    </row>
    <row r="120" spans="1:7" x14ac:dyDescent="0.2">
      <c r="A120" s="900" t="s">
        <v>460</v>
      </c>
      <c r="B120" s="900" t="s">
        <v>2018</v>
      </c>
      <c r="C120" s="901">
        <f>'Revenues 9-14'!B167</f>
        <v>3925</v>
      </c>
      <c r="D120" s="902" t="str">
        <f>'Revenues 9-14'!A167</f>
        <v>School Infrastructure - Maintenance Projects</v>
      </c>
      <c r="E120" s="879"/>
      <c r="F120" s="1762">
        <f>'Revenues 9-14'!D167</f>
        <v>0</v>
      </c>
      <c r="G120" s="903"/>
    </row>
    <row r="121" spans="1:7" x14ac:dyDescent="0.2">
      <c r="A121" s="900" t="s">
        <v>500</v>
      </c>
      <c r="B121" s="900" t="s">
        <v>2019</v>
      </c>
      <c r="C121" s="901">
        <f>'Revenues 9-14'!B168</f>
        <v>3999</v>
      </c>
      <c r="D121" s="902" t="s">
        <v>543</v>
      </c>
      <c r="E121" s="904"/>
      <c r="F121" s="1762">
        <f>SUM('Revenues 9-14'!C168:G168,'Revenues 9-14'!J168)</f>
        <v>0</v>
      </c>
      <c r="G121" s="903"/>
    </row>
    <row r="122" spans="1:7" x14ac:dyDescent="0.2">
      <c r="A122" s="900" t="s">
        <v>459</v>
      </c>
      <c r="B122" s="900" t="s">
        <v>2020</v>
      </c>
      <c r="C122" s="905">
        <f>'Revenues 9-14'!B177</f>
        <v>4045</v>
      </c>
      <c r="D122" s="902" t="str">
        <f>'Revenues 9-14'!A177 &amp; " (Subtract)"</f>
        <v>Head Start (Subtract)</v>
      </c>
      <c r="E122" s="879"/>
      <c r="F122" s="1762">
        <f>SUM(-'Revenues 9-14'!C177)</f>
        <v>0</v>
      </c>
      <c r="G122" s="903"/>
    </row>
    <row r="123" spans="1:7" x14ac:dyDescent="0.2">
      <c r="A123" s="900" t="s">
        <v>668</v>
      </c>
      <c r="B123" s="900" t="s">
        <v>2021</v>
      </c>
      <c r="C123" s="905" t="s">
        <v>982</v>
      </c>
      <c r="D123" s="902" t="str">
        <f>('Revenues 9-14'!A181)</f>
        <v>Total Restricted Grants-In-Aid Received Directly from Federal Govt</v>
      </c>
      <c r="E123" s="879"/>
      <c r="F123" s="1762">
        <f>SUM('Revenues 9-14'!C181,'Revenues 9-14'!D181,'Revenues 9-14'!F181,'Revenues 9-14'!G181)</f>
        <v>31457</v>
      </c>
      <c r="G123" s="903"/>
    </row>
    <row r="124" spans="1:7" x14ac:dyDescent="0.2">
      <c r="A124" s="900" t="s">
        <v>668</v>
      </c>
      <c r="B124" s="900" t="s">
        <v>2022</v>
      </c>
      <c r="C124" s="905">
        <v>4100</v>
      </c>
      <c r="D124" s="906" t="str">
        <f>'Revenues 9-14'!A188</f>
        <v>Total Title V</v>
      </c>
      <c r="E124" s="879"/>
      <c r="F124" s="1762">
        <f>SUM('Revenues 9-14'!C188,'Revenues 9-14'!D188,'Revenues 9-14'!F188,'Revenues 9-14'!G188)</f>
        <v>0</v>
      </c>
      <c r="G124" s="903"/>
    </row>
    <row r="125" spans="1:7" x14ac:dyDescent="0.2">
      <c r="A125" s="900" t="s">
        <v>664</v>
      </c>
      <c r="B125" s="900" t="s">
        <v>2023</v>
      </c>
      <c r="C125" s="905">
        <v>4200</v>
      </c>
      <c r="D125" s="902" t="str">
        <f>'Revenues 9-14'!A198</f>
        <v>Total Food Service</v>
      </c>
      <c r="E125" s="879"/>
      <c r="F125" s="1762">
        <f>SUM('Revenues 9-14'!C198,'Revenues 9-14'!G198)</f>
        <v>35133</v>
      </c>
      <c r="G125" s="903"/>
    </row>
    <row r="126" spans="1:7" x14ac:dyDescent="0.2">
      <c r="A126" s="900" t="s">
        <v>668</v>
      </c>
      <c r="B126" s="900" t="s">
        <v>2024</v>
      </c>
      <c r="C126" s="905">
        <v>4300</v>
      </c>
      <c r="D126" s="906" t="str">
        <f>'Revenues 9-14'!A204</f>
        <v>Total Title I</v>
      </c>
      <c r="E126" s="879"/>
      <c r="F126" s="1762">
        <f>SUM('Revenues 9-14'!C204,'Revenues 9-14'!D204,'Revenues 9-14'!F204,'Revenues 9-14'!G204)</f>
        <v>57940</v>
      </c>
      <c r="G126" s="903"/>
    </row>
    <row r="127" spans="1:7" x14ac:dyDescent="0.2">
      <c r="A127" s="900" t="s">
        <v>668</v>
      </c>
      <c r="B127" s="900" t="s">
        <v>2025</v>
      </c>
      <c r="C127" s="905">
        <v>4400</v>
      </c>
      <c r="D127" s="906" t="str">
        <f>'Revenues 9-14'!A209</f>
        <v>Total Title IV</v>
      </c>
      <c r="E127" s="879"/>
      <c r="F127" s="1762">
        <f>SUM('Revenues 9-14'!C209,'Revenues 9-14'!D209,'Revenues 9-14'!F209,'Revenues 9-14'!G209)</f>
        <v>10000</v>
      </c>
      <c r="G127" s="903"/>
    </row>
    <row r="128" spans="1:7" x14ac:dyDescent="0.2">
      <c r="A128" s="900" t="s">
        <v>668</v>
      </c>
      <c r="B128" s="900" t="s">
        <v>2026</v>
      </c>
      <c r="C128" s="905">
        <f>'Revenues 9-14'!B213</f>
        <v>4620</v>
      </c>
      <c r="D128" s="906" t="str">
        <f>'Revenues 9-14'!A213</f>
        <v>Fed - Spec Education - IDEA - Flow Through</v>
      </c>
      <c r="E128" s="879"/>
      <c r="F128" s="1762">
        <f>SUM('Revenues 9-14'!C213:D213,'Revenues 9-14'!F213:G213)</f>
        <v>54262</v>
      </c>
      <c r="G128" s="903"/>
    </row>
    <row r="129" spans="1:7" x14ac:dyDescent="0.2">
      <c r="A129" s="900" t="s">
        <v>668</v>
      </c>
      <c r="B129" s="900" t="s">
        <v>2027</v>
      </c>
      <c r="C129" s="905">
        <f>'Revenues 9-14'!B214</f>
        <v>4625</v>
      </c>
      <c r="D129" s="906" t="str">
        <f>'Revenues 9-14'!A214</f>
        <v>Fed - Spec Education - IDEA - Room &amp; Board</v>
      </c>
      <c r="E129" s="879"/>
      <c r="F129" s="1762">
        <f>SUM('Revenues 9-14'!C214,'Revenues 9-14'!D214,'Revenues 9-14'!F214,'Revenues 9-14'!G214)</f>
        <v>0</v>
      </c>
      <c r="G129" s="903"/>
    </row>
    <row r="130" spans="1:7" x14ac:dyDescent="0.2">
      <c r="A130" s="900" t="s">
        <v>668</v>
      </c>
      <c r="B130" s="900" t="s">
        <v>2028</v>
      </c>
      <c r="C130" s="905">
        <f>'Revenues 9-14'!B215</f>
        <v>4630</v>
      </c>
      <c r="D130" s="906" t="str">
        <f>'Revenues 9-14'!A215</f>
        <v>Fed - Spec Education - IDEA - Discretionary</v>
      </c>
      <c r="E130" s="879"/>
      <c r="F130" s="1762">
        <f>SUM('Revenues 9-14'!C215:D215,'Revenues 9-14'!F215:G215)</f>
        <v>0</v>
      </c>
      <c r="G130" s="903">
        <v>6297</v>
      </c>
    </row>
    <row r="131" spans="1:7" x14ac:dyDescent="0.2">
      <c r="A131" s="900" t="s">
        <v>668</v>
      </c>
      <c r="B131" s="900" t="s">
        <v>776</v>
      </c>
      <c r="C131" s="905">
        <f>'Revenues 9-14'!B216</f>
        <v>4699</v>
      </c>
      <c r="D131" s="906" t="str">
        <f>'Revenues 9-14'!A216</f>
        <v>Fed - Spec Education - IDEA - Other (Describe &amp; Itemize)</v>
      </c>
      <c r="E131" s="879"/>
      <c r="F131" s="1762">
        <f>SUM('Revenues 9-14'!C216:D216,'Revenues 9-14'!F216:G216)</f>
        <v>0</v>
      </c>
      <c r="G131" s="903"/>
    </row>
    <row r="132" spans="1:7" x14ac:dyDescent="0.2">
      <c r="A132" s="900" t="s">
        <v>673</v>
      </c>
      <c r="B132" s="900" t="s">
        <v>2029</v>
      </c>
      <c r="C132" s="905">
        <v>4700</v>
      </c>
      <c r="D132" s="902" t="str">
        <f>'Revenues 9-14'!A221</f>
        <v>Total CTE - Perkins</v>
      </c>
      <c r="E132" s="879"/>
      <c r="F132" s="1762">
        <f>SUM('Revenues 9-14'!C221,'Revenues 9-14'!D221,'Revenues 9-14'!G221)</f>
        <v>0</v>
      </c>
      <c r="G132" s="903">
        <v>6303</v>
      </c>
    </row>
    <row r="133" spans="1:7" s="840" customFormat="1" hidden="1" x14ac:dyDescent="0.2">
      <c r="A133" s="907" t="s">
        <v>206</v>
      </c>
      <c r="B133" s="907" t="s">
        <v>2030</v>
      </c>
      <c r="C133" s="908" t="s">
        <v>207</v>
      </c>
      <c r="D133" s="909" t="str">
        <f>'Revenues 9-14'!A224</f>
        <v>ARRA - Title I - Low Income</v>
      </c>
      <c r="E133" s="910"/>
      <c r="F133" s="1880">
        <f>SUM('Revenues 9-14'!$C$224:$D$224,'Revenues 9-14'!$F$224:$G$224)</f>
        <v>0</v>
      </c>
      <c r="G133" s="878"/>
    </row>
    <row r="134" spans="1:7" s="840" customFormat="1" hidden="1" x14ac:dyDescent="0.2">
      <c r="A134" s="907" t="s">
        <v>206</v>
      </c>
      <c r="B134" s="907" t="s">
        <v>2031</v>
      </c>
      <c r="C134" s="908" t="s">
        <v>208</v>
      </c>
      <c r="D134" s="909" t="str">
        <f>'Revenues 9-14'!A225</f>
        <v>ARRA - Title I - Neglected, Private</v>
      </c>
      <c r="E134" s="910"/>
      <c r="F134" s="1762">
        <f>SUM('Revenues 9-14'!C225:G225,'Revenues 9-14'!J225)</f>
        <v>0</v>
      </c>
      <c r="G134" s="878"/>
    </row>
    <row r="135" spans="1:7" s="840" customFormat="1" hidden="1" x14ac:dyDescent="0.2">
      <c r="A135" s="907" t="s">
        <v>206</v>
      </c>
      <c r="B135" s="907" t="s">
        <v>2032</v>
      </c>
      <c r="C135" s="908" t="s">
        <v>209</v>
      </c>
      <c r="D135" s="909" t="str">
        <f>'Revenues 9-14'!A226</f>
        <v>ARRA - Title I - Delinquent, Private</v>
      </c>
      <c r="E135" s="910"/>
      <c r="F135" s="1762">
        <f>SUM('Revenues 9-14'!C226:G226,'Revenues 9-14'!J226)</f>
        <v>0</v>
      </c>
      <c r="G135" s="878"/>
    </row>
    <row r="136" spans="1:7" s="840" customFormat="1" hidden="1" x14ac:dyDescent="0.2">
      <c r="A136" s="907" t="s">
        <v>206</v>
      </c>
      <c r="B136" s="907" t="s">
        <v>2033</v>
      </c>
      <c r="C136" s="908" t="s">
        <v>210</v>
      </c>
      <c r="D136" s="909" t="str">
        <f>'Revenues 9-14'!A227</f>
        <v>ARRA - Title I - School Improvement (Part A)</v>
      </c>
      <c r="E136" s="910"/>
      <c r="F136" s="1762">
        <f>SUM('Revenues 9-14'!C227:G227,'Revenues 9-14'!J227)</f>
        <v>0</v>
      </c>
      <c r="G136" s="878"/>
    </row>
    <row r="137" spans="1:7" s="840" customFormat="1" hidden="1" x14ac:dyDescent="0.2">
      <c r="A137" s="907" t="s">
        <v>206</v>
      </c>
      <c r="B137" s="907" t="s">
        <v>2034</v>
      </c>
      <c r="C137" s="908" t="s">
        <v>211</v>
      </c>
      <c r="D137" s="909" t="str">
        <f>'Revenues 9-14'!A228</f>
        <v>ARRA - Title I - School Improvement (Section 1003g)</v>
      </c>
      <c r="E137" s="910"/>
      <c r="F137" s="1762">
        <f>SUM('Revenues 9-14'!C228:G228,'Revenues 9-14'!J228)</f>
        <v>0</v>
      </c>
      <c r="G137" s="878"/>
    </row>
    <row r="138" spans="1:7" s="840" customFormat="1" hidden="1" x14ac:dyDescent="0.2">
      <c r="A138" s="907" t="s">
        <v>206</v>
      </c>
      <c r="B138" s="907" t="s">
        <v>2035</v>
      </c>
      <c r="C138" s="908" t="s">
        <v>212</v>
      </c>
      <c r="D138" s="909" t="str">
        <f>'Revenues 9-14'!A229</f>
        <v>ARRA - IDEA - Part B - Preschool</v>
      </c>
      <c r="E138" s="910"/>
      <c r="F138" s="1762">
        <v>0</v>
      </c>
      <c r="G138" s="878"/>
    </row>
    <row r="139" spans="1:7" s="840" customFormat="1" hidden="1" x14ac:dyDescent="0.2">
      <c r="A139" s="907" t="s">
        <v>206</v>
      </c>
      <c r="B139" s="907" t="s">
        <v>2036</v>
      </c>
      <c r="C139" s="908" t="s">
        <v>213</v>
      </c>
      <c r="D139" s="909" t="str">
        <f>'Revenues 9-14'!A230</f>
        <v>ARRA - IDEA - Part B - Flow-Through</v>
      </c>
      <c r="E139" s="910"/>
      <c r="F139" s="1762">
        <f>SUM('Revenues 9-14'!C230:G230,'Revenues 9-14'!J230)</f>
        <v>0</v>
      </c>
      <c r="G139" s="878"/>
    </row>
    <row r="140" spans="1:7" s="840" customFormat="1" hidden="1" x14ac:dyDescent="0.2">
      <c r="A140" s="907" t="s">
        <v>206</v>
      </c>
      <c r="B140" s="907" t="s">
        <v>2037</v>
      </c>
      <c r="C140" s="908" t="s">
        <v>214</v>
      </c>
      <c r="D140" s="909" t="str">
        <f>'Revenues 9-14'!A231</f>
        <v>ARRA - Title IID - Technology-Formula</v>
      </c>
      <c r="E140" s="910"/>
      <c r="F140" s="1762">
        <f>SUM('Revenues 9-14'!C231:G231,'Revenues 9-14'!J231)</f>
        <v>0</v>
      </c>
      <c r="G140" s="878"/>
    </row>
    <row r="141" spans="1:7" s="840" customFormat="1" hidden="1" x14ac:dyDescent="0.2">
      <c r="A141" s="907" t="s">
        <v>206</v>
      </c>
      <c r="B141" s="907" t="s">
        <v>2038</v>
      </c>
      <c r="C141" s="908" t="s">
        <v>216</v>
      </c>
      <c r="D141" s="909" t="str">
        <f>'Revenues 9-14'!A232</f>
        <v>ARRA - Title IID - Technology-Competitive</v>
      </c>
      <c r="E141" s="910"/>
      <c r="F141" s="1762">
        <f>SUM('Revenues 9-14'!C232:G232,'Revenues 9-14'!J232)</f>
        <v>0</v>
      </c>
      <c r="G141" s="878"/>
    </row>
    <row r="142" spans="1:7" s="840" customFormat="1" hidden="1" x14ac:dyDescent="0.2">
      <c r="A142" s="907" t="s">
        <v>668</v>
      </c>
      <c r="B142" s="907" t="s">
        <v>2039</v>
      </c>
      <c r="C142" s="908" t="s">
        <v>217</v>
      </c>
      <c r="D142" s="909" t="str">
        <f>'Revenues 9-14'!A233</f>
        <v>ARRA - McKinney - Vento Homeless Education</v>
      </c>
      <c r="E142" s="910"/>
      <c r="F142" s="1762">
        <f>SUM('Revenues 9-14'!C233:G233,'Revenues 9-14'!J233)</f>
        <v>0</v>
      </c>
      <c r="G142" s="878"/>
    </row>
    <row r="143" spans="1:7" s="840" customFormat="1" hidden="1" x14ac:dyDescent="0.2">
      <c r="A143" s="907" t="s">
        <v>206</v>
      </c>
      <c r="B143" s="907" t="s">
        <v>215</v>
      </c>
      <c r="C143" s="908" t="s">
        <v>218</v>
      </c>
      <c r="D143" s="909" t="str">
        <f>'Revenues 9-14'!A237</f>
        <v>Qualified Zone Academy Bond Tax Credits</v>
      </c>
      <c r="E143" s="910"/>
      <c r="F143" s="1762">
        <f>SUM('Revenues 9-14'!C237:G237,'Revenues 9-14'!J237)</f>
        <v>0</v>
      </c>
      <c r="G143" s="878"/>
    </row>
    <row r="144" spans="1:7" s="840" customFormat="1" hidden="1" x14ac:dyDescent="0.2">
      <c r="A144" s="907" t="s">
        <v>206</v>
      </c>
      <c r="B144" s="907" t="s">
        <v>809</v>
      </c>
      <c r="C144" s="908" t="s">
        <v>219</v>
      </c>
      <c r="D144" s="909" t="str">
        <f>'Revenues 9-14'!A238</f>
        <v>Qualified School Construction Bond Credits</v>
      </c>
      <c r="E144" s="910"/>
      <c r="F144" s="1762">
        <f>SUM('Revenues 9-14'!C238:G238,'Revenues 9-14'!J238)</f>
        <v>0</v>
      </c>
      <c r="G144" s="878"/>
    </row>
    <row r="145" spans="1:7" s="840" customFormat="1" hidden="1" x14ac:dyDescent="0.2">
      <c r="A145" s="907" t="s">
        <v>206</v>
      </c>
      <c r="B145" s="907" t="s">
        <v>1416</v>
      </c>
      <c r="C145" s="908" t="s">
        <v>221</v>
      </c>
      <c r="D145" s="909" t="str">
        <f>'Revenues 9-14'!A239</f>
        <v>Build America Bond Tax Credits</v>
      </c>
      <c r="E145" s="910"/>
      <c r="F145" s="1762">
        <f>SUM('Revenues 9-14'!C239:G239,'Revenues 9-14'!J239)</f>
        <v>0</v>
      </c>
      <c r="G145" s="878"/>
    </row>
    <row r="146" spans="1:7" s="840" customFormat="1" hidden="1" x14ac:dyDescent="0.2">
      <c r="A146" s="907" t="s">
        <v>206</v>
      </c>
      <c r="B146" s="907" t="s">
        <v>2040</v>
      </c>
      <c r="C146" s="908" t="s">
        <v>223</v>
      </c>
      <c r="D146" s="909" t="str">
        <f>'Revenues 9-14'!A240</f>
        <v>Build America Bond Interest Reimbursement</v>
      </c>
      <c r="E146" s="910"/>
      <c r="F146" s="1762">
        <f>SUM('Revenues 9-14'!C240:G240,'Revenues 9-14'!J240)</f>
        <v>0</v>
      </c>
      <c r="G146" s="878"/>
    </row>
    <row r="147" spans="1:7" s="840" customFormat="1" hidden="1" x14ac:dyDescent="0.2">
      <c r="A147" s="907" t="s">
        <v>206</v>
      </c>
      <c r="B147" s="907" t="s">
        <v>2041</v>
      </c>
      <c r="C147" s="908" t="s">
        <v>225</v>
      </c>
      <c r="D147" s="909" t="str">
        <f>'Revenues 9-14'!A242</f>
        <v>Other ARRA Funds - II</v>
      </c>
      <c r="E147" s="910"/>
      <c r="F147" s="1762">
        <f>SUM('Revenues 9-14'!C242:G242,'Revenues 9-14'!J242)</f>
        <v>0</v>
      </c>
      <c r="G147" s="878"/>
    </row>
    <row r="148" spans="1:7" s="840" customFormat="1" hidden="1" x14ac:dyDescent="0.2">
      <c r="A148" s="907" t="s">
        <v>206</v>
      </c>
      <c r="B148" s="907" t="s">
        <v>2042</v>
      </c>
      <c r="C148" s="908" t="s">
        <v>226</v>
      </c>
      <c r="D148" s="909" t="str">
        <f>'Revenues 9-14'!A243</f>
        <v>Other ARRA Funds - III</v>
      </c>
      <c r="E148" s="910"/>
      <c r="F148" s="1762">
        <f>SUM('Revenues 9-14'!C243:G243,'Revenues 9-14'!J243)</f>
        <v>0</v>
      </c>
      <c r="G148" s="878"/>
    </row>
    <row r="149" spans="1:7" s="840" customFormat="1" hidden="1" x14ac:dyDescent="0.2">
      <c r="A149" s="907" t="s">
        <v>206</v>
      </c>
      <c r="B149" s="907" t="s">
        <v>220</v>
      </c>
      <c r="C149" s="908" t="s">
        <v>228</v>
      </c>
      <c r="D149" s="909" t="str">
        <f>'Revenues 9-14'!A244</f>
        <v>Other ARRA Funds - IV</v>
      </c>
      <c r="E149" s="910"/>
      <c r="F149" s="1762">
        <f>SUM('Revenues 9-14'!C244:G244,'Revenues 9-14'!J244)</f>
        <v>0</v>
      </c>
      <c r="G149" s="878"/>
    </row>
    <row r="150" spans="1:7" s="840" customFormat="1" hidden="1" x14ac:dyDescent="0.2">
      <c r="A150" s="907" t="s">
        <v>206</v>
      </c>
      <c r="B150" s="907" t="s">
        <v>222</v>
      </c>
      <c r="C150" s="908" t="s">
        <v>230</v>
      </c>
      <c r="D150" s="909" t="str">
        <f>'Revenues 9-14'!A245</f>
        <v>Other ARRA Funds - V</v>
      </c>
      <c r="E150" s="910"/>
      <c r="F150" s="1762">
        <f>SUM('Revenues 9-14'!C245:G245,'Revenues 9-14'!J245)</f>
        <v>0</v>
      </c>
      <c r="G150" s="878"/>
    </row>
    <row r="151" spans="1:7" s="840" customFormat="1" hidden="1" x14ac:dyDescent="0.2">
      <c r="A151" s="907" t="s">
        <v>206</v>
      </c>
      <c r="B151" s="907" t="s">
        <v>224</v>
      </c>
      <c r="C151" s="908" t="s">
        <v>232</v>
      </c>
      <c r="D151" s="909" t="str">
        <f>'Revenues 9-14'!A246</f>
        <v>ARRA - Early Childhood</v>
      </c>
      <c r="E151" s="910"/>
      <c r="F151" s="1762">
        <v>0</v>
      </c>
      <c r="G151" s="878"/>
    </row>
    <row r="152" spans="1:7" s="840" customFormat="1" hidden="1" x14ac:dyDescent="0.2">
      <c r="A152" s="907" t="s">
        <v>206</v>
      </c>
      <c r="B152" s="907" t="s">
        <v>1417</v>
      </c>
      <c r="C152" s="908" t="s">
        <v>233</v>
      </c>
      <c r="D152" s="909" t="str">
        <f>'Revenues 9-14'!A247</f>
        <v>Other ARRA Funds VII</v>
      </c>
      <c r="E152" s="910"/>
      <c r="F152" s="1762">
        <f>SUM('Revenues 9-14'!C247:G247,'Revenues 9-14'!J247)</f>
        <v>0</v>
      </c>
      <c r="G152" s="878"/>
    </row>
    <row r="153" spans="1:7" s="840" customFormat="1" hidden="1" x14ac:dyDescent="0.2">
      <c r="A153" s="907" t="s">
        <v>206</v>
      </c>
      <c r="B153" s="907" t="s">
        <v>2043</v>
      </c>
      <c r="C153" s="908" t="s">
        <v>234</v>
      </c>
      <c r="D153" s="909" t="str">
        <f>'Revenues 9-14'!A248</f>
        <v>Other ARRA Funds VIII</v>
      </c>
      <c r="E153" s="910"/>
      <c r="F153" s="1762">
        <f>SUM('Revenues 9-14'!C248:G248,'Revenues 9-14'!J248)</f>
        <v>0</v>
      </c>
      <c r="G153" s="878"/>
    </row>
    <row r="154" spans="1:7" s="840" customFormat="1" hidden="1" x14ac:dyDescent="0.2">
      <c r="A154" s="907" t="s">
        <v>206</v>
      </c>
      <c r="B154" s="907" t="s">
        <v>227</v>
      </c>
      <c r="C154" s="908" t="s">
        <v>235</v>
      </c>
      <c r="D154" s="909" t="str">
        <f>'Revenues 9-14'!A249</f>
        <v>Other ARRA Funds IX</v>
      </c>
      <c r="E154" s="910"/>
      <c r="F154" s="1762">
        <f>SUM('Revenues 9-14'!C249:G249,'Revenues 9-14'!J249)</f>
        <v>0</v>
      </c>
      <c r="G154" s="878"/>
    </row>
    <row r="155" spans="1:7" s="840" customFormat="1" hidden="1" x14ac:dyDescent="0.2">
      <c r="A155" s="907" t="s">
        <v>206</v>
      </c>
      <c r="B155" s="907" t="s">
        <v>229</v>
      </c>
      <c r="C155" s="908" t="s">
        <v>236</v>
      </c>
      <c r="D155" s="909" t="str">
        <f>'Revenues 9-14'!A250</f>
        <v>Other ARRA Funds X</v>
      </c>
      <c r="E155" s="910"/>
      <c r="F155" s="1762">
        <f>SUM('Revenues 9-14'!C250:G250,'Revenues 9-14'!J250)</f>
        <v>0</v>
      </c>
      <c r="G155" s="878"/>
    </row>
    <row r="156" spans="1:7" s="840" customFormat="1" hidden="1" x14ac:dyDescent="0.2">
      <c r="A156" s="907" t="s">
        <v>206</v>
      </c>
      <c r="B156" s="907" t="s">
        <v>231</v>
      </c>
      <c r="C156" s="908" t="s">
        <v>237</v>
      </c>
      <c r="D156" s="909" t="str">
        <f>'Revenues 9-14'!A251</f>
        <v>Other ARRA Funds Ed Job Fund Program</v>
      </c>
      <c r="E156" s="910"/>
      <c r="F156" s="1762">
        <f>SUM('Revenues 9-14'!C251:G251,'Revenues 9-14'!J251)</f>
        <v>0</v>
      </c>
      <c r="G156" s="878"/>
    </row>
    <row r="157" spans="1:7" s="840" customFormat="1" x14ac:dyDescent="0.2">
      <c r="A157" s="911" t="s">
        <v>500</v>
      </c>
      <c r="B157" s="912" t="s">
        <v>2044</v>
      </c>
      <c r="C157" s="913" t="s">
        <v>841</v>
      </c>
      <c r="D157" s="914" t="s">
        <v>777</v>
      </c>
      <c r="E157" s="915"/>
      <c r="F157" s="1762">
        <f>SUM(F133:F156)</f>
        <v>0</v>
      </c>
      <c r="G157" s="878"/>
    </row>
    <row r="158" spans="1:7" s="840" customFormat="1" x14ac:dyDescent="0.2">
      <c r="A158" s="911" t="s">
        <v>459</v>
      </c>
      <c r="B158" s="912" t="s">
        <v>2045</v>
      </c>
      <c r="C158" s="913" t="s">
        <v>1427</v>
      </c>
      <c r="D158" s="914" t="s">
        <v>1428</v>
      </c>
      <c r="E158" s="915"/>
      <c r="F158" s="1762">
        <f>SUM('Revenues 9-14'!C253)</f>
        <v>0</v>
      </c>
      <c r="G158" s="878"/>
    </row>
    <row r="159" spans="1:7" s="840" customFormat="1" x14ac:dyDescent="0.2">
      <c r="A159" s="911" t="s">
        <v>500</v>
      </c>
      <c r="B159" s="912" t="s">
        <v>2046</v>
      </c>
      <c r="C159" s="913" t="s">
        <v>1466</v>
      </c>
      <c r="D159" s="914" t="s">
        <v>1467</v>
      </c>
      <c r="E159" s="915"/>
      <c r="F159" s="1762">
        <f>SUM('Revenues 9-14'!C254:H254,'Revenues 9-14'!J254:K254)</f>
        <v>0</v>
      </c>
      <c r="G159" s="878"/>
    </row>
    <row r="160" spans="1:7" x14ac:dyDescent="0.2">
      <c r="A160" s="900" t="s">
        <v>5</v>
      </c>
      <c r="B160" s="900" t="s">
        <v>2047</v>
      </c>
      <c r="C160" s="905">
        <f>'Revenues 9-14'!B255</f>
        <v>4905</v>
      </c>
      <c r="D160" s="902" t="str">
        <f>'Revenues 9-14'!A255</f>
        <v>Title III - Immigrant Education Program (IEP)</v>
      </c>
      <c r="E160" s="879"/>
      <c r="F160" s="1762">
        <f>SUM('Revenues 9-14'!C255,'Revenues 9-14'!F255,'Revenues 9-14'!G255)</f>
        <v>0</v>
      </c>
      <c r="G160" s="916">
        <v>6306</v>
      </c>
    </row>
    <row r="161" spans="1:7" x14ac:dyDescent="0.2">
      <c r="A161" s="900" t="s">
        <v>5</v>
      </c>
      <c r="B161" s="900" t="s">
        <v>2048</v>
      </c>
      <c r="C161" s="905">
        <f>'Revenues 9-14'!B256</f>
        <v>4909</v>
      </c>
      <c r="D161" s="902" t="str">
        <f>'Revenues 9-14'!A256</f>
        <v>Title III - Language Inst Program - Limited Eng (LIPLEP)</v>
      </c>
      <c r="E161" s="879"/>
      <c r="F161" s="1762">
        <f>SUM('Revenues 9-14'!C256,'Revenues 9-14'!F256,'Revenues 9-14'!G256)</f>
        <v>0</v>
      </c>
      <c r="G161" s="916"/>
    </row>
    <row r="162" spans="1:7" x14ac:dyDescent="0.2">
      <c r="A162" s="900" t="s">
        <v>668</v>
      </c>
      <c r="B162" s="900" t="s">
        <v>2049</v>
      </c>
      <c r="C162" s="905">
        <f>'Revenues 9-14'!B257</f>
        <v>4920</v>
      </c>
      <c r="D162" s="902" t="str">
        <f>'Revenues 9-14'!A257</f>
        <v>McKinney Education for Homeless Children</v>
      </c>
      <c r="E162" s="879"/>
      <c r="F162" s="1762">
        <f>SUM('Revenues 9-14'!C257,'Revenues 9-14'!D257,'Revenues 9-14'!F257,'Revenues 9-14'!G257)</f>
        <v>0</v>
      </c>
      <c r="G162" s="903"/>
    </row>
    <row r="163" spans="1:7" x14ac:dyDescent="0.2">
      <c r="A163" s="917" t="s">
        <v>668</v>
      </c>
      <c r="B163" s="917" t="s">
        <v>2050</v>
      </c>
      <c r="C163" s="918">
        <f>'Revenues 9-14'!B258</f>
        <v>4930</v>
      </c>
      <c r="D163" s="919" t="str">
        <f>'Revenues 9-14'!A258</f>
        <v>Title II - Eisenhower Professional Development Formula</v>
      </c>
      <c r="E163" s="899"/>
      <c r="F163" s="1880">
        <f>SUM('Revenues 9-14'!C258:D258,'Revenues 9-14'!F258,'Revenues 9-14'!G258)</f>
        <v>0</v>
      </c>
      <c r="G163" s="903"/>
    </row>
    <row r="164" spans="1:7" x14ac:dyDescent="0.2">
      <c r="A164" s="900" t="s">
        <v>668</v>
      </c>
      <c r="B164" s="900" t="s">
        <v>2051</v>
      </c>
      <c r="C164" s="905">
        <f>'Revenues 9-14'!B259</f>
        <v>4932</v>
      </c>
      <c r="D164" s="906" t="str">
        <f>'Revenues 9-14'!A259</f>
        <v>Title II - Teacher Quality</v>
      </c>
      <c r="E164" s="879"/>
      <c r="F164" s="1880">
        <f>SUM('Revenues 9-14'!C259,'Revenues 9-14'!D259,'Revenues 9-14'!F259,'Revenues 9-14'!G259)</f>
        <v>9430</v>
      </c>
      <c r="G164" s="903"/>
    </row>
    <row r="165" spans="1:7" x14ac:dyDescent="0.2">
      <c r="A165" s="900" t="s">
        <v>668</v>
      </c>
      <c r="B165" s="900" t="s">
        <v>2052</v>
      </c>
      <c r="C165" s="905">
        <f>'Revenues 9-14'!B260</f>
        <v>4960</v>
      </c>
      <c r="D165" s="902" t="str">
        <f>'Revenues 9-14'!A260</f>
        <v>Federal Charter Schools</v>
      </c>
      <c r="E165" s="879"/>
      <c r="F165" s="1762">
        <f>SUM('Revenues 9-14'!C260:D260,'Revenues 9-14'!F260:G260)</f>
        <v>0</v>
      </c>
      <c r="G165" s="903"/>
    </row>
    <row r="166" spans="1:7" x14ac:dyDescent="0.2">
      <c r="A166" s="900" t="s">
        <v>668</v>
      </c>
      <c r="B166" s="900" t="s">
        <v>1997</v>
      </c>
      <c r="C166" s="905">
        <f>'Revenues 9-14'!B261</f>
        <v>4981</v>
      </c>
      <c r="D166" s="902" t="str">
        <f>'Revenues 9-14'!A261</f>
        <v>State Assessment Grants</v>
      </c>
      <c r="E166" s="879"/>
      <c r="F166" s="1762">
        <f>SUM('Revenues 9-14'!C261:D261,'Revenues 9-14'!F261:G261)</f>
        <v>0</v>
      </c>
      <c r="G166" s="903"/>
    </row>
    <row r="167" spans="1:7" x14ac:dyDescent="0.2">
      <c r="A167" s="900" t="s">
        <v>668</v>
      </c>
      <c r="B167" s="900" t="s">
        <v>1998</v>
      </c>
      <c r="C167" s="905">
        <f>'Revenues 9-14'!B262</f>
        <v>4982</v>
      </c>
      <c r="D167" s="902" t="str">
        <f>'Revenues 9-14'!A262</f>
        <v>Grant for State Assessments and Related Activities</v>
      </c>
      <c r="E167" s="879"/>
      <c r="F167" s="1762">
        <f>SUM('Revenues 9-14'!C262:D262,'Revenues 9-14'!F262:G262)</f>
        <v>0</v>
      </c>
      <c r="G167" s="903"/>
    </row>
    <row r="168" spans="1:7" x14ac:dyDescent="0.2">
      <c r="A168" s="900" t="s">
        <v>668</v>
      </c>
      <c r="B168" s="900" t="s">
        <v>2053</v>
      </c>
      <c r="C168" s="905">
        <f>'Revenues 9-14'!B263</f>
        <v>4991</v>
      </c>
      <c r="D168" s="906" t="str">
        <f>'Revenues 9-14'!A263</f>
        <v>Medicaid Matching Funds - Administrative Outreach</v>
      </c>
      <c r="E168" s="879"/>
      <c r="F168" s="1762">
        <f>SUM('Revenues 9-14'!C263:D263,'Revenues 9-14'!F263:G263)</f>
        <v>4993</v>
      </c>
      <c r="G168" s="920">
        <v>6320</v>
      </c>
    </row>
    <row r="169" spans="1:7" x14ac:dyDescent="0.2">
      <c r="A169" s="900" t="s">
        <v>668</v>
      </c>
      <c r="B169" s="900" t="s">
        <v>2054</v>
      </c>
      <c r="C169" s="905">
        <f>'Revenues 9-14'!B264</f>
        <v>4992</v>
      </c>
      <c r="D169" s="906" t="str">
        <f>'Revenues 9-14'!A264</f>
        <v>Medicaid Matching Funds - Fee-for-Service Program</v>
      </c>
      <c r="E169" s="879"/>
      <c r="F169" s="1762">
        <f>SUM('Revenues 9-14'!C264:D264,'Revenues 9-14'!F264:G264)</f>
        <v>9694</v>
      </c>
      <c r="G169" s="920"/>
    </row>
    <row r="170" spans="1:7" x14ac:dyDescent="0.2">
      <c r="A170" s="921" t="s">
        <v>668</v>
      </c>
      <c r="B170" s="917" t="s">
        <v>2055</v>
      </c>
      <c r="C170" s="918">
        <f>'Revenues 9-14'!B265</f>
        <v>4999</v>
      </c>
      <c r="D170" s="919" t="str">
        <f>'Revenues 9-14'!A265</f>
        <v>Other Restricted Revenue from Federal Sources (Describe &amp; Itemize)</v>
      </c>
      <c r="E170" s="879"/>
      <c r="F170" s="1762">
        <f>SUM('Revenues 9-14'!C265:D265,'Revenues 9-14'!F265:G265)</f>
        <v>0</v>
      </c>
      <c r="G170" s="900"/>
    </row>
    <row r="171" spans="1:7" x14ac:dyDescent="0.2">
      <c r="A171" s="1891" t="s">
        <v>5</v>
      </c>
      <c r="B171" s="1892" t="s">
        <v>1920</v>
      </c>
      <c r="C171" s="1893">
        <v>3100</v>
      </c>
      <c r="D171" s="1894" t="s">
        <v>1922</v>
      </c>
      <c r="E171" s="879"/>
      <c r="F171" s="1879">
        <v>76944.259999999995</v>
      </c>
      <c r="G171" s="900"/>
    </row>
    <row r="172" spans="1:7" x14ac:dyDescent="0.2">
      <c r="A172" s="1891" t="s">
        <v>664</v>
      </c>
      <c r="B172" s="1892" t="s">
        <v>1920</v>
      </c>
      <c r="C172" s="1893">
        <v>3300</v>
      </c>
      <c r="D172" s="1894" t="s">
        <v>1923</v>
      </c>
      <c r="E172" s="879"/>
      <c r="F172" s="1879">
        <v>10.119999999999999</v>
      </c>
      <c r="G172" s="900"/>
    </row>
    <row r="173" spans="1:7" ht="6" customHeight="1" x14ac:dyDescent="0.2">
      <c r="A173" s="900"/>
      <c r="B173" s="900"/>
      <c r="C173" s="922"/>
      <c r="D173" s="900"/>
      <c r="E173" s="879"/>
      <c r="F173" s="923"/>
      <c r="G173" s="920"/>
    </row>
    <row r="174" spans="1:7" x14ac:dyDescent="0.2">
      <c r="A174" s="1743"/>
      <c r="B174" s="1757"/>
      <c r="C174" s="1758"/>
      <c r="D174" s="1759" t="s">
        <v>2056</v>
      </c>
      <c r="E174" s="1760" t="s">
        <v>958</v>
      </c>
      <c r="F174" s="1761">
        <f>SUM(F84:F132,F157:F172)</f>
        <v>612112.38</v>
      </c>
    </row>
    <row r="175" spans="1:7" ht="12" customHeight="1" x14ac:dyDescent="0.2">
      <c r="A175" s="1743"/>
      <c r="B175" s="1757"/>
      <c r="C175" s="1758"/>
      <c r="D175" s="1759" t="s">
        <v>2057</v>
      </c>
      <c r="E175" s="1760"/>
      <c r="F175" s="1762">
        <f>'PCTC-OEPP 27-28'!F77-F174</f>
        <v>2872416.62</v>
      </c>
    </row>
    <row r="176" spans="1:7" ht="12" customHeight="1" x14ac:dyDescent="0.2">
      <c r="A176" s="1743"/>
      <c r="B176" s="1757"/>
      <c r="C176" s="1758"/>
      <c r="D176" s="1759" t="s">
        <v>1817</v>
      </c>
      <c r="E176" s="1760"/>
      <c r="F176" s="1762">
        <f>'Cap Outlay Deprec 26'!I18</f>
        <v>221116.5</v>
      </c>
    </row>
    <row r="177" spans="1:7" ht="12" customHeight="1" x14ac:dyDescent="0.2">
      <c r="A177" s="1743"/>
      <c r="B177" s="1757"/>
      <c r="C177" s="1758"/>
      <c r="D177" s="1759" t="s">
        <v>2058</v>
      </c>
      <c r="E177" s="1760"/>
      <c r="F177" s="1762">
        <f>F175+F176</f>
        <v>3093533.12</v>
      </c>
    </row>
    <row r="178" spans="1:7" ht="12" customHeight="1" x14ac:dyDescent="0.2">
      <c r="A178" s="1743"/>
      <c r="B178" s="1763"/>
      <c r="C178" s="1758"/>
      <c r="D178" s="1759" t="str">
        <f>D78</f>
        <v>9 Month ADA from District Average Daily Attendance/Prior General State Aid Inquiry 2018-2019</v>
      </c>
      <c r="E178" s="1760"/>
      <c r="F178" s="1764">
        <f>'PCTC-OEPP 27-28'!F78</f>
        <v>281.89999999999998</v>
      </c>
      <c r="G178" s="903"/>
    </row>
    <row r="179" spans="1:7" ht="12" customHeight="1" thickBot="1" x14ac:dyDescent="0.25">
      <c r="A179" s="1743"/>
      <c r="B179" s="1763"/>
      <c r="C179" s="1758"/>
      <c r="D179" s="1759" t="s">
        <v>2059</v>
      </c>
      <c r="E179" s="1760" t="s">
        <v>1545</v>
      </c>
      <c r="F179" s="1765">
        <f>F177/F178</f>
        <v>10973.867045051438</v>
      </c>
      <c r="G179" s="829">
        <v>6323</v>
      </c>
    </row>
    <row r="180" spans="1:7" ht="12" thickTop="1" x14ac:dyDescent="0.2">
      <c r="B180" s="903"/>
      <c r="C180" s="922"/>
      <c r="D180" s="903"/>
      <c r="E180" s="922"/>
      <c r="F180" s="903"/>
      <c r="G180" s="924">
        <v>6326</v>
      </c>
    </row>
    <row r="181" spans="1:7" ht="12.2" customHeight="1" x14ac:dyDescent="0.2">
      <c r="A181" s="903" t="s">
        <v>1921</v>
      </c>
      <c r="B181" s="903"/>
      <c r="C181" s="922"/>
      <c r="D181" s="903"/>
      <c r="E181" s="922"/>
      <c r="F181" s="903"/>
      <c r="G181" s="903"/>
    </row>
    <row r="182" spans="1:7" s="1895" customFormat="1" ht="12.2" customHeight="1" x14ac:dyDescent="0.2">
      <c r="A182" s="1895" t="s">
        <v>1994</v>
      </c>
      <c r="B182" s="1896"/>
      <c r="C182" s="1897"/>
      <c r="D182" s="1896"/>
      <c r="E182" s="1897"/>
      <c r="F182" s="1896"/>
      <c r="G182" s="1896"/>
    </row>
    <row r="183" spans="1:7" s="1895" customFormat="1" ht="12.2" customHeight="1" x14ac:dyDescent="0.2">
      <c r="A183" s="1898" t="s">
        <v>1996</v>
      </c>
      <c r="C183" s="1897"/>
      <c r="D183" s="1896"/>
      <c r="E183" s="1897"/>
      <c r="F183" s="1896"/>
      <c r="G183" s="1896"/>
    </row>
    <row r="184" spans="1:7" ht="12" customHeight="1" x14ac:dyDescent="0.2">
      <c r="C184" s="922"/>
      <c r="D184" s="903"/>
      <c r="E184" s="922"/>
      <c r="F184" s="903"/>
      <c r="G184" s="903"/>
    </row>
    <row r="185" spans="1:7" x14ac:dyDescent="0.2">
      <c r="A185" s="1899" t="s">
        <v>1925</v>
      </c>
      <c r="B185" s="1900" t="s">
        <v>1924</v>
      </c>
      <c r="C185" s="922"/>
      <c r="D185" s="903"/>
      <c r="E185" s="922"/>
      <c r="F185" s="903"/>
      <c r="G185" s="903"/>
    </row>
    <row r="186" spans="1:7" x14ac:dyDescent="0.2">
      <c r="A186" s="903"/>
      <c r="B186" s="903"/>
      <c r="C186" s="922"/>
      <c r="D186" s="903"/>
      <c r="E186" s="922"/>
      <c r="F186" s="903"/>
      <c r="G186" s="903"/>
    </row>
    <row r="187" spans="1:7" x14ac:dyDescent="0.2">
      <c r="A187" s="903"/>
      <c r="B187" s="903"/>
      <c r="C187" s="922"/>
      <c r="D187" s="903"/>
      <c r="E187" s="922"/>
      <c r="F187" s="903"/>
      <c r="G187" s="903"/>
    </row>
    <row r="188" spans="1:7" x14ac:dyDescent="0.2">
      <c r="A188" s="903"/>
      <c r="B188" s="903"/>
      <c r="C188" s="922"/>
      <c r="D188" s="903"/>
      <c r="E188" s="922"/>
      <c r="F188" s="903"/>
      <c r="G188" s="903"/>
    </row>
    <row r="189" spans="1:7" x14ac:dyDescent="0.2">
      <c r="A189" s="903"/>
      <c r="B189" s="903"/>
      <c r="C189" s="922"/>
      <c r="D189" s="903"/>
      <c r="E189" s="922"/>
      <c r="F189" s="903"/>
      <c r="G189" s="903"/>
    </row>
    <row r="190" spans="1:7" x14ac:dyDescent="0.2">
      <c r="A190" s="903"/>
      <c r="B190" s="903"/>
      <c r="C190" s="922"/>
      <c r="D190" s="903"/>
      <c r="E190" s="922"/>
      <c r="F190" s="903"/>
      <c r="G190" s="903"/>
    </row>
    <row r="191" spans="1:7" x14ac:dyDescent="0.2">
      <c r="A191" s="903"/>
      <c r="B191" s="903"/>
      <c r="C191" s="922"/>
      <c r="D191" s="903"/>
      <c r="E191" s="922"/>
      <c r="F191" s="903"/>
      <c r="G191" s="903"/>
    </row>
    <row r="192" spans="1:7" x14ac:dyDescent="0.2">
      <c r="A192" s="903"/>
      <c r="B192" s="903"/>
      <c r="C192" s="922"/>
      <c r="D192" s="903"/>
      <c r="E192" s="922"/>
      <c r="F192" s="903"/>
      <c r="G192" s="903"/>
    </row>
    <row r="193" spans="1:7" x14ac:dyDescent="0.2">
      <c r="A193" s="903"/>
      <c r="B193" s="903"/>
      <c r="C193" s="922"/>
      <c r="D193" s="903"/>
      <c r="E193" s="922"/>
      <c r="F193" s="903"/>
      <c r="G193" s="903"/>
    </row>
    <row r="194" spans="1:7" x14ac:dyDescent="0.2">
      <c r="A194" s="903"/>
      <c r="B194" s="903"/>
      <c r="C194" s="922"/>
      <c r="D194" s="903"/>
      <c r="E194" s="922"/>
      <c r="F194" s="903"/>
      <c r="G194" s="903"/>
    </row>
    <row r="195" spans="1:7" x14ac:dyDescent="0.2">
      <c r="A195" s="903"/>
      <c r="B195" s="903"/>
      <c r="C195" s="922"/>
      <c r="D195" s="903"/>
      <c r="E195" s="922"/>
      <c r="F195" s="903"/>
      <c r="G195" s="903"/>
    </row>
    <row r="196" spans="1:7" x14ac:dyDescent="0.2">
      <c r="A196" s="903"/>
      <c r="B196" s="903"/>
      <c r="C196" s="922"/>
      <c r="D196" s="903"/>
      <c r="E196" s="922"/>
      <c r="F196" s="903"/>
      <c r="G196" s="903"/>
    </row>
    <row r="197" spans="1:7" x14ac:dyDescent="0.2">
      <c r="A197" s="903"/>
      <c r="B197" s="903"/>
      <c r="C197" s="922"/>
      <c r="D197" s="903"/>
      <c r="E197" s="922"/>
      <c r="F197" s="903"/>
      <c r="G197" s="903"/>
    </row>
    <row r="198" spans="1:7" x14ac:dyDescent="0.2">
      <c r="A198" s="903"/>
      <c r="B198" s="903"/>
      <c r="C198" s="922"/>
      <c r="D198" s="903"/>
      <c r="E198" s="922"/>
      <c r="F198" s="903"/>
      <c r="G198" s="903"/>
    </row>
    <row r="199" spans="1:7" x14ac:dyDescent="0.2">
      <c r="A199" s="903"/>
      <c r="B199" s="903"/>
      <c r="C199" s="922"/>
      <c r="D199" s="903"/>
      <c r="E199" s="922"/>
      <c r="F199" s="903"/>
      <c r="G199" s="903"/>
    </row>
    <row r="200" spans="1:7" x14ac:dyDescent="0.2">
      <c r="A200" s="903"/>
      <c r="B200" s="903"/>
      <c r="C200" s="922"/>
      <c r="D200" s="903"/>
      <c r="E200" s="922"/>
      <c r="F200" s="903"/>
      <c r="G200" s="903"/>
    </row>
    <row r="201" spans="1:7" x14ac:dyDescent="0.2">
      <c r="A201" s="903"/>
      <c r="B201" s="903"/>
      <c r="C201" s="922"/>
      <c r="D201" s="903"/>
      <c r="E201" s="922"/>
      <c r="F201" s="903"/>
      <c r="G201" s="903"/>
    </row>
    <row r="202" spans="1:7" x14ac:dyDescent="0.2">
      <c r="A202" s="903"/>
      <c r="B202" s="903"/>
      <c r="C202" s="922"/>
      <c r="D202" s="903"/>
      <c r="E202" s="922"/>
      <c r="F202" s="903"/>
      <c r="G202" s="903"/>
    </row>
  </sheetData>
  <sheetProtection password="F60E" sheet="1" objects="1" scenarios="1"/>
  <mergeCells count="5">
    <mergeCell ref="A6:F6"/>
    <mergeCell ref="A1:F1"/>
    <mergeCell ref="A81:F81"/>
    <mergeCell ref="A2:F2"/>
    <mergeCell ref="A5:F5"/>
  </mergeCells>
  <phoneticPr fontId="20"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H141"/>
  <sheetViews>
    <sheetView showGridLines="0" zoomScaleNormal="100" workbookViewId="0">
      <selection activeCell="B21" sqref="B21"/>
    </sheetView>
  </sheetViews>
  <sheetFormatPr defaultRowHeight="15" x14ac:dyDescent="0.25"/>
  <cols>
    <col min="1" max="1" width="52" style="1515" customWidth="1"/>
    <col min="2" max="2" width="16.42578125" style="1516" bestFit="1" customWidth="1"/>
    <col min="3" max="3" width="33.7109375" style="1516" customWidth="1"/>
    <col min="4" max="4" width="16.28515625" style="1517" customWidth="1"/>
    <col min="5" max="5" width="30" style="1517" hidden="1" customWidth="1"/>
    <col min="6" max="6" width="23.5703125" style="1517" customWidth="1"/>
    <col min="7" max="7" width="23.28515625" style="1516" customWidth="1"/>
    <col min="8" max="16384" width="9.140625" style="1506"/>
  </cols>
  <sheetData>
    <row r="1" spans="1:7" ht="15" customHeight="1" x14ac:dyDescent="0.25">
      <c r="A1" s="1632" t="s">
        <v>1832</v>
      </c>
      <c r="B1" s="1633"/>
      <c r="C1" s="1633"/>
      <c r="D1" s="1633"/>
      <c r="E1" s="1633"/>
      <c r="F1" s="1633"/>
      <c r="G1" s="1633"/>
    </row>
    <row r="2" spans="1:7" x14ac:dyDescent="0.25">
      <c r="A2" s="1630"/>
      <c r="B2" s="1630"/>
      <c r="C2" s="1631" t="s">
        <v>979</v>
      </c>
      <c r="D2" s="1630"/>
      <c r="E2" s="1630"/>
      <c r="F2" s="1630"/>
      <c r="G2" s="1630"/>
    </row>
    <row r="3" spans="1:7" ht="5.25" customHeight="1" x14ac:dyDescent="0.25">
      <c r="A3" s="1518"/>
      <c r="B3" s="1518"/>
      <c r="C3" s="1518"/>
      <c r="D3" s="1518"/>
      <c r="E3" s="1518"/>
      <c r="F3" s="1518"/>
      <c r="G3" s="1518"/>
    </row>
    <row r="4" spans="1:7" ht="18.75" customHeight="1" x14ac:dyDescent="0.25">
      <c r="A4" s="2342" t="s">
        <v>1818</v>
      </c>
      <c r="B4" s="2343"/>
      <c r="C4" s="2343"/>
      <c r="D4" s="2343"/>
      <c r="E4" s="2343"/>
      <c r="F4" s="2343"/>
      <c r="G4" s="2344"/>
    </row>
    <row r="5" spans="1:7" x14ac:dyDescent="0.25">
      <c r="A5" s="2345"/>
      <c r="B5" s="2346"/>
      <c r="C5" s="2346"/>
      <c r="D5" s="2346"/>
      <c r="E5" s="2346"/>
      <c r="F5" s="2346"/>
      <c r="G5" s="2347"/>
    </row>
    <row r="6" spans="1:7" ht="18.75" x14ac:dyDescent="0.25">
      <c r="A6" s="1507" t="s">
        <v>1819</v>
      </c>
      <c r="B6" s="1508"/>
      <c r="C6" s="1508"/>
      <c r="D6" s="1508"/>
      <c r="E6" s="1508"/>
      <c r="F6" s="1508"/>
      <c r="G6" s="1509"/>
    </row>
    <row r="7" spans="1:7" ht="30.75" customHeight="1" x14ac:dyDescent="0.25">
      <c r="A7" s="2348" t="s">
        <v>1932</v>
      </c>
      <c r="B7" s="2349"/>
      <c r="C7" s="2349"/>
      <c r="D7" s="2349"/>
      <c r="E7" s="2349"/>
      <c r="F7" s="2349"/>
      <c r="G7" s="2350"/>
    </row>
    <row r="8" spans="1:7" ht="15.75" customHeight="1" x14ac:dyDescent="0.25">
      <c r="A8" s="2351" t="s">
        <v>1907</v>
      </c>
      <c r="B8" s="2352"/>
      <c r="C8" s="2352"/>
      <c r="D8" s="2352"/>
      <c r="E8" s="2352"/>
      <c r="F8" s="2352"/>
      <c r="G8" s="2353"/>
    </row>
    <row r="9" spans="1:7" ht="35.25" customHeight="1" x14ac:dyDescent="0.25">
      <c r="A9" s="2348" t="s">
        <v>1935</v>
      </c>
      <c r="B9" s="2349"/>
      <c r="C9" s="2349"/>
      <c r="D9" s="2349"/>
      <c r="E9" s="2349"/>
      <c r="F9" s="2349"/>
      <c r="G9" s="2350"/>
    </row>
    <row r="10" spans="1:7" ht="15" customHeight="1" x14ac:dyDescent="0.25">
      <c r="A10" s="1510" t="s">
        <v>1820</v>
      </c>
      <c r="B10" s="1511"/>
      <c r="C10" s="1511"/>
      <c r="D10" s="1511"/>
      <c r="E10" s="1511"/>
      <c r="F10" s="1511"/>
      <c r="G10" s="1512"/>
    </row>
    <row r="11" spans="1:7" ht="17.25" customHeight="1" x14ac:dyDescent="0.25">
      <c r="A11" s="2348" t="s">
        <v>1934</v>
      </c>
      <c r="B11" s="2349"/>
      <c r="C11" s="2349"/>
      <c r="D11" s="2349"/>
      <c r="E11" s="2349"/>
      <c r="F11" s="2349"/>
      <c r="G11" s="2350"/>
    </row>
    <row r="12" spans="1:7" ht="15" customHeight="1" x14ac:dyDescent="0.25">
      <c r="A12" s="1510" t="s">
        <v>1825</v>
      </c>
      <c r="B12" s="1511"/>
      <c r="C12" s="1511"/>
      <c r="D12" s="1511"/>
      <c r="E12" s="1511"/>
      <c r="F12" s="1511"/>
      <c r="G12" s="1512"/>
    </row>
    <row r="13" spans="1:7" ht="32.25" customHeight="1" x14ac:dyDescent="0.25">
      <c r="A13" s="2339" t="s">
        <v>1976</v>
      </c>
      <c r="B13" s="2340"/>
      <c r="C13" s="2340"/>
      <c r="D13" s="2340"/>
      <c r="E13" s="2340"/>
      <c r="F13" s="2340"/>
      <c r="G13" s="2341"/>
    </row>
    <row r="14" spans="1:7" x14ac:dyDescent="0.25">
      <c r="A14" s="1634" t="s">
        <v>1833</v>
      </c>
      <c r="B14" s="1635"/>
      <c r="C14" s="1635"/>
      <c r="D14" s="1635"/>
      <c r="E14" s="1635"/>
      <c r="F14" s="1635"/>
      <c r="G14" s="1636"/>
    </row>
    <row r="15" spans="1:7" ht="61.5" customHeight="1" x14ac:dyDescent="0.25">
      <c r="A15" s="1519" t="s">
        <v>1826</v>
      </c>
      <c r="B15" s="1519" t="s">
        <v>1827</v>
      </c>
      <c r="C15" s="1519" t="s">
        <v>1828</v>
      </c>
      <c r="D15" s="1520" t="s">
        <v>1829</v>
      </c>
      <c r="E15" s="1520" t="s">
        <v>1821</v>
      </c>
      <c r="F15" s="1520" t="s">
        <v>1830</v>
      </c>
      <c r="G15" s="1520" t="s">
        <v>1831</v>
      </c>
    </row>
    <row r="16" spans="1:7" x14ac:dyDescent="0.25">
      <c r="A16" s="1621" t="s">
        <v>1834</v>
      </c>
      <c r="B16" s="1622" t="s">
        <v>1824</v>
      </c>
      <c r="C16" s="1623" t="s">
        <v>1822</v>
      </c>
      <c r="D16" s="1624">
        <v>500000</v>
      </c>
      <c r="E16" s="1624">
        <f>IF(D16&lt;=25000,D16,IF(D16&gt;25000,25000,0))</f>
        <v>25000</v>
      </c>
      <c r="F16" s="1624">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25">
        <f>IF(F16=0,"0",D16-F16)</f>
        <v>475000</v>
      </c>
    </row>
    <row r="17" spans="1:8" x14ac:dyDescent="0.25">
      <c r="A17" s="2006" t="s">
        <v>2100</v>
      </c>
      <c r="B17" s="2011" t="s">
        <v>2116</v>
      </c>
      <c r="C17" s="2008" t="s">
        <v>2101</v>
      </c>
      <c r="D17" s="1817">
        <v>310411</v>
      </c>
      <c r="E17" s="1513">
        <f t="shared" ref="E17:E141" si="0">IF(D17&lt;=25000,D17,IF(D17&gt;25000,25000,0))</f>
        <v>25000</v>
      </c>
      <c r="F17" s="1905">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66">
        <f>IF(F17=0,0,D17-F17)</f>
        <v>285411</v>
      </c>
      <c r="H17" s="1620"/>
    </row>
    <row r="18" spans="1:8" x14ac:dyDescent="0.25">
      <c r="A18" s="2006" t="s">
        <v>2102</v>
      </c>
      <c r="B18" s="2011" t="s">
        <v>2117</v>
      </c>
      <c r="C18" s="2008" t="s">
        <v>2103</v>
      </c>
      <c r="D18" s="1817">
        <v>47338</v>
      </c>
      <c r="E18" s="1513">
        <f t="shared" ref="E18:E140" si="2">IF(D18&lt;=25000,D18,IF(D18&gt;25000,25000,0))</f>
        <v>25000</v>
      </c>
      <c r="F18" s="1905">
        <f t="shared" si="1"/>
        <v>25000</v>
      </c>
      <c r="G18" s="1766">
        <f t="shared" ref="G18:G140" si="3">IF(F18=0,0,D18-F18)</f>
        <v>22338</v>
      </c>
    </row>
    <row r="19" spans="1:8" x14ac:dyDescent="0.25">
      <c r="A19" s="2006" t="s">
        <v>2104</v>
      </c>
      <c r="B19" s="2012" t="s">
        <v>2122</v>
      </c>
      <c r="C19" s="2008" t="s">
        <v>2105</v>
      </c>
      <c r="D19" s="1817">
        <v>78338</v>
      </c>
      <c r="E19" s="1513">
        <f t="shared" si="2"/>
        <v>25000</v>
      </c>
      <c r="F19" s="1905">
        <f t="shared" si="1"/>
        <v>0</v>
      </c>
      <c r="G19" s="1766">
        <f t="shared" si="3"/>
        <v>0</v>
      </c>
    </row>
    <row r="20" spans="1:8" x14ac:dyDescent="0.25">
      <c r="A20" s="2006" t="s">
        <v>2104</v>
      </c>
      <c r="B20" s="2012" t="s">
        <v>2122</v>
      </c>
      <c r="C20" s="2008" t="s">
        <v>2106</v>
      </c>
      <c r="D20" s="1817">
        <v>90207</v>
      </c>
      <c r="E20" s="1513">
        <f t="shared" si="2"/>
        <v>25000</v>
      </c>
      <c r="F20" s="1905">
        <f t="shared" si="1"/>
        <v>0</v>
      </c>
      <c r="G20" s="1766">
        <f t="shared" si="3"/>
        <v>0</v>
      </c>
    </row>
    <row r="21" spans="1:8" x14ac:dyDescent="0.25">
      <c r="A21" s="2006" t="s">
        <v>2107</v>
      </c>
      <c r="B21" s="2011" t="s">
        <v>2118</v>
      </c>
      <c r="C21" s="2010" t="s">
        <v>2110</v>
      </c>
      <c r="D21" s="1817">
        <v>28159</v>
      </c>
      <c r="E21" s="1513">
        <f t="shared" si="2"/>
        <v>25000</v>
      </c>
      <c r="F21" s="1905">
        <f t="shared" si="1"/>
        <v>25000</v>
      </c>
      <c r="G21" s="1766">
        <f t="shared" si="3"/>
        <v>3159</v>
      </c>
    </row>
    <row r="22" spans="1:8" x14ac:dyDescent="0.25">
      <c r="A22" s="2009" t="s">
        <v>2108</v>
      </c>
      <c r="B22" s="2011" t="s">
        <v>2119</v>
      </c>
      <c r="C22" s="2010" t="s">
        <v>2109</v>
      </c>
      <c r="D22" s="1817">
        <v>28355</v>
      </c>
      <c r="E22" s="1513">
        <f t="shared" si="2"/>
        <v>25000</v>
      </c>
      <c r="F22" s="1905">
        <f t="shared" si="1"/>
        <v>25000</v>
      </c>
      <c r="G22" s="1766">
        <f t="shared" si="3"/>
        <v>3355</v>
      </c>
    </row>
    <row r="23" spans="1:8" x14ac:dyDescent="0.25">
      <c r="A23" s="2006"/>
      <c r="B23" s="2007"/>
      <c r="C23" s="2008"/>
      <c r="D23" s="1817"/>
      <c r="E23" s="1513">
        <f t="shared" si="2"/>
        <v>0</v>
      </c>
      <c r="F23" s="1905">
        <f t="shared" si="1"/>
        <v>0</v>
      </c>
      <c r="G23" s="1766">
        <f t="shared" si="3"/>
        <v>0</v>
      </c>
    </row>
    <row r="24" spans="1:8" x14ac:dyDescent="0.25">
      <c r="A24" s="1626"/>
      <c r="B24" s="1907"/>
      <c r="C24" s="1629"/>
      <c r="D24" s="1817"/>
      <c r="E24" s="1513">
        <f t="shared" si="2"/>
        <v>0</v>
      </c>
      <c r="F24" s="1905">
        <f t="shared" si="1"/>
        <v>0</v>
      </c>
      <c r="G24" s="1766">
        <f t="shared" si="3"/>
        <v>0</v>
      </c>
    </row>
    <row r="25" spans="1:8" x14ac:dyDescent="0.25">
      <c r="A25" s="1626"/>
      <c r="B25" s="1907"/>
      <c r="C25" s="1629"/>
      <c r="D25" s="1817"/>
      <c r="E25" s="1513">
        <f t="shared" si="2"/>
        <v>0</v>
      </c>
      <c r="F25" s="1905">
        <f t="shared" si="1"/>
        <v>0</v>
      </c>
      <c r="G25" s="1766">
        <f t="shared" si="3"/>
        <v>0</v>
      </c>
    </row>
    <row r="26" spans="1:8" x14ac:dyDescent="0.25">
      <c r="A26" s="1626"/>
      <c r="B26" s="1907"/>
      <c r="C26" s="1627"/>
      <c r="D26" s="1817"/>
      <c r="E26" s="1513">
        <f t="shared" si="2"/>
        <v>0</v>
      </c>
      <c r="F26" s="1905">
        <f t="shared" si="1"/>
        <v>0</v>
      </c>
      <c r="G26" s="1766">
        <f t="shared" si="3"/>
        <v>0</v>
      </c>
    </row>
    <row r="27" spans="1:8" x14ac:dyDescent="0.25">
      <c r="A27" s="1626"/>
      <c r="B27" s="1907"/>
      <c r="C27" s="1627"/>
      <c r="D27" s="1817"/>
      <c r="E27" s="1513">
        <f t="shared" si="2"/>
        <v>0</v>
      </c>
      <c r="F27" s="1905">
        <f t="shared" si="1"/>
        <v>0</v>
      </c>
      <c r="G27" s="1766">
        <f t="shared" si="3"/>
        <v>0</v>
      </c>
    </row>
    <row r="28" spans="1:8" x14ac:dyDescent="0.25">
      <c r="A28" s="1626"/>
      <c r="B28" s="1907"/>
      <c r="C28" s="1627"/>
      <c r="D28" s="1817"/>
      <c r="E28" s="1513">
        <f t="shared" si="2"/>
        <v>0</v>
      </c>
      <c r="F28" s="1905">
        <f t="shared" si="1"/>
        <v>0</v>
      </c>
      <c r="G28" s="1766">
        <f t="shared" si="3"/>
        <v>0</v>
      </c>
    </row>
    <row r="29" spans="1:8" x14ac:dyDescent="0.25">
      <c r="A29" s="1626"/>
      <c r="B29" s="1907"/>
      <c r="C29" s="1627"/>
      <c r="D29" s="1817"/>
      <c r="E29" s="1513">
        <f t="shared" si="2"/>
        <v>0</v>
      </c>
      <c r="F29" s="1905">
        <f t="shared" si="1"/>
        <v>0</v>
      </c>
      <c r="G29" s="1766">
        <f t="shared" si="3"/>
        <v>0</v>
      </c>
    </row>
    <row r="30" spans="1:8" x14ac:dyDescent="0.25">
      <c r="A30" s="1626"/>
      <c r="B30" s="1907"/>
      <c r="C30" s="1627"/>
      <c r="D30" s="1817"/>
      <c r="E30" s="1513">
        <f t="shared" si="2"/>
        <v>0</v>
      </c>
      <c r="F30" s="1905">
        <f t="shared" si="1"/>
        <v>0</v>
      </c>
      <c r="G30" s="1766">
        <f t="shared" si="3"/>
        <v>0</v>
      </c>
    </row>
    <row r="31" spans="1:8" x14ac:dyDescent="0.25">
      <c r="A31" s="1626"/>
      <c r="B31" s="1907"/>
      <c r="C31" s="1627"/>
      <c r="D31" s="1817"/>
      <c r="E31" s="1513">
        <f t="shared" si="2"/>
        <v>0</v>
      </c>
      <c r="F31" s="1905">
        <f t="shared" si="1"/>
        <v>0</v>
      </c>
      <c r="G31" s="1766">
        <f t="shared" si="3"/>
        <v>0</v>
      </c>
    </row>
    <row r="32" spans="1:8" x14ac:dyDescent="0.25">
      <c r="A32" s="1626"/>
      <c r="B32" s="1907"/>
      <c r="C32" s="1627"/>
      <c r="D32" s="1817"/>
      <c r="E32" s="1513">
        <f t="shared" si="2"/>
        <v>0</v>
      </c>
      <c r="F32" s="1905">
        <f t="shared" si="1"/>
        <v>0</v>
      </c>
      <c r="G32" s="1766">
        <f t="shared" si="3"/>
        <v>0</v>
      </c>
    </row>
    <row r="33" spans="1:7" x14ac:dyDescent="0.25">
      <c r="A33" s="1626"/>
      <c r="B33" s="1907"/>
      <c r="C33" s="1627"/>
      <c r="D33" s="1817"/>
      <c r="E33" s="1513">
        <f t="shared" si="2"/>
        <v>0</v>
      </c>
      <c r="F33" s="1905">
        <f t="shared" si="1"/>
        <v>0</v>
      </c>
      <c r="G33" s="1766">
        <f t="shared" si="3"/>
        <v>0</v>
      </c>
    </row>
    <row r="34" spans="1:7" x14ac:dyDescent="0.25">
      <c r="A34" s="1626"/>
      <c r="B34" s="1907"/>
      <c r="C34" s="1627"/>
      <c r="D34" s="1817"/>
      <c r="E34" s="1513">
        <f t="shared" si="2"/>
        <v>0</v>
      </c>
      <c r="F34" s="1905">
        <f t="shared" si="1"/>
        <v>0</v>
      </c>
      <c r="G34" s="1766">
        <f t="shared" si="3"/>
        <v>0</v>
      </c>
    </row>
    <row r="35" spans="1:7" x14ac:dyDescent="0.25">
      <c r="A35" s="1626"/>
      <c r="B35" s="1907"/>
      <c r="C35" s="1627"/>
      <c r="D35" s="1817"/>
      <c r="E35" s="1513">
        <f t="shared" si="2"/>
        <v>0</v>
      </c>
      <c r="F35" s="1905">
        <f t="shared" si="1"/>
        <v>0</v>
      </c>
      <c r="G35" s="1766">
        <f t="shared" si="3"/>
        <v>0</v>
      </c>
    </row>
    <row r="36" spans="1:7" x14ac:dyDescent="0.25">
      <c r="A36" s="1626"/>
      <c r="B36" s="1907"/>
      <c r="C36" s="1627"/>
      <c r="D36" s="1817"/>
      <c r="E36" s="1513">
        <f t="shared" si="2"/>
        <v>0</v>
      </c>
      <c r="F36" s="1905">
        <f t="shared" si="1"/>
        <v>0</v>
      </c>
      <c r="G36" s="1766">
        <f t="shared" si="3"/>
        <v>0</v>
      </c>
    </row>
    <row r="37" spans="1:7" x14ac:dyDescent="0.25">
      <c r="A37" s="1626"/>
      <c r="B37" s="1907"/>
      <c r="C37" s="1627"/>
      <c r="D37" s="1817"/>
      <c r="E37" s="1513">
        <f t="shared" si="2"/>
        <v>0</v>
      </c>
      <c r="F37" s="1905">
        <f t="shared" si="1"/>
        <v>0</v>
      </c>
      <c r="G37" s="1766">
        <f t="shared" si="3"/>
        <v>0</v>
      </c>
    </row>
    <row r="38" spans="1:7" x14ac:dyDescent="0.25">
      <c r="A38" s="1626"/>
      <c r="B38" s="1908"/>
      <c r="C38" s="1627"/>
      <c r="D38" s="1817"/>
      <c r="E38" s="1513">
        <f t="shared" si="2"/>
        <v>0</v>
      </c>
      <c r="F38" s="1905">
        <f t="shared" si="1"/>
        <v>0</v>
      </c>
      <c r="G38" s="1766">
        <f t="shared" si="3"/>
        <v>0</v>
      </c>
    </row>
    <row r="39" spans="1:7" x14ac:dyDescent="0.25">
      <c r="A39" s="1626"/>
      <c r="B39" s="1908"/>
      <c r="C39" s="1627"/>
      <c r="D39" s="1817"/>
      <c r="E39" s="1513">
        <f t="shared" si="2"/>
        <v>0</v>
      </c>
      <c r="F39" s="1905">
        <f t="shared" si="1"/>
        <v>0</v>
      </c>
      <c r="G39" s="1766">
        <f t="shared" si="3"/>
        <v>0</v>
      </c>
    </row>
    <row r="40" spans="1:7" x14ac:dyDescent="0.25">
      <c r="A40" s="1626"/>
      <c r="B40" s="1908"/>
      <c r="C40" s="1627"/>
      <c r="D40" s="1817"/>
      <c r="E40" s="1513">
        <f t="shared" si="2"/>
        <v>0</v>
      </c>
      <c r="F40" s="1905">
        <f t="shared" si="1"/>
        <v>0</v>
      </c>
      <c r="G40" s="1766">
        <f t="shared" si="3"/>
        <v>0</v>
      </c>
    </row>
    <row r="41" spans="1:7" x14ac:dyDescent="0.25">
      <c r="A41" s="1626"/>
      <c r="B41" s="1908"/>
      <c r="C41" s="1627"/>
      <c r="D41" s="1817"/>
      <c r="E41" s="1513">
        <f t="shared" si="2"/>
        <v>0</v>
      </c>
      <c r="F41" s="1905">
        <f t="shared" si="1"/>
        <v>0</v>
      </c>
      <c r="G41" s="1766">
        <f t="shared" si="3"/>
        <v>0</v>
      </c>
    </row>
    <row r="42" spans="1:7" x14ac:dyDescent="0.25">
      <c r="A42" s="1626"/>
      <c r="B42" s="1908"/>
      <c r="C42" s="1627"/>
      <c r="D42" s="1817"/>
      <c r="E42" s="1513">
        <f t="shared" si="2"/>
        <v>0</v>
      </c>
      <c r="F42" s="1905">
        <f t="shared" si="1"/>
        <v>0</v>
      </c>
      <c r="G42" s="1766">
        <f t="shared" si="3"/>
        <v>0</v>
      </c>
    </row>
    <row r="43" spans="1:7" x14ac:dyDescent="0.25">
      <c r="A43" s="1626"/>
      <c r="B43" s="1908"/>
      <c r="C43" s="1627"/>
      <c r="D43" s="1817"/>
      <c r="E43" s="1513">
        <f t="shared" si="2"/>
        <v>0</v>
      </c>
      <c r="F43" s="1905">
        <f t="shared" si="1"/>
        <v>0</v>
      </c>
      <c r="G43" s="1766">
        <f t="shared" si="3"/>
        <v>0</v>
      </c>
    </row>
    <row r="44" spans="1:7" x14ac:dyDescent="0.25">
      <c r="A44" s="1626"/>
      <c r="B44" s="1908"/>
      <c r="C44" s="1627"/>
      <c r="D44" s="1817"/>
      <c r="E44" s="1513">
        <f t="shared" si="2"/>
        <v>0</v>
      </c>
      <c r="F44" s="1905">
        <f t="shared" si="1"/>
        <v>0</v>
      </c>
      <c r="G44" s="1766">
        <f t="shared" si="3"/>
        <v>0</v>
      </c>
    </row>
    <row r="45" spans="1:7" x14ac:dyDescent="0.25">
      <c r="A45" s="1626"/>
      <c r="B45" s="1908"/>
      <c r="C45" s="1627"/>
      <c r="D45" s="1817"/>
      <c r="E45" s="1513">
        <f t="shared" si="2"/>
        <v>0</v>
      </c>
      <c r="F45" s="1905">
        <f t="shared" si="1"/>
        <v>0</v>
      </c>
      <c r="G45" s="1766">
        <f t="shared" si="3"/>
        <v>0</v>
      </c>
    </row>
    <row r="46" spans="1:7" x14ac:dyDescent="0.25">
      <c r="A46" s="1626"/>
      <c r="B46" s="1640"/>
      <c r="C46" s="1627"/>
      <c r="D46" s="1817"/>
      <c r="E46" s="1513">
        <f t="shared" si="2"/>
        <v>0</v>
      </c>
      <c r="F46" s="1905">
        <f t="shared" si="1"/>
        <v>0</v>
      </c>
      <c r="G46" s="1766">
        <f t="shared" si="3"/>
        <v>0</v>
      </c>
    </row>
    <row r="47" spans="1:7" x14ac:dyDescent="0.25">
      <c r="A47" s="1626"/>
      <c r="B47" s="1640"/>
      <c r="C47" s="1627"/>
      <c r="D47" s="1817"/>
      <c r="E47" s="1513">
        <f t="shared" si="2"/>
        <v>0</v>
      </c>
      <c r="F47" s="1905">
        <f t="shared" si="1"/>
        <v>0</v>
      </c>
      <c r="G47" s="1766">
        <f t="shared" si="3"/>
        <v>0</v>
      </c>
    </row>
    <row r="48" spans="1:7" x14ac:dyDescent="0.25">
      <c r="A48" s="1626"/>
      <c r="B48" s="1640"/>
      <c r="C48" s="1627"/>
      <c r="D48" s="1817"/>
      <c r="E48" s="1513">
        <f t="shared" si="2"/>
        <v>0</v>
      </c>
      <c r="F48" s="1905">
        <f t="shared" si="1"/>
        <v>0</v>
      </c>
      <c r="G48" s="1766">
        <f t="shared" si="3"/>
        <v>0</v>
      </c>
    </row>
    <row r="49" spans="1:7" x14ac:dyDescent="0.25">
      <c r="A49" s="1626"/>
      <c r="B49" s="1640"/>
      <c r="C49" s="1627"/>
      <c r="D49" s="1817"/>
      <c r="E49" s="1513">
        <f t="shared" si="2"/>
        <v>0</v>
      </c>
      <c r="F49" s="1905">
        <f t="shared" si="1"/>
        <v>0</v>
      </c>
      <c r="G49" s="1766">
        <f t="shared" si="3"/>
        <v>0</v>
      </c>
    </row>
    <row r="50" spans="1:7" x14ac:dyDescent="0.25">
      <c r="A50" s="1626"/>
      <c r="B50" s="1640"/>
      <c r="C50" s="1627"/>
      <c r="D50" s="1817"/>
      <c r="E50" s="1513">
        <f t="shared" si="2"/>
        <v>0</v>
      </c>
      <c r="F50" s="1905">
        <f t="shared" si="1"/>
        <v>0</v>
      </c>
      <c r="G50" s="1766">
        <f t="shared" si="3"/>
        <v>0</v>
      </c>
    </row>
    <row r="51" spans="1:7" x14ac:dyDescent="0.25">
      <c r="A51" s="1626"/>
      <c r="B51" s="1640"/>
      <c r="C51" s="1627"/>
      <c r="D51" s="1817"/>
      <c r="E51" s="1513">
        <f t="shared" si="2"/>
        <v>0</v>
      </c>
      <c r="F51" s="1905">
        <f t="shared" si="1"/>
        <v>0</v>
      </c>
      <c r="G51" s="1766">
        <f t="shared" si="3"/>
        <v>0</v>
      </c>
    </row>
    <row r="52" spans="1:7" x14ac:dyDescent="0.25">
      <c r="A52" s="1626"/>
      <c r="B52" s="1640"/>
      <c r="C52" s="1627"/>
      <c r="D52" s="1817"/>
      <c r="E52" s="1513">
        <f t="shared" si="2"/>
        <v>0</v>
      </c>
      <c r="F52" s="1905">
        <f t="shared" si="1"/>
        <v>0</v>
      </c>
      <c r="G52" s="1766">
        <f t="shared" si="3"/>
        <v>0</v>
      </c>
    </row>
    <row r="53" spans="1:7" x14ac:dyDescent="0.25">
      <c r="A53" s="1626"/>
      <c r="B53" s="1640"/>
      <c r="C53" s="1627"/>
      <c r="D53" s="1817"/>
      <c r="E53" s="1513">
        <f t="shared" si="2"/>
        <v>0</v>
      </c>
      <c r="F53" s="1905">
        <f t="shared" si="1"/>
        <v>0</v>
      </c>
      <c r="G53" s="1766">
        <f t="shared" si="3"/>
        <v>0</v>
      </c>
    </row>
    <row r="54" spans="1:7" x14ac:dyDescent="0.25">
      <c r="A54" s="1626"/>
      <c r="B54" s="1640"/>
      <c r="C54" s="1627"/>
      <c r="D54" s="1817"/>
      <c r="E54" s="1513">
        <f t="shared" si="2"/>
        <v>0</v>
      </c>
      <c r="F54" s="1905">
        <f t="shared" si="1"/>
        <v>0</v>
      </c>
      <c r="G54" s="1766">
        <f t="shared" si="3"/>
        <v>0</v>
      </c>
    </row>
    <row r="55" spans="1:7" x14ac:dyDescent="0.25">
      <c r="A55" s="1626"/>
      <c r="B55" s="1640"/>
      <c r="C55" s="1627"/>
      <c r="D55" s="1817"/>
      <c r="E55" s="1513">
        <f t="shared" si="2"/>
        <v>0</v>
      </c>
      <c r="F55" s="1905">
        <f t="shared" si="1"/>
        <v>0</v>
      </c>
      <c r="G55" s="1766">
        <f t="shared" si="3"/>
        <v>0</v>
      </c>
    </row>
    <row r="56" spans="1:7" x14ac:dyDescent="0.25">
      <c r="A56" s="1626"/>
      <c r="B56" s="1640"/>
      <c r="C56" s="1627"/>
      <c r="D56" s="1817"/>
      <c r="E56" s="1513">
        <f t="shared" si="2"/>
        <v>0</v>
      </c>
      <c r="F56" s="1905">
        <f t="shared" si="1"/>
        <v>0</v>
      </c>
      <c r="G56" s="1766">
        <f t="shared" si="3"/>
        <v>0</v>
      </c>
    </row>
    <row r="57" spans="1:7" x14ac:dyDescent="0.25">
      <c r="A57" s="1626"/>
      <c r="B57" s="1640"/>
      <c r="C57" s="1627"/>
      <c r="D57" s="1817"/>
      <c r="E57" s="1513">
        <f t="shared" si="2"/>
        <v>0</v>
      </c>
      <c r="F57" s="1905">
        <f t="shared" si="1"/>
        <v>0</v>
      </c>
      <c r="G57" s="1766">
        <f t="shared" si="3"/>
        <v>0</v>
      </c>
    </row>
    <row r="58" spans="1:7" x14ac:dyDescent="0.25">
      <c r="A58" s="1626"/>
      <c r="B58" s="1640"/>
      <c r="C58" s="1627"/>
      <c r="D58" s="1817"/>
      <c r="E58" s="1513">
        <f t="shared" si="2"/>
        <v>0</v>
      </c>
      <c r="F58" s="1905">
        <f t="shared" si="1"/>
        <v>0</v>
      </c>
      <c r="G58" s="1766">
        <f t="shared" si="3"/>
        <v>0</v>
      </c>
    </row>
    <row r="59" spans="1:7" x14ac:dyDescent="0.25">
      <c r="A59" s="1626"/>
      <c r="B59" s="1640"/>
      <c r="C59" s="1627"/>
      <c r="D59" s="1817"/>
      <c r="E59" s="1513">
        <f t="shared" si="2"/>
        <v>0</v>
      </c>
      <c r="F59" s="1905">
        <f t="shared" si="1"/>
        <v>0</v>
      </c>
      <c r="G59" s="1766">
        <f t="shared" si="3"/>
        <v>0</v>
      </c>
    </row>
    <row r="60" spans="1:7" x14ac:dyDescent="0.25">
      <c r="A60" s="1626"/>
      <c r="B60" s="1640"/>
      <c r="C60" s="1627"/>
      <c r="D60" s="1817"/>
      <c r="E60" s="1513">
        <f t="shared" si="2"/>
        <v>0</v>
      </c>
      <c r="F60" s="1905">
        <f t="shared" si="1"/>
        <v>0</v>
      </c>
      <c r="G60" s="1766">
        <f t="shared" si="3"/>
        <v>0</v>
      </c>
    </row>
    <row r="61" spans="1:7" x14ac:dyDescent="0.25">
      <c r="A61" s="1626"/>
      <c r="B61" s="1640"/>
      <c r="C61" s="1627"/>
      <c r="D61" s="1817"/>
      <c r="E61" s="1513">
        <f t="shared" si="2"/>
        <v>0</v>
      </c>
      <c r="F61" s="1905">
        <f t="shared" si="1"/>
        <v>0</v>
      </c>
      <c r="G61" s="1766">
        <f t="shared" si="3"/>
        <v>0</v>
      </c>
    </row>
    <row r="62" spans="1:7" x14ac:dyDescent="0.25">
      <c r="A62" s="1626"/>
      <c r="B62" s="1640"/>
      <c r="C62" s="1627"/>
      <c r="D62" s="1817"/>
      <c r="E62" s="1513">
        <f t="shared" si="2"/>
        <v>0</v>
      </c>
      <c r="F62" s="1905">
        <f t="shared" si="1"/>
        <v>0</v>
      </c>
      <c r="G62" s="1766">
        <f t="shared" si="3"/>
        <v>0</v>
      </c>
    </row>
    <row r="63" spans="1:7" x14ac:dyDescent="0.25">
      <c r="A63" s="1626"/>
      <c r="B63" s="1640"/>
      <c r="C63" s="1627"/>
      <c r="D63" s="1817"/>
      <c r="E63" s="1513">
        <f t="shared" si="2"/>
        <v>0</v>
      </c>
      <c r="F63" s="1905">
        <f t="shared" si="1"/>
        <v>0</v>
      </c>
      <c r="G63" s="1766">
        <f t="shared" si="3"/>
        <v>0</v>
      </c>
    </row>
    <row r="64" spans="1:7" x14ac:dyDescent="0.25">
      <c r="A64" s="1628"/>
      <c r="B64" s="1640"/>
      <c r="C64" s="1629"/>
      <c r="D64" s="1817"/>
      <c r="E64" s="1513">
        <f t="shared" si="2"/>
        <v>0</v>
      </c>
      <c r="F64" s="1905">
        <f t="shared" si="1"/>
        <v>0</v>
      </c>
      <c r="G64" s="1766">
        <f t="shared" si="3"/>
        <v>0</v>
      </c>
    </row>
    <row r="65" spans="1:7" x14ac:dyDescent="0.25">
      <c r="A65" s="1626"/>
      <c r="B65" s="1640"/>
      <c r="C65" s="1627"/>
      <c r="D65" s="1817"/>
      <c r="E65" s="1513">
        <f t="shared" si="2"/>
        <v>0</v>
      </c>
      <c r="F65" s="1905">
        <f t="shared" si="1"/>
        <v>0</v>
      </c>
      <c r="G65" s="1766">
        <f t="shared" si="3"/>
        <v>0</v>
      </c>
    </row>
    <row r="66" spans="1:7" x14ac:dyDescent="0.25">
      <c r="A66" s="1626"/>
      <c r="B66" s="1640"/>
      <c r="C66" s="1627"/>
      <c r="D66" s="1817"/>
      <c r="E66" s="1513">
        <f t="shared" si="2"/>
        <v>0</v>
      </c>
      <c r="F66" s="1905">
        <f t="shared" si="1"/>
        <v>0</v>
      </c>
      <c r="G66" s="1766">
        <f t="shared" si="3"/>
        <v>0</v>
      </c>
    </row>
    <row r="67" spans="1:7" x14ac:dyDescent="0.25">
      <c r="A67" s="1626"/>
      <c r="B67" s="1640"/>
      <c r="C67" s="1627"/>
      <c r="D67" s="1817"/>
      <c r="E67" s="1513">
        <f t="shared" si="2"/>
        <v>0</v>
      </c>
      <c r="F67" s="1905">
        <f t="shared" si="1"/>
        <v>0</v>
      </c>
      <c r="G67" s="1766">
        <f t="shared" si="3"/>
        <v>0</v>
      </c>
    </row>
    <row r="68" spans="1:7" x14ac:dyDescent="0.25">
      <c r="A68" s="1626"/>
      <c r="B68" s="1640"/>
      <c r="C68" s="1627"/>
      <c r="D68" s="1817"/>
      <c r="E68" s="1513">
        <f t="shared" si="2"/>
        <v>0</v>
      </c>
      <c r="F68" s="1905">
        <f t="shared" si="1"/>
        <v>0</v>
      </c>
      <c r="G68" s="1766">
        <f t="shared" si="3"/>
        <v>0</v>
      </c>
    </row>
    <row r="69" spans="1:7" x14ac:dyDescent="0.25">
      <c r="A69" s="1626"/>
      <c r="B69" s="1640"/>
      <c r="C69" s="1627"/>
      <c r="D69" s="1817"/>
      <c r="E69" s="1513">
        <f t="shared" si="2"/>
        <v>0</v>
      </c>
      <c r="F69" s="1905">
        <f t="shared" si="1"/>
        <v>0</v>
      </c>
      <c r="G69" s="1766">
        <f t="shared" si="3"/>
        <v>0</v>
      </c>
    </row>
    <row r="70" spans="1:7" x14ac:dyDescent="0.25">
      <c r="A70" s="1626"/>
      <c r="B70" s="1640"/>
      <c r="C70" s="1627"/>
      <c r="D70" s="1817"/>
      <c r="E70" s="1513">
        <f t="shared" si="2"/>
        <v>0</v>
      </c>
      <c r="F70" s="1905">
        <f t="shared" si="1"/>
        <v>0</v>
      </c>
      <c r="G70" s="1766">
        <f t="shared" si="3"/>
        <v>0</v>
      </c>
    </row>
    <row r="71" spans="1:7" x14ac:dyDescent="0.25">
      <c r="A71" s="1626"/>
      <c r="B71" s="1640"/>
      <c r="C71" s="1627"/>
      <c r="D71" s="1817"/>
      <c r="E71" s="1513">
        <f t="shared" si="2"/>
        <v>0</v>
      </c>
      <c r="F71" s="1905">
        <f t="shared" si="1"/>
        <v>0</v>
      </c>
      <c r="G71" s="1766">
        <f t="shared" si="3"/>
        <v>0</v>
      </c>
    </row>
    <row r="72" spans="1:7" x14ac:dyDescent="0.25">
      <c r="A72" s="1626"/>
      <c r="B72" s="1640"/>
      <c r="C72" s="1627"/>
      <c r="D72" s="1817"/>
      <c r="E72" s="1513">
        <f t="shared" si="2"/>
        <v>0</v>
      </c>
      <c r="F72" s="1905">
        <f t="shared" si="1"/>
        <v>0</v>
      </c>
      <c r="G72" s="1766">
        <f t="shared" si="3"/>
        <v>0</v>
      </c>
    </row>
    <row r="73" spans="1:7" x14ac:dyDescent="0.25">
      <c r="A73" s="1626"/>
      <c r="B73" s="1640"/>
      <c r="C73" s="1627"/>
      <c r="D73" s="1817"/>
      <c r="E73" s="1513">
        <f t="shared" ref="E73:E84" si="4">IF(D73&lt;=25000,D73,IF(D73&gt;25000,25000,0))</f>
        <v>0</v>
      </c>
      <c r="F73" s="1905">
        <f t="shared" si="1"/>
        <v>0</v>
      </c>
      <c r="G73" s="1766">
        <f t="shared" ref="G73:G84" si="5">IF(F73=0,0,D73-F73)</f>
        <v>0</v>
      </c>
    </row>
    <row r="74" spans="1:7" x14ac:dyDescent="0.25">
      <c r="A74" s="1626"/>
      <c r="B74" s="1640"/>
      <c r="C74" s="1627"/>
      <c r="D74" s="1817"/>
      <c r="E74" s="1513">
        <f t="shared" si="4"/>
        <v>0</v>
      </c>
      <c r="F74" s="1905">
        <f t="shared" si="1"/>
        <v>0</v>
      </c>
      <c r="G74" s="1766">
        <f t="shared" si="5"/>
        <v>0</v>
      </c>
    </row>
    <row r="75" spans="1:7" x14ac:dyDescent="0.25">
      <c r="A75" s="1626"/>
      <c r="B75" s="1640"/>
      <c r="C75" s="1627"/>
      <c r="D75" s="1817"/>
      <c r="E75" s="1513">
        <f t="shared" si="4"/>
        <v>0</v>
      </c>
      <c r="F75" s="1905">
        <f t="shared" si="1"/>
        <v>0</v>
      </c>
      <c r="G75" s="1766">
        <f t="shared" si="5"/>
        <v>0</v>
      </c>
    </row>
    <row r="76" spans="1:7" x14ac:dyDescent="0.25">
      <c r="A76" s="1626"/>
      <c r="B76" s="1640"/>
      <c r="C76" s="1627"/>
      <c r="D76" s="1817"/>
      <c r="E76" s="1513">
        <f t="shared" si="4"/>
        <v>0</v>
      </c>
      <c r="F76" s="1905">
        <f t="shared" si="1"/>
        <v>0</v>
      </c>
      <c r="G76" s="1766">
        <f t="shared" si="5"/>
        <v>0</v>
      </c>
    </row>
    <row r="77" spans="1:7" x14ac:dyDescent="0.25">
      <c r="A77" s="1626"/>
      <c r="B77" s="1640"/>
      <c r="C77" s="1627"/>
      <c r="D77" s="1817"/>
      <c r="E77" s="1513">
        <f t="shared" si="4"/>
        <v>0</v>
      </c>
      <c r="F77" s="1905">
        <f t="shared" si="1"/>
        <v>0</v>
      </c>
      <c r="G77" s="1766">
        <f t="shared" si="5"/>
        <v>0</v>
      </c>
    </row>
    <row r="78" spans="1:7" x14ac:dyDescent="0.25">
      <c r="A78" s="1626"/>
      <c r="B78" s="1640"/>
      <c r="C78" s="1627"/>
      <c r="D78" s="1817"/>
      <c r="E78" s="1513">
        <f t="shared" si="4"/>
        <v>0</v>
      </c>
      <c r="F78" s="1905">
        <f t="shared" si="1"/>
        <v>0</v>
      </c>
      <c r="G78" s="1766">
        <f t="shared" si="5"/>
        <v>0</v>
      </c>
    </row>
    <row r="79" spans="1:7" x14ac:dyDescent="0.25">
      <c r="A79" s="1626"/>
      <c r="B79" s="1640"/>
      <c r="C79" s="1627"/>
      <c r="D79" s="1817"/>
      <c r="E79" s="1513">
        <f t="shared" si="4"/>
        <v>0</v>
      </c>
      <c r="F79" s="1905">
        <f t="shared" si="1"/>
        <v>0</v>
      </c>
      <c r="G79" s="1766">
        <f t="shared" si="5"/>
        <v>0</v>
      </c>
    </row>
    <row r="80" spans="1:7" x14ac:dyDescent="0.25">
      <c r="A80" s="1626"/>
      <c r="B80" s="1640"/>
      <c r="C80" s="1627"/>
      <c r="D80" s="1817"/>
      <c r="E80" s="1513">
        <f t="shared" si="4"/>
        <v>0</v>
      </c>
      <c r="F80" s="1905">
        <f t="shared" si="1"/>
        <v>0</v>
      </c>
      <c r="G80" s="1766">
        <f t="shared" si="5"/>
        <v>0</v>
      </c>
    </row>
    <row r="81" spans="1:7" x14ac:dyDescent="0.25">
      <c r="A81" s="1626"/>
      <c r="B81" s="1640"/>
      <c r="C81" s="1627"/>
      <c r="D81" s="1817"/>
      <c r="E81" s="1513">
        <f t="shared" si="4"/>
        <v>0</v>
      </c>
      <c r="F81" s="1905">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66">
        <f t="shared" si="5"/>
        <v>0</v>
      </c>
    </row>
    <row r="82" spans="1:7" x14ac:dyDescent="0.25">
      <c r="A82" s="1626"/>
      <c r="B82" s="1640"/>
      <c r="C82" s="1627"/>
      <c r="D82" s="1817"/>
      <c r="E82" s="1513">
        <f t="shared" si="4"/>
        <v>0</v>
      </c>
      <c r="F82" s="1905">
        <f t="shared" si="6"/>
        <v>0</v>
      </c>
      <c r="G82" s="1766">
        <f t="shared" si="5"/>
        <v>0</v>
      </c>
    </row>
    <row r="83" spans="1:7" x14ac:dyDescent="0.25">
      <c r="A83" s="1626"/>
      <c r="B83" s="1640"/>
      <c r="C83" s="1627"/>
      <c r="D83" s="1817"/>
      <c r="E83" s="1513">
        <f t="shared" si="4"/>
        <v>0</v>
      </c>
      <c r="F83" s="1905">
        <f t="shared" si="6"/>
        <v>0</v>
      </c>
      <c r="G83" s="1766">
        <f t="shared" si="5"/>
        <v>0</v>
      </c>
    </row>
    <row r="84" spans="1:7" x14ac:dyDescent="0.25">
      <c r="A84" s="1626"/>
      <c r="B84" s="1640"/>
      <c r="C84" s="1627"/>
      <c r="D84" s="1817"/>
      <c r="E84" s="1513">
        <f t="shared" si="4"/>
        <v>0</v>
      </c>
      <c r="F84" s="1905">
        <f t="shared" si="6"/>
        <v>0</v>
      </c>
      <c r="G84" s="1766">
        <f t="shared" si="5"/>
        <v>0</v>
      </c>
    </row>
    <row r="85" spans="1:7" x14ac:dyDescent="0.25">
      <c r="A85" s="1626"/>
      <c r="B85" s="1640"/>
      <c r="C85" s="1627"/>
      <c r="D85" s="1817"/>
      <c r="E85" s="1513">
        <f t="shared" si="2"/>
        <v>0</v>
      </c>
      <c r="F85" s="1905">
        <f t="shared" si="6"/>
        <v>0</v>
      </c>
      <c r="G85" s="1766">
        <f t="shared" si="3"/>
        <v>0</v>
      </c>
    </row>
    <row r="86" spans="1:7" x14ac:dyDescent="0.25">
      <c r="A86" s="1626"/>
      <c r="B86" s="1640"/>
      <c r="C86" s="1627"/>
      <c r="D86" s="1817"/>
      <c r="E86" s="1513">
        <f t="shared" si="2"/>
        <v>0</v>
      </c>
      <c r="F86" s="1905">
        <f t="shared" si="6"/>
        <v>0</v>
      </c>
      <c r="G86" s="1766">
        <f t="shared" si="3"/>
        <v>0</v>
      </c>
    </row>
    <row r="87" spans="1:7" x14ac:dyDescent="0.25">
      <c r="A87" s="1626"/>
      <c r="B87" s="1640"/>
      <c r="C87" s="1627"/>
      <c r="D87" s="1817"/>
      <c r="E87" s="1513">
        <f t="shared" si="2"/>
        <v>0</v>
      </c>
      <c r="F87" s="1905">
        <f t="shared" si="6"/>
        <v>0</v>
      </c>
      <c r="G87" s="1766">
        <f t="shared" si="3"/>
        <v>0</v>
      </c>
    </row>
    <row r="88" spans="1:7" x14ac:dyDescent="0.25">
      <c r="A88" s="1626"/>
      <c r="B88" s="1640"/>
      <c r="C88" s="1627"/>
      <c r="D88" s="1817"/>
      <c r="E88" s="1513">
        <f t="shared" si="2"/>
        <v>0</v>
      </c>
      <c r="F88" s="1905">
        <f t="shared" si="6"/>
        <v>0</v>
      </c>
      <c r="G88" s="1766">
        <f t="shared" si="3"/>
        <v>0</v>
      </c>
    </row>
    <row r="89" spans="1:7" x14ac:dyDescent="0.25">
      <c r="A89" s="1626"/>
      <c r="B89" s="1640"/>
      <c r="C89" s="1627"/>
      <c r="D89" s="1817"/>
      <c r="E89" s="1513">
        <f t="shared" si="2"/>
        <v>0</v>
      </c>
      <c r="F89" s="1905">
        <f t="shared" si="6"/>
        <v>0</v>
      </c>
      <c r="G89" s="1766">
        <f t="shared" si="3"/>
        <v>0</v>
      </c>
    </row>
    <row r="90" spans="1:7" x14ac:dyDescent="0.25">
      <c r="A90" s="1626"/>
      <c r="B90" s="1640"/>
      <c r="C90" s="1627"/>
      <c r="D90" s="1817"/>
      <c r="E90" s="1513">
        <f t="shared" si="2"/>
        <v>0</v>
      </c>
      <c r="F90" s="1905">
        <f t="shared" si="6"/>
        <v>0</v>
      </c>
      <c r="G90" s="1766">
        <f t="shared" si="3"/>
        <v>0</v>
      </c>
    </row>
    <row r="91" spans="1:7" x14ac:dyDescent="0.25">
      <c r="A91" s="1626"/>
      <c r="B91" s="1640"/>
      <c r="C91" s="1627"/>
      <c r="D91" s="1817"/>
      <c r="E91" s="1513">
        <f t="shared" si="2"/>
        <v>0</v>
      </c>
      <c r="F91" s="1905">
        <f t="shared" si="6"/>
        <v>0</v>
      </c>
      <c r="G91" s="1766">
        <f t="shared" si="3"/>
        <v>0</v>
      </c>
    </row>
    <row r="92" spans="1:7" x14ac:dyDescent="0.25">
      <c r="A92" s="1626"/>
      <c r="B92" s="1640"/>
      <c r="C92" s="1627"/>
      <c r="D92" s="1817"/>
      <c r="E92" s="1513">
        <f t="shared" si="2"/>
        <v>0</v>
      </c>
      <c r="F92" s="1905">
        <f t="shared" si="6"/>
        <v>0</v>
      </c>
      <c r="G92" s="1766">
        <f t="shared" si="3"/>
        <v>0</v>
      </c>
    </row>
    <row r="93" spans="1:7" x14ac:dyDescent="0.25">
      <c r="A93" s="1626"/>
      <c r="B93" s="1640"/>
      <c r="C93" s="1627"/>
      <c r="D93" s="1817"/>
      <c r="E93" s="1513">
        <f t="shared" ref="E93" si="7">IF(D93&lt;=25000,D93,IF(D93&gt;25000,25000,0))</f>
        <v>0</v>
      </c>
      <c r="F93" s="1905">
        <f t="shared" si="6"/>
        <v>0</v>
      </c>
      <c r="G93" s="1766">
        <f t="shared" ref="G93" si="8">IF(F93=0,0,D93-F93)</f>
        <v>0</v>
      </c>
    </row>
    <row r="94" spans="1:7" x14ac:dyDescent="0.25">
      <c r="A94" s="1626"/>
      <c r="B94" s="1640"/>
      <c r="C94" s="1627"/>
      <c r="D94" s="1817"/>
      <c r="E94" s="1513">
        <f t="shared" si="2"/>
        <v>0</v>
      </c>
      <c r="F94" s="1905">
        <f t="shared" si="6"/>
        <v>0</v>
      </c>
      <c r="G94" s="1766">
        <f t="shared" si="3"/>
        <v>0</v>
      </c>
    </row>
    <row r="95" spans="1:7" x14ac:dyDescent="0.25">
      <c r="A95" s="1626"/>
      <c r="B95" s="1640"/>
      <c r="C95" s="1627"/>
      <c r="D95" s="1817"/>
      <c r="E95" s="1513">
        <f t="shared" ref="E95:E98" si="9">IF(D95&lt;=25000,D95,IF(D95&gt;25000,25000,0))</f>
        <v>0</v>
      </c>
      <c r="F95" s="1905">
        <f t="shared" si="6"/>
        <v>0</v>
      </c>
      <c r="G95" s="1766">
        <f t="shared" ref="G95:G98" si="10">IF(F95=0,0,D95-F95)</f>
        <v>0</v>
      </c>
    </row>
    <row r="96" spans="1:7" x14ac:dyDescent="0.25">
      <c r="A96" s="1626"/>
      <c r="B96" s="1640"/>
      <c r="C96" s="1627"/>
      <c r="D96" s="1817"/>
      <c r="E96" s="1513">
        <f t="shared" si="9"/>
        <v>0</v>
      </c>
      <c r="F96" s="1905">
        <f t="shared" si="6"/>
        <v>0</v>
      </c>
      <c r="G96" s="1766">
        <f t="shared" si="10"/>
        <v>0</v>
      </c>
    </row>
    <row r="97" spans="1:7" x14ac:dyDescent="0.25">
      <c r="A97" s="1626"/>
      <c r="B97" s="1640"/>
      <c r="C97" s="1627"/>
      <c r="D97" s="1817"/>
      <c r="E97" s="1513">
        <f t="shared" si="9"/>
        <v>0</v>
      </c>
      <c r="F97" s="1905">
        <f t="shared" si="6"/>
        <v>0</v>
      </c>
      <c r="G97" s="1766">
        <f t="shared" si="10"/>
        <v>0</v>
      </c>
    </row>
    <row r="98" spans="1:7" x14ac:dyDescent="0.25">
      <c r="A98" s="1626"/>
      <c r="B98" s="1640"/>
      <c r="C98" s="1627"/>
      <c r="D98" s="1817"/>
      <c r="E98" s="1513">
        <f t="shared" si="9"/>
        <v>0</v>
      </c>
      <c r="F98" s="1905">
        <f t="shared" si="6"/>
        <v>0</v>
      </c>
      <c r="G98" s="1766">
        <f t="shared" si="10"/>
        <v>0</v>
      </c>
    </row>
    <row r="99" spans="1:7" x14ac:dyDescent="0.25">
      <c r="A99" s="1626"/>
      <c r="B99" s="1640"/>
      <c r="C99" s="1627"/>
      <c r="D99" s="1817"/>
      <c r="E99" s="1513">
        <f t="shared" ref="E99" si="11">IF(D99&lt;=25000,D99,IF(D99&gt;25000,25000,0))</f>
        <v>0</v>
      </c>
      <c r="F99" s="1905">
        <f t="shared" si="6"/>
        <v>0</v>
      </c>
      <c r="G99" s="1766">
        <f t="shared" ref="G99" si="12">IF(F99=0,0,D99-F99)</f>
        <v>0</v>
      </c>
    </row>
    <row r="100" spans="1:7" x14ac:dyDescent="0.25">
      <c r="A100" s="1626"/>
      <c r="B100" s="1640"/>
      <c r="C100" s="1627"/>
      <c r="D100" s="1817"/>
      <c r="E100" s="1513">
        <f t="shared" ref="E100:E112" si="13">IF(D100&lt;=25000,D100,IF(D100&gt;25000,25000,0))</f>
        <v>0</v>
      </c>
      <c r="F100" s="1905">
        <f t="shared" si="6"/>
        <v>0</v>
      </c>
      <c r="G100" s="1766">
        <f t="shared" ref="G100:G112" si="14">IF(F100=0,0,D100-F100)</f>
        <v>0</v>
      </c>
    </row>
    <row r="101" spans="1:7" x14ac:dyDescent="0.25">
      <c r="A101" s="1626"/>
      <c r="B101" s="1640"/>
      <c r="C101" s="1627"/>
      <c r="D101" s="1817"/>
      <c r="E101" s="1513">
        <f t="shared" si="13"/>
        <v>0</v>
      </c>
      <c r="F101" s="1905">
        <f t="shared" si="6"/>
        <v>0</v>
      </c>
      <c r="G101" s="1766">
        <f t="shared" si="14"/>
        <v>0</v>
      </c>
    </row>
    <row r="102" spans="1:7" x14ac:dyDescent="0.25">
      <c r="A102" s="1626"/>
      <c r="B102" s="1640"/>
      <c r="C102" s="1627"/>
      <c r="D102" s="1817"/>
      <c r="E102" s="1513">
        <f t="shared" si="13"/>
        <v>0</v>
      </c>
      <c r="F102" s="1905">
        <f t="shared" si="6"/>
        <v>0</v>
      </c>
      <c r="G102" s="1766">
        <f t="shared" si="14"/>
        <v>0</v>
      </c>
    </row>
    <row r="103" spans="1:7" x14ac:dyDescent="0.25">
      <c r="A103" s="1626"/>
      <c r="B103" s="1640"/>
      <c r="C103" s="1627"/>
      <c r="D103" s="1817"/>
      <c r="E103" s="1513">
        <f t="shared" si="13"/>
        <v>0</v>
      </c>
      <c r="F103" s="1905">
        <f t="shared" si="6"/>
        <v>0</v>
      </c>
      <c r="G103" s="1766">
        <f t="shared" si="14"/>
        <v>0</v>
      </c>
    </row>
    <row r="104" spans="1:7" x14ac:dyDescent="0.25">
      <c r="A104" s="1626"/>
      <c r="B104" s="1640"/>
      <c r="C104" s="1627"/>
      <c r="D104" s="1817"/>
      <c r="E104" s="1513">
        <f t="shared" si="13"/>
        <v>0</v>
      </c>
      <c r="F104" s="1905">
        <f t="shared" si="6"/>
        <v>0</v>
      </c>
      <c r="G104" s="1766">
        <f t="shared" si="14"/>
        <v>0</v>
      </c>
    </row>
    <row r="105" spans="1:7" x14ac:dyDescent="0.25">
      <c r="A105" s="1626"/>
      <c r="B105" s="1640"/>
      <c r="C105" s="1627"/>
      <c r="D105" s="1817"/>
      <c r="E105" s="1513">
        <f t="shared" si="13"/>
        <v>0</v>
      </c>
      <c r="F105" s="1905">
        <f t="shared" si="6"/>
        <v>0</v>
      </c>
      <c r="G105" s="1766">
        <f t="shared" si="14"/>
        <v>0</v>
      </c>
    </row>
    <row r="106" spans="1:7" x14ac:dyDescent="0.25">
      <c r="A106" s="1626"/>
      <c r="B106" s="1640"/>
      <c r="C106" s="1627"/>
      <c r="D106" s="1817"/>
      <c r="E106" s="1513">
        <f t="shared" si="13"/>
        <v>0</v>
      </c>
      <c r="F106" s="1905">
        <f t="shared" si="6"/>
        <v>0</v>
      </c>
      <c r="G106" s="1766">
        <f t="shared" si="14"/>
        <v>0</v>
      </c>
    </row>
    <row r="107" spans="1:7" x14ac:dyDescent="0.25">
      <c r="A107" s="1626"/>
      <c r="B107" s="1640"/>
      <c r="C107" s="1627"/>
      <c r="D107" s="1817"/>
      <c r="E107" s="1513">
        <f t="shared" si="13"/>
        <v>0</v>
      </c>
      <c r="F107" s="1905">
        <f t="shared" si="6"/>
        <v>0</v>
      </c>
      <c r="G107" s="1766">
        <f t="shared" si="14"/>
        <v>0</v>
      </c>
    </row>
    <row r="108" spans="1:7" x14ac:dyDescent="0.25">
      <c r="A108" s="1626"/>
      <c r="B108" s="1640"/>
      <c r="C108" s="1627"/>
      <c r="D108" s="1817"/>
      <c r="E108" s="1513">
        <f t="shared" si="13"/>
        <v>0</v>
      </c>
      <c r="F108" s="1905">
        <f t="shared" si="6"/>
        <v>0</v>
      </c>
      <c r="G108" s="1766">
        <f t="shared" si="14"/>
        <v>0</v>
      </c>
    </row>
    <row r="109" spans="1:7" x14ac:dyDescent="0.25">
      <c r="A109" s="1626"/>
      <c r="B109" s="1640"/>
      <c r="C109" s="1627"/>
      <c r="D109" s="1817"/>
      <c r="E109" s="1513">
        <f t="shared" si="13"/>
        <v>0</v>
      </c>
      <c r="F109" s="1905">
        <f t="shared" si="6"/>
        <v>0</v>
      </c>
      <c r="G109" s="1766">
        <f t="shared" si="14"/>
        <v>0</v>
      </c>
    </row>
    <row r="110" spans="1:7" x14ac:dyDescent="0.25">
      <c r="A110" s="1626"/>
      <c r="B110" s="1640"/>
      <c r="C110" s="1627"/>
      <c r="D110" s="1817"/>
      <c r="E110" s="1513">
        <f t="shared" si="13"/>
        <v>0</v>
      </c>
      <c r="F110" s="1905">
        <f t="shared" si="6"/>
        <v>0</v>
      </c>
      <c r="G110" s="1766">
        <f t="shared" si="14"/>
        <v>0</v>
      </c>
    </row>
    <row r="111" spans="1:7" x14ac:dyDescent="0.25">
      <c r="A111" s="1626"/>
      <c r="B111" s="1640"/>
      <c r="C111" s="1627"/>
      <c r="D111" s="1817"/>
      <c r="E111" s="1513">
        <f t="shared" si="13"/>
        <v>0</v>
      </c>
      <c r="F111" s="1905">
        <f t="shared" si="6"/>
        <v>0</v>
      </c>
      <c r="G111" s="1766">
        <f t="shared" si="14"/>
        <v>0</v>
      </c>
    </row>
    <row r="112" spans="1:7" x14ac:dyDescent="0.25">
      <c r="A112" s="1626"/>
      <c r="B112" s="1640"/>
      <c r="C112" s="1627"/>
      <c r="D112" s="1817"/>
      <c r="E112" s="1513">
        <f t="shared" si="13"/>
        <v>0</v>
      </c>
      <c r="F112" s="1905">
        <f t="shared" si="6"/>
        <v>0</v>
      </c>
      <c r="G112" s="1766">
        <f t="shared" si="14"/>
        <v>0</v>
      </c>
    </row>
    <row r="113" spans="1:7" x14ac:dyDescent="0.25">
      <c r="A113" s="1626"/>
      <c r="B113" s="1640"/>
      <c r="C113" s="1627"/>
      <c r="D113" s="1817"/>
      <c r="E113" s="1513">
        <f t="shared" ref="E113:E125" si="15">IF(D113&lt;=25000,D113,IF(D113&gt;25000,25000,0))</f>
        <v>0</v>
      </c>
      <c r="F113" s="1905">
        <f t="shared" si="6"/>
        <v>0</v>
      </c>
      <c r="G113" s="1766">
        <f t="shared" ref="G113:G125" si="16">IF(F113=0,0,D113-F113)</f>
        <v>0</v>
      </c>
    </row>
    <row r="114" spans="1:7" x14ac:dyDescent="0.25">
      <c r="A114" s="1626"/>
      <c r="B114" s="1640"/>
      <c r="C114" s="1627"/>
      <c r="D114" s="1817"/>
      <c r="E114" s="1513">
        <f t="shared" si="15"/>
        <v>0</v>
      </c>
      <c r="F114" s="1905">
        <f t="shared" si="6"/>
        <v>0</v>
      </c>
      <c r="G114" s="1766">
        <f t="shared" si="16"/>
        <v>0</v>
      </c>
    </row>
    <row r="115" spans="1:7" x14ac:dyDescent="0.25">
      <c r="A115" s="1626"/>
      <c r="B115" s="1640"/>
      <c r="C115" s="1627"/>
      <c r="D115" s="1817"/>
      <c r="E115" s="1513">
        <f t="shared" si="15"/>
        <v>0</v>
      </c>
      <c r="F115" s="1905">
        <f t="shared" si="6"/>
        <v>0</v>
      </c>
      <c r="G115" s="1766">
        <f t="shared" si="16"/>
        <v>0</v>
      </c>
    </row>
    <row r="116" spans="1:7" x14ac:dyDescent="0.25">
      <c r="A116" s="1626"/>
      <c r="B116" s="1640"/>
      <c r="C116" s="1627"/>
      <c r="D116" s="1817"/>
      <c r="E116" s="1513">
        <f t="shared" si="15"/>
        <v>0</v>
      </c>
      <c r="F116" s="1905">
        <f t="shared" si="6"/>
        <v>0</v>
      </c>
      <c r="G116" s="1766">
        <f t="shared" si="16"/>
        <v>0</v>
      </c>
    </row>
    <row r="117" spans="1:7" x14ac:dyDescent="0.25">
      <c r="A117" s="1626"/>
      <c r="B117" s="1640"/>
      <c r="C117" s="1627"/>
      <c r="D117" s="1817"/>
      <c r="E117" s="1513">
        <f t="shared" si="15"/>
        <v>0</v>
      </c>
      <c r="F117" s="1905">
        <f t="shared" si="6"/>
        <v>0</v>
      </c>
      <c r="G117" s="1766">
        <f t="shared" si="16"/>
        <v>0</v>
      </c>
    </row>
    <row r="118" spans="1:7" x14ac:dyDescent="0.25">
      <c r="A118" s="1626"/>
      <c r="B118" s="1640"/>
      <c r="C118" s="1627"/>
      <c r="D118" s="1817"/>
      <c r="E118" s="1513">
        <f t="shared" si="15"/>
        <v>0</v>
      </c>
      <c r="F118" s="1905">
        <f t="shared" si="6"/>
        <v>0</v>
      </c>
      <c r="G118" s="1766">
        <f t="shared" si="16"/>
        <v>0</v>
      </c>
    </row>
    <row r="119" spans="1:7" x14ac:dyDescent="0.25">
      <c r="A119" s="1626"/>
      <c r="B119" s="1640"/>
      <c r="C119" s="1627"/>
      <c r="D119" s="1817"/>
      <c r="E119" s="1513">
        <f t="shared" si="15"/>
        <v>0</v>
      </c>
      <c r="F119" s="1905">
        <f t="shared" si="6"/>
        <v>0</v>
      </c>
      <c r="G119" s="1766">
        <f t="shared" si="16"/>
        <v>0</v>
      </c>
    </row>
    <row r="120" spans="1:7" x14ac:dyDescent="0.25">
      <c r="A120" s="1626"/>
      <c r="B120" s="1640"/>
      <c r="C120" s="1627"/>
      <c r="D120" s="1817"/>
      <c r="E120" s="1513">
        <f t="shared" si="15"/>
        <v>0</v>
      </c>
      <c r="F120" s="1905">
        <f t="shared" si="6"/>
        <v>0</v>
      </c>
      <c r="G120" s="1766">
        <f t="shared" si="16"/>
        <v>0</v>
      </c>
    </row>
    <row r="121" spans="1:7" x14ac:dyDescent="0.25">
      <c r="A121" s="1626"/>
      <c r="B121" s="1640"/>
      <c r="C121" s="1627"/>
      <c r="D121" s="1817"/>
      <c r="E121" s="1513">
        <f t="shared" si="15"/>
        <v>0</v>
      </c>
      <c r="F121" s="1905">
        <f t="shared" si="6"/>
        <v>0</v>
      </c>
      <c r="G121" s="1766">
        <f t="shared" si="16"/>
        <v>0</v>
      </c>
    </row>
    <row r="122" spans="1:7" x14ac:dyDescent="0.25">
      <c r="A122" s="1626"/>
      <c r="B122" s="1640"/>
      <c r="C122" s="1627"/>
      <c r="D122" s="1817"/>
      <c r="E122" s="1513">
        <f t="shared" si="15"/>
        <v>0</v>
      </c>
      <c r="F122" s="1905">
        <f t="shared" si="6"/>
        <v>0</v>
      </c>
      <c r="G122" s="1766">
        <f t="shared" si="16"/>
        <v>0</v>
      </c>
    </row>
    <row r="123" spans="1:7" x14ac:dyDescent="0.25">
      <c r="A123" s="1626"/>
      <c r="B123" s="1640"/>
      <c r="C123" s="1627"/>
      <c r="D123" s="1817"/>
      <c r="E123" s="1513">
        <f t="shared" si="15"/>
        <v>0</v>
      </c>
      <c r="F123" s="1905">
        <f t="shared" si="6"/>
        <v>0</v>
      </c>
      <c r="G123" s="1766">
        <f t="shared" si="16"/>
        <v>0</v>
      </c>
    </row>
    <row r="124" spans="1:7" x14ac:dyDescent="0.25">
      <c r="A124" s="1626"/>
      <c r="B124" s="1640"/>
      <c r="C124" s="1627"/>
      <c r="D124" s="1817"/>
      <c r="E124" s="1513">
        <f t="shared" si="15"/>
        <v>0</v>
      </c>
      <c r="F124" s="1905">
        <f t="shared" si="6"/>
        <v>0</v>
      </c>
      <c r="G124" s="1766">
        <f t="shared" si="16"/>
        <v>0</v>
      </c>
    </row>
    <row r="125" spans="1:7" x14ac:dyDescent="0.25">
      <c r="A125" s="1626"/>
      <c r="B125" s="1640"/>
      <c r="C125" s="1627"/>
      <c r="D125" s="1817"/>
      <c r="E125" s="1513">
        <f t="shared" si="15"/>
        <v>0</v>
      </c>
      <c r="F125" s="1905">
        <f t="shared" si="6"/>
        <v>0</v>
      </c>
      <c r="G125" s="1766">
        <f t="shared" si="16"/>
        <v>0</v>
      </c>
    </row>
    <row r="126" spans="1:7" x14ac:dyDescent="0.25">
      <c r="A126" s="1626"/>
      <c r="B126" s="1640"/>
      <c r="C126" s="1627"/>
      <c r="D126" s="1817"/>
      <c r="E126" s="1513">
        <f t="shared" ref="E126:E134" si="17">IF(D126&lt;=25000,D126,IF(D126&gt;25000,25000,0))</f>
        <v>0</v>
      </c>
      <c r="F126" s="1905">
        <f t="shared" si="6"/>
        <v>0</v>
      </c>
      <c r="G126" s="1766">
        <f t="shared" ref="G126:G134" si="18">IF(F126=0,0,D126-F126)</f>
        <v>0</v>
      </c>
    </row>
    <row r="127" spans="1:7" x14ac:dyDescent="0.25">
      <c r="A127" s="1626"/>
      <c r="B127" s="1640"/>
      <c r="C127" s="1627"/>
      <c r="D127" s="1817"/>
      <c r="E127" s="1513">
        <f t="shared" si="17"/>
        <v>0</v>
      </c>
      <c r="F127" s="1905">
        <f t="shared" si="6"/>
        <v>0</v>
      </c>
      <c r="G127" s="1766">
        <f t="shared" si="18"/>
        <v>0</v>
      </c>
    </row>
    <row r="128" spans="1:7" x14ac:dyDescent="0.25">
      <c r="A128" s="1626"/>
      <c r="B128" s="1640"/>
      <c r="C128" s="1627"/>
      <c r="D128" s="1817"/>
      <c r="E128" s="1513">
        <f t="shared" si="17"/>
        <v>0</v>
      </c>
      <c r="F128" s="1905">
        <f t="shared" si="6"/>
        <v>0</v>
      </c>
      <c r="G128" s="1766">
        <f t="shared" si="18"/>
        <v>0</v>
      </c>
    </row>
    <row r="129" spans="1:7" x14ac:dyDescent="0.25">
      <c r="A129" s="1626"/>
      <c r="B129" s="1640"/>
      <c r="C129" s="1627"/>
      <c r="D129" s="1817"/>
      <c r="E129" s="1513">
        <f t="shared" si="17"/>
        <v>0</v>
      </c>
      <c r="F129" s="1905">
        <f t="shared" si="6"/>
        <v>0</v>
      </c>
      <c r="G129" s="1766">
        <f t="shared" si="18"/>
        <v>0</v>
      </c>
    </row>
    <row r="130" spans="1:7" x14ac:dyDescent="0.25">
      <c r="A130" s="1626"/>
      <c r="B130" s="1640"/>
      <c r="C130" s="1627"/>
      <c r="D130" s="1817"/>
      <c r="E130" s="1513">
        <f t="shared" si="17"/>
        <v>0</v>
      </c>
      <c r="F130" s="1905">
        <f t="shared" si="6"/>
        <v>0</v>
      </c>
      <c r="G130" s="1766">
        <f t="shared" si="18"/>
        <v>0</v>
      </c>
    </row>
    <row r="131" spans="1:7" x14ac:dyDescent="0.25">
      <c r="A131" s="1626"/>
      <c r="B131" s="1810"/>
      <c r="C131" s="1627"/>
      <c r="D131" s="1817"/>
      <c r="E131" s="1513">
        <f t="shared" si="17"/>
        <v>0</v>
      </c>
      <c r="F131" s="1905">
        <f t="shared" si="6"/>
        <v>0</v>
      </c>
      <c r="G131" s="1766">
        <f t="shared" si="18"/>
        <v>0</v>
      </c>
    </row>
    <row r="132" spans="1:7" x14ac:dyDescent="0.25">
      <c r="A132" s="1626"/>
      <c r="B132" s="1810"/>
      <c r="C132" s="1627"/>
      <c r="D132" s="1817"/>
      <c r="E132" s="1513">
        <f t="shared" si="17"/>
        <v>0</v>
      </c>
      <c r="F132" s="1905">
        <f t="shared" si="6"/>
        <v>0</v>
      </c>
      <c r="G132" s="1766">
        <f t="shared" si="18"/>
        <v>0</v>
      </c>
    </row>
    <row r="133" spans="1:7" x14ac:dyDescent="0.25">
      <c r="A133" s="1626"/>
      <c r="B133" s="1640"/>
      <c r="C133" s="1627"/>
      <c r="D133" s="1817"/>
      <c r="E133" s="1513">
        <f t="shared" si="17"/>
        <v>0</v>
      </c>
      <c r="F133" s="1905">
        <f t="shared" si="6"/>
        <v>0</v>
      </c>
      <c r="G133" s="1766">
        <f t="shared" si="18"/>
        <v>0</v>
      </c>
    </row>
    <row r="134" spans="1:7" x14ac:dyDescent="0.25">
      <c r="A134" s="1626"/>
      <c r="B134" s="1640"/>
      <c r="C134" s="1627"/>
      <c r="D134" s="1817"/>
      <c r="E134" s="1513">
        <f t="shared" si="17"/>
        <v>0</v>
      </c>
      <c r="F134" s="1905">
        <f t="shared" si="6"/>
        <v>0</v>
      </c>
      <c r="G134" s="1766">
        <f t="shared" si="18"/>
        <v>0</v>
      </c>
    </row>
    <row r="135" spans="1:7" x14ac:dyDescent="0.25">
      <c r="A135" s="1626"/>
      <c r="B135" s="1640"/>
      <c r="C135" s="1627"/>
      <c r="D135" s="1817"/>
      <c r="E135" s="1513">
        <f t="shared" ref="E135:E139" si="19">IF(D135&lt;=25000,D135,IF(D135&gt;25000,25000,0))</f>
        <v>0</v>
      </c>
      <c r="F135" s="1905">
        <f t="shared" si="6"/>
        <v>0</v>
      </c>
      <c r="G135" s="1766">
        <f t="shared" ref="G135:G139" si="20">IF(F135=0,0,D135-F135)</f>
        <v>0</v>
      </c>
    </row>
    <row r="136" spans="1:7" x14ac:dyDescent="0.25">
      <c r="A136" s="1626"/>
      <c r="B136" s="1640"/>
      <c r="C136" s="1627"/>
      <c r="D136" s="1817"/>
      <c r="E136" s="1513">
        <f t="shared" si="19"/>
        <v>0</v>
      </c>
      <c r="F136" s="1905">
        <f t="shared" si="6"/>
        <v>0</v>
      </c>
      <c r="G136" s="1766">
        <f t="shared" si="20"/>
        <v>0</v>
      </c>
    </row>
    <row r="137" spans="1:7" x14ac:dyDescent="0.25">
      <c r="A137" s="1626"/>
      <c r="B137" s="1640"/>
      <c r="C137" s="1627"/>
      <c r="D137" s="1817"/>
      <c r="E137" s="1513">
        <f t="shared" si="19"/>
        <v>0</v>
      </c>
      <c r="F137" s="1905">
        <f t="shared" si="6"/>
        <v>0</v>
      </c>
      <c r="G137" s="1766">
        <f t="shared" si="20"/>
        <v>0</v>
      </c>
    </row>
    <row r="138" spans="1:7" x14ac:dyDescent="0.25">
      <c r="A138" s="1626"/>
      <c r="B138" s="1640"/>
      <c r="C138" s="1627"/>
      <c r="D138" s="1817"/>
      <c r="E138" s="1513">
        <f t="shared" si="19"/>
        <v>0</v>
      </c>
      <c r="F138" s="1905">
        <f t="shared" si="6"/>
        <v>0</v>
      </c>
      <c r="G138" s="1766">
        <f t="shared" si="20"/>
        <v>0</v>
      </c>
    </row>
    <row r="139" spans="1:7" x14ac:dyDescent="0.25">
      <c r="A139" s="1626"/>
      <c r="B139" s="1640"/>
      <c r="C139" s="1627"/>
      <c r="D139" s="1817"/>
      <c r="E139" s="1513">
        <f t="shared" si="19"/>
        <v>0</v>
      </c>
      <c r="F139" s="1905">
        <f t="shared" si="6"/>
        <v>0</v>
      </c>
      <c r="G139" s="1766">
        <f t="shared" si="20"/>
        <v>0</v>
      </c>
    </row>
    <row r="140" spans="1:7" x14ac:dyDescent="0.25">
      <c r="A140" s="1626"/>
      <c r="B140" s="1639"/>
      <c r="C140" s="1627"/>
      <c r="D140" s="1817"/>
      <c r="E140" s="1513">
        <f t="shared" si="2"/>
        <v>0</v>
      </c>
      <c r="F140" s="1905">
        <f t="shared" si="6"/>
        <v>0</v>
      </c>
      <c r="G140" s="1766">
        <f t="shared" si="3"/>
        <v>0</v>
      </c>
    </row>
    <row r="141" spans="1:7" x14ac:dyDescent="0.25">
      <c r="A141" s="1769" t="s">
        <v>156</v>
      </c>
      <c r="B141" s="1770"/>
      <c r="C141" s="1771"/>
      <c r="D141" s="1767">
        <f>SUM(D17:D140)</f>
        <v>582808</v>
      </c>
      <c r="E141" s="1514">
        <f t="shared" si="0"/>
        <v>25000</v>
      </c>
      <c r="F141" s="1906">
        <f>SUM(F17:F140)</f>
        <v>100000</v>
      </c>
      <c r="G141" s="1768">
        <f>SUM(G17:G140)</f>
        <v>314263</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sheetPr>
  <dimension ref="A1:I46"/>
  <sheetViews>
    <sheetView showGridLines="0" defaultGridColor="0" view="pageBreakPreview" colorId="8" zoomScaleNormal="110" zoomScaleSheetLayoutView="100" workbookViewId="0">
      <selection activeCell="D28" sqref="D28"/>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07" t="s">
        <v>1115</v>
      </c>
      <c r="B1" s="1608"/>
      <c r="C1" s="1609"/>
    </row>
    <row r="2" spans="1:9" x14ac:dyDescent="0.2">
      <c r="A2" s="925" t="s">
        <v>1116</v>
      </c>
      <c r="B2" s="926"/>
      <c r="C2" s="926"/>
      <c r="D2" s="926"/>
      <c r="E2" s="927"/>
      <c r="F2" s="927"/>
      <c r="G2" s="928"/>
    </row>
    <row r="3" spans="1:9" ht="12" customHeight="1" x14ac:dyDescent="0.2">
      <c r="A3" s="929" t="s">
        <v>1356</v>
      </c>
      <c r="B3" s="930"/>
      <c r="C3" s="930"/>
      <c r="D3" s="930"/>
      <c r="E3" s="931"/>
      <c r="F3" s="931"/>
      <c r="G3" s="932"/>
    </row>
    <row r="4" spans="1:9" x14ac:dyDescent="0.2">
      <c r="A4" s="933" t="s">
        <v>755</v>
      </c>
      <c r="B4" s="934"/>
      <c r="C4" s="934"/>
      <c r="D4" s="934"/>
      <c r="E4" s="935"/>
      <c r="F4" s="936"/>
      <c r="G4" s="937"/>
      <c r="H4" s="252"/>
      <c r="I4" s="252"/>
    </row>
    <row r="5" spans="1:9" s="343" customFormat="1" ht="57" customHeight="1" x14ac:dyDescent="0.2">
      <c r="A5" s="2354" t="s">
        <v>1679</v>
      </c>
      <c r="B5" s="2355"/>
      <c r="C5" s="2355"/>
      <c r="D5" s="2355"/>
      <c r="E5" s="2355"/>
      <c r="F5" s="2355"/>
      <c r="G5" s="2356"/>
      <c r="H5" s="252"/>
      <c r="I5" s="586"/>
    </row>
    <row r="6" spans="1:9" s="643" customFormat="1" x14ac:dyDescent="0.2">
      <c r="A6" s="1610" t="s">
        <v>205</v>
      </c>
      <c r="B6" s="939"/>
      <c r="C6" s="939"/>
      <c r="D6" s="940"/>
      <c r="E6" s="940"/>
      <c r="F6" s="941"/>
      <c r="G6" s="942"/>
      <c r="H6" s="162"/>
      <c r="I6" s="162"/>
    </row>
    <row r="7" spans="1:9" s="643" customFormat="1" ht="12" customHeight="1" x14ac:dyDescent="0.2">
      <c r="A7" s="943" t="s">
        <v>908</v>
      </c>
      <c r="B7" s="944"/>
      <c r="C7" s="944"/>
      <c r="D7" s="945"/>
      <c r="E7" s="946"/>
      <c r="F7" s="947"/>
      <c r="G7" s="948"/>
      <c r="H7" s="162"/>
      <c r="I7" s="162"/>
    </row>
    <row r="8" spans="1:9" s="643" customFormat="1" ht="12" customHeight="1" x14ac:dyDescent="0.2">
      <c r="A8" s="943" t="s">
        <v>129</v>
      </c>
      <c r="B8" s="944"/>
      <c r="C8" s="944"/>
      <c r="D8" s="945"/>
      <c r="E8" s="946"/>
      <c r="F8" s="947"/>
      <c r="G8" s="948"/>
      <c r="H8" s="162"/>
      <c r="I8" s="162"/>
    </row>
    <row r="9" spans="1:9" s="643" customFormat="1" ht="12" customHeight="1" x14ac:dyDescent="0.2">
      <c r="A9" s="943" t="s">
        <v>130</v>
      </c>
      <c r="B9" s="944"/>
      <c r="C9" s="944"/>
      <c r="D9" s="945"/>
      <c r="E9" s="946"/>
      <c r="F9" s="947"/>
      <c r="G9" s="948"/>
      <c r="H9" s="162"/>
      <c r="I9" s="162"/>
    </row>
    <row r="10" spans="1:9" s="643" customFormat="1" ht="12" customHeight="1" x14ac:dyDescent="0.2">
      <c r="A10" s="943" t="s">
        <v>1933</v>
      </c>
      <c r="B10" s="944"/>
      <c r="C10" s="949"/>
      <c r="D10" s="945"/>
      <c r="E10" s="946">
        <v>28154</v>
      </c>
      <c r="F10" s="947"/>
      <c r="G10" s="948"/>
      <c r="H10" s="162"/>
      <c r="I10" s="162"/>
    </row>
    <row r="11" spans="1:9" s="643" customFormat="1" ht="22.5" customHeight="1" x14ac:dyDescent="0.2">
      <c r="A11" s="2359" t="s">
        <v>1977</v>
      </c>
      <c r="B11" s="2360"/>
      <c r="C11" s="2360"/>
      <c r="D11" s="2361"/>
      <c r="E11" s="950">
        <v>9281</v>
      </c>
      <c r="F11" s="947"/>
      <c r="G11" s="951"/>
      <c r="H11" s="162"/>
      <c r="I11" s="162"/>
    </row>
    <row r="12" spans="1:9" s="643" customFormat="1" ht="12" customHeight="1" x14ac:dyDescent="0.2">
      <c r="A12" s="943" t="s">
        <v>131</v>
      </c>
      <c r="B12" s="944"/>
      <c r="C12" s="944"/>
      <c r="D12" s="945"/>
      <c r="E12" s="946"/>
      <c r="F12" s="947"/>
      <c r="G12" s="948"/>
      <c r="H12" s="162"/>
      <c r="I12" s="162"/>
    </row>
    <row r="13" spans="1:9" s="643" customFormat="1" ht="12" customHeight="1" x14ac:dyDescent="0.2">
      <c r="A13" s="943" t="s">
        <v>203</v>
      </c>
      <c r="B13" s="944"/>
      <c r="C13" s="944"/>
      <c r="D13" s="945"/>
      <c r="E13" s="946"/>
      <c r="F13" s="947"/>
      <c r="G13" s="948"/>
      <c r="H13" s="162"/>
      <c r="I13" s="162"/>
    </row>
    <row r="14" spans="1:9" s="643" customFormat="1" ht="12" customHeight="1" x14ac:dyDescent="0.2">
      <c r="A14" s="943" t="s">
        <v>204</v>
      </c>
      <c r="B14" s="944"/>
      <c r="C14" s="944"/>
      <c r="D14" s="945"/>
      <c r="E14" s="946"/>
      <c r="F14" s="952"/>
      <c r="G14" s="953"/>
      <c r="H14" s="162"/>
      <c r="I14" s="162"/>
    </row>
    <row r="15" spans="1:9" s="643" customFormat="1" ht="12" customHeight="1" x14ac:dyDescent="0.2">
      <c r="A15" s="938" t="s">
        <v>371</v>
      </c>
      <c r="B15" s="940"/>
      <c r="C15" s="940"/>
      <c r="D15" s="940"/>
      <c r="E15" s="940"/>
      <c r="F15" s="940"/>
      <c r="G15" s="954"/>
      <c r="H15" s="162"/>
      <c r="I15" s="162"/>
    </row>
    <row r="16" spans="1:9" s="643" customFormat="1" x14ac:dyDescent="0.2">
      <c r="A16" s="955" t="s">
        <v>1376</v>
      </c>
      <c r="B16" s="956"/>
      <c r="C16" s="957"/>
      <c r="D16" s="936"/>
      <c r="E16" s="931"/>
      <c r="F16" s="931"/>
      <c r="G16" s="932"/>
      <c r="H16" s="162"/>
      <c r="I16" s="162"/>
    </row>
    <row r="17" spans="1:9" s="643" customFormat="1" ht="12" customHeight="1" x14ac:dyDescent="0.2">
      <c r="A17" s="958"/>
      <c r="B17" s="959"/>
      <c r="C17" s="329"/>
      <c r="D17" s="1611" t="s">
        <v>532</v>
      </c>
      <c r="E17" s="1612"/>
      <c r="F17" s="1611" t="s">
        <v>433</v>
      </c>
      <c r="G17" s="1613"/>
      <c r="H17" s="162"/>
      <c r="I17" s="162"/>
    </row>
    <row r="18" spans="1:9" s="259" customFormat="1" ht="11.25" x14ac:dyDescent="0.2">
      <c r="A18" s="961"/>
      <c r="C18" s="962" t="s">
        <v>434</v>
      </c>
      <c r="D18" s="1614" t="s">
        <v>435</v>
      </c>
      <c r="E18" s="1614" t="s">
        <v>53</v>
      </c>
      <c r="F18" s="1614" t="s">
        <v>435</v>
      </c>
      <c r="G18" s="1614" t="s">
        <v>53</v>
      </c>
      <c r="H18" s="178"/>
      <c r="I18" s="178"/>
    </row>
    <row r="19" spans="1:9" s="643" customFormat="1" ht="12" customHeight="1" x14ac:dyDescent="0.2">
      <c r="A19" s="963" t="s">
        <v>456</v>
      </c>
      <c r="B19" s="964"/>
      <c r="C19" s="965" t="s">
        <v>570</v>
      </c>
      <c r="D19" s="1772"/>
      <c r="E19" s="1773">
        <f>'Expenditures 15-22'!K33-SUM('Expenditures 15-22'!G33,'Expenditures 15-22'!I33)+'Expenditures 15-22'!D229</f>
        <v>2398433</v>
      </c>
      <c r="F19" s="1772"/>
      <c r="G19" s="1774">
        <f>'Expenditures 15-22'!K33-SUM('Expenditures 15-22'!G33,'Expenditures 15-22'!I33)+'Expenditures 15-22'!D229</f>
        <v>2398433</v>
      </c>
      <c r="H19" s="960"/>
      <c r="I19" s="162"/>
    </row>
    <row r="20" spans="1:9" s="643" customFormat="1" ht="12" customHeight="1" x14ac:dyDescent="0.2">
      <c r="A20" s="963" t="s">
        <v>54</v>
      </c>
      <c r="B20" s="964"/>
      <c r="C20" s="966"/>
      <c r="D20" s="1775"/>
      <c r="E20" s="1775"/>
      <c r="F20" s="1775"/>
      <c r="G20" s="1776"/>
      <c r="H20" s="960"/>
      <c r="I20" s="162"/>
    </row>
    <row r="21" spans="1:9" s="643" customFormat="1" ht="12" customHeight="1" x14ac:dyDescent="0.2">
      <c r="A21" s="967" t="s">
        <v>401</v>
      </c>
      <c r="B21" s="968"/>
      <c r="C21" s="966">
        <v>2100</v>
      </c>
      <c r="D21" s="1775"/>
      <c r="E21" s="1777">
        <f>'Expenditures 15-22'!K42-SUM('Expenditures 15-22'!G42,'Expenditures 15-22'!I42)+'Expenditures 15-22'!K120-SUM('Expenditures 15-22'!G120,'Expenditures 15-22'!I120)+'Expenditures 15-22'!K180-SUM('Expenditures 15-22'!G180,'Expenditures 15-22'!I180)+'Expenditures 15-22'!D238</f>
        <v>67124</v>
      </c>
      <c r="F21" s="1775"/>
      <c r="G21" s="1778">
        <f>'Expenditures 15-22'!K42-SUM('Expenditures 15-22'!G42,'Expenditures 15-22'!I42)+'Expenditures 15-22'!K120-SUM('Expenditures 15-22'!G120,'Expenditures 15-22'!I120)+'Expenditures 15-22'!K180-SUM('Expenditures 15-22'!G180,'Expenditures 15-22'!I180)+'Expenditures 15-22'!D238</f>
        <v>67124</v>
      </c>
      <c r="H21" s="960"/>
      <c r="I21" s="162"/>
    </row>
    <row r="22" spans="1:9" s="643" customFormat="1" ht="12" customHeight="1" x14ac:dyDescent="0.2">
      <c r="A22" s="967" t="s">
        <v>564</v>
      </c>
      <c r="B22" s="968"/>
      <c r="C22" s="966">
        <v>2200</v>
      </c>
      <c r="D22" s="1775"/>
      <c r="E22" s="1777">
        <f>'Expenditures 15-22'!K47-SUM('Expenditures 15-22'!G47,'Expenditures 15-22'!I47)+'Expenditures 15-22'!D243</f>
        <v>6042</v>
      </c>
      <c r="F22" s="1775"/>
      <c r="G22" s="1778">
        <f>'Expenditures 15-22'!K47-SUM('Expenditures 15-22'!G47,'Expenditures 15-22'!I47)+'Expenditures 15-22'!D243</f>
        <v>6042</v>
      </c>
      <c r="H22" s="960"/>
      <c r="I22" s="162"/>
    </row>
    <row r="23" spans="1:9" s="643" customFormat="1" ht="12" customHeight="1" x14ac:dyDescent="0.2">
      <c r="A23" s="967" t="s">
        <v>565</v>
      </c>
      <c r="B23" s="968"/>
      <c r="C23" s="966">
        <v>2300</v>
      </c>
      <c r="D23" s="1775"/>
      <c r="E23" s="1777">
        <f>'Expenditures 15-22'!K53-SUM('Expenditures 15-22'!G53,'Expenditures 15-22'!I53)+'Expenditures 15-22'!D257+'Expenditures 15-22'!K330-SUM('Expenditures 15-22'!G330,'Expenditures 15-22'!I330)</f>
        <v>258276</v>
      </c>
      <c r="F23" s="1775"/>
      <c r="G23" s="1777">
        <f>'Expenditures 15-22'!K53-SUM('Expenditures 15-22'!G53,'Expenditures 15-22'!I53)+'Expenditures 15-22'!D257+'Expenditures 15-22'!K330-SUM('Expenditures 15-22'!G330,'Expenditures 15-22'!I330)</f>
        <v>258276</v>
      </c>
      <c r="H23" s="960"/>
      <c r="I23" s="162"/>
    </row>
    <row r="24" spans="1:9" s="643" customFormat="1" ht="12" customHeight="1" x14ac:dyDescent="0.2">
      <c r="A24" s="967" t="s">
        <v>566</v>
      </c>
      <c r="B24" s="968"/>
      <c r="C24" s="966">
        <v>2400</v>
      </c>
      <c r="D24" s="1775"/>
      <c r="E24" s="1777">
        <f>'Expenditures 15-22'!K57-SUM('Expenditures 15-22'!G57,'Expenditures 15-22'!I57)+'Expenditures 15-22'!D261</f>
        <v>162230</v>
      </c>
      <c r="F24" s="1775"/>
      <c r="G24" s="1778">
        <f>'Expenditures 15-22'!K57-SUM('Expenditures 15-22'!G57,'Expenditures 15-22'!I57)+'Expenditures 15-22'!D261</f>
        <v>162230</v>
      </c>
      <c r="H24" s="960"/>
      <c r="I24" s="162"/>
    </row>
    <row r="25" spans="1:9" s="643" customFormat="1" ht="12" customHeight="1" x14ac:dyDescent="0.2">
      <c r="A25" s="963" t="s">
        <v>567</v>
      </c>
      <c r="B25" s="969"/>
      <c r="C25" s="966"/>
      <c r="D25" s="1775"/>
      <c r="E25" s="1777"/>
      <c r="F25" s="1775"/>
      <c r="G25" s="1778"/>
      <c r="H25" s="960"/>
      <c r="I25" s="162"/>
    </row>
    <row r="26" spans="1:9" s="643" customFormat="1" ht="12" customHeight="1" x14ac:dyDescent="0.2">
      <c r="A26" s="967" t="s">
        <v>515</v>
      </c>
      <c r="B26" s="970"/>
      <c r="C26" s="966">
        <v>2510</v>
      </c>
      <c r="D26" s="1777">
        <f>'Expenditures 15-22'!K59-SUM('Expenditures 15-22'!G59,'Expenditures 15-22'!I59)+'Expenditures 15-22'!D263-E7</f>
        <v>0</v>
      </c>
      <c r="E26" s="1777">
        <f>'Expenditures 15-22'!K122-SUM('Expenditures 15-22'!G122,'Expenditures 15-22'!I122)+E7</f>
        <v>0</v>
      </c>
      <c r="F26" s="1777">
        <f>'Expenditures 15-22'!K59-SUM('Expenditures 15-22'!G59,'Expenditures 15-22'!I59)+'Expenditures 15-22'!D263-E7</f>
        <v>0</v>
      </c>
      <c r="G26" s="1778">
        <f>'Expenditures 15-22'!K122-SUM('Expenditures 15-22'!G122,'Expenditures 15-22'!I122)+E7</f>
        <v>0</v>
      </c>
      <c r="H26" s="960"/>
      <c r="I26" s="162"/>
    </row>
    <row r="27" spans="1:9" s="643" customFormat="1" ht="12" customHeight="1" x14ac:dyDescent="0.2">
      <c r="A27" s="967" t="s">
        <v>463</v>
      </c>
      <c r="B27" s="970"/>
      <c r="C27" s="966">
        <v>2520</v>
      </c>
      <c r="D27" s="1777">
        <f>'Expenditures 15-22'!K60-SUM('Expenditures 15-22'!G60,'Expenditures 15-22'!I60)+'Expenditures 15-22'!D264-E8</f>
        <v>85761</v>
      </c>
      <c r="E27" s="1777">
        <f>E8</f>
        <v>0</v>
      </c>
      <c r="F27" s="1777">
        <f>'Expenditures 15-22'!K60-SUM('Expenditures 15-22'!G60,'Expenditures 15-22'!I60)+'Expenditures 15-22'!D264-E8</f>
        <v>85761</v>
      </c>
      <c r="G27" s="1778">
        <f>E8</f>
        <v>0</v>
      </c>
      <c r="H27" s="960"/>
      <c r="I27" s="162"/>
    </row>
    <row r="28" spans="1:9" s="643" customFormat="1" ht="12" customHeight="1" x14ac:dyDescent="0.2">
      <c r="A28" s="967" t="s">
        <v>516</v>
      </c>
      <c r="B28" s="970"/>
      <c r="C28" s="966">
        <v>2540</v>
      </c>
      <c r="D28" s="1779"/>
      <c r="E28" s="1777">
        <f>'Expenditures 15-22'!K61-SUM('Expenditures 15-22'!G61,'Expenditures 15-22'!I61)+'Expenditures 15-22'!K124-SUM('Expenditures 15-22'!G124,'Expenditures 15-22'!I124)+'Expenditures 15-22'!D266</f>
        <v>212711</v>
      </c>
      <c r="F28" s="1779">
        <f>'Expenditures 15-22'!K61-SUM('Expenditures 15-22'!G61,'Expenditures 15-22'!I61)+'Expenditures 15-22'!K124-SUM('Expenditures 15-22'!G124,'Expenditures 15-22'!I124)+'Expenditures 15-22'!D266-E9</f>
        <v>212711</v>
      </c>
      <c r="G28" s="1778">
        <f>E9</f>
        <v>0</v>
      </c>
      <c r="H28" s="960"/>
      <c r="I28" s="162"/>
    </row>
    <row r="29" spans="1:9" ht="12" customHeight="1" x14ac:dyDescent="0.2">
      <c r="A29" s="967" t="s">
        <v>517</v>
      </c>
      <c r="B29" s="970"/>
      <c r="C29" s="966">
        <v>2550</v>
      </c>
      <c r="D29" s="1775"/>
      <c r="E29" s="1777">
        <f>'Expenditures 15-22'!K62-SUM('Expenditures 15-22'!G62,'Expenditures 15-22'!I62)+'Expenditures 15-22'!K125-SUM('Expenditures 15-22'!G125,'Expenditures 15-22'!I125)+'Expenditures 15-22'!K182-SUM('Expenditures 15-22'!G182,'Expenditures 15-22'!I182)+'Expenditures 15-22'!D267</f>
        <v>226811</v>
      </c>
      <c r="F29" s="1775"/>
      <c r="G29" s="1778">
        <f>'Expenditures 15-22'!K62-SUM('Expenditures 15-22'!G62,'Expenditures 15-22'!I62)+'Expenditures 15-22'!K125-SUM('Expenditures 15-22'!G125,'Expenditures 15-22'!I125)+'Expenditures 15-22'!K182-SUM('Expenditures 15-22'!G182,'Expenditures 15-22'!I182)+'Expenditures 15-22'!D267</f>
        <v>226811</v>
      </c>
      <c r="H29" s="958"/>
    </row>
    <row r="30" spans="1:9" ht="12" customHeight="1" x14ac:dyDescent="0.2">
      <c r="A30" s="967" t="s">
        <v>100</v>
      </c>
      <c r="B30" s="970"/>
      <c r="C30" s="966">
        <v>2560</v>
      </c>
      <c r="D30" s="1775"/>
      <c r="E30" s="1777">
        <f>'Expenditures 15-22'!K63-SUM('Expenditures 15-22'!G63,'Expenditures 15-22'!I63)+'Expenditures 15-22'!D268-E10</f>
        <v>38987</v>
      </c>
      <c r="F30" s="1775"/>
      <c r="G30" s="1777">
        <f>'Expenditures 15-22'!K63-SUM('Expenditures 15-22'!G63,'Expenditures 15-22'!I63)+'Expenditures 15-22'!D268-E10</f>
        <v>38987</v>
      </c>
    </row>
    <row r="31" spans="1:9" ht="12" customHeight="1" x14ac:dyDescent="0.2">
      <c r="A31" s="967" t="s">
        <v>101</v>
      </c>
      <c r="B31" s="970"/>
      <c r="C31" s="966">
        <v>2570</v>
      </c>
      <c r="D31" s="1777">
        <f>'Expenditures 15-22'!K64-SUM('Expenditures 15-22'!G64,'Expenditures 15-22'!I64)+'Expenditures 15-22'!D269-E12</f>
        <v>0</v>
      </c>
      <c r="E31" s="1777">
        <f>E12</f>
        <v>0</v>
      </c>
      <c r="F31" s="1777">
        <f>'Expenditures 15-22'!K64-SUM('Expenditures 15-22'!G64,'Expenditures 15-22'!I64)+'Expenditures 15-22'!D269-E12</f>
        <v>0</v>
      </c>
      <c r="G31" s="1777">
        <f>E12</f>
        <v>0</v>
      </c>
    </row>
    <row r="32" spans="1:9" ht="12" customHeight="1" x14ac:dyDescent="0.2">
      <c r="A32" s="963" t="s">
        <v>518</v>
      </c>
      <c r="B32" s="969"/>
      <c r="C32" s="966"/>
      <c r="D32" s="1775"/>
      <c r="E32" s="1775"/>
      <c r="F32" s="1775"/>
      <c r="G32" s="1775"/>
    </row>
    <row r="33" spans="1:7" ht="12" customHeight="1" x14ac:dyDescent="0.2">
      <c r="A33" s="967" t="s">
        <v>519</v>
      </c>
      <c r="B33" s="970"/>
      <c r="C33" s="966">
        <v>2610</v>
      </c>
      <c r="D33" s="1775"/>
      <c r="E33" s="1777">
        <f>'Expenditures 15-22'!K67-SUM('Expenditures 15-22'!G67,'Expenditures 15-22'!I67)+'Expenditures 15-22'!D272</f>
        <v>0</v>
      </c>
      <c r="F33" s="1775"/>
      <c r="G33" s="1777">
        <f>'Expenditures 15-22'!K67-SUM('Expenditures 15-22'!G67,'Expenditures 15-22'!I67)+'Expenditures 15-22'!D272</f>
        <v>0</v>
      </c>
    </row>
    <row r="34" spans="1:7" ht="12" customHeight="1" x14ac:dyDescent="0.2">
      <c r="A34" s="967" t="s">
        <v>520</v>
      </c>
      <c r="B34" s="970"/>
      <c r="C34" s="966">
        <v>2620</v>
      </c>
      <c r="D34" s="1775"/>
      <c r="E34" s="1777">
        <f>'Expenditures 15-22'!K68-SUM('Expenditures 15-22'!G68,'Expenditures 15-22'!I68)+'Expenditures 15-22'!D273</f>
        <v>0</v>
      </c>
      <c r="F34" s="1775"/>
      <c r="G34" s="1777">
        <f>'Expenditures 15-22'!K68-SUM('Expenditures 15-22'!G68,'Expenditures 15-22'!I68)+'Expenditures 15-22'!D273</f>
        <v>0</v>
      </c>
    </row>
    <row r="35" spans="1:7" ht="12" customHeight="1" x14ac:dyDescent="0.2">
      <c r="A35" s="967" t="s">
        <v>1061</v>
      </c>
      <c r="B35" s="970"/>
      <c r="C35" s="966">
        <v>2630</v>
      </c>
      <c r="D35" s="1775"/>
      <c r="E35" s="1777">
        <f>'Expenditures 15-22'!K69-SUM('Expenditures 15-22'!G69,'Expenditures 15-22'!I69)+'Expenditures 15-22'!D274</f>
        <v>0</v>
      </c>
      <c r="F35" s="1775"/>
      <c r="G35" s="1777">
        <f>'Expenditures 15-22'!K69-SUM('Expenditures 15-22'!G69,'Expenditures 15-22'!I69)+'Expenditures 15-22'!D274</f>
        <v>0</v>
      </c>
    </row>
    <row r="36" spans="1:7" ht="12" customHeight="1" x14ac:dyDescent="0.2">
      <c r="A36" s="967" t="s">
        <v>403</v>
      </c>
      <c r="B36" s="970"/>
      <c r="C36" s="966">
        <v>2640</v>
      </c>
      <c r="D36" s="1777">
        <f>'Expenditures 15-22'!K70-SUM('Expenditures 15-22'!G70,'Expenditures 15-22'!I70)+'Expenditures 15-22'!D275-E13</f>
        <v>0</v>
      </c>
      <c r="E36" s="1777">
        <f>E13</f>
        <v>0</v>
      </c>
      <c r="F36" s="1777">
        <f>'Expenditures 15-22'!K70-SUM('Expenditures 15-22'!G70,'Expenditures 15-22'!I70)+'Expenditures 15-22'!D275-E13</f>
        <v>0</v>
      </c>
      <c r="G36" s="1777">
        <f>E13</f>
        <v>0</v>
      </c>
    </row>
    <row r="37" spans="1:7" ht="12" customHeight="1" x14ac:dyDescent="0.2">
      <c r="A37" s="967" t="s">
        <v>404</v>
      </c>
      <c r="B37" s="970"/>
      <c r="C37" s="966">
        <v>2660</v>
      </c>
      <c r="D37" s="1777">
        <f>'Expenditures 15-22'!K71-SUM('Expenditures 15-22'!G71,'Expenditures 15-22'!I71)+'Expenditures 15-22'!D276-E14</f>
        <v>0</v>
      </c>
      <c r="E37" s="1777">
        <f>E14</f>
        <v>0</v>
      </c>
      <c r="F37" s="1777">
        <f>'Expenditures 15-22'!K71-SUM('Expenditures 15-22'!G71,'Expenditures 15-22'!I71)+'Expenditures 15-22'!D276-E14</f>
        <v>0</v>
      </c>
      <c r="G37" s="1777">
        <f>E14</f>
        <v>0</v>
      </c>
    </row>
    <row r="38" spans="1:7" ht="12" customHeight="1" x14ac:dyDescent="0.2">
      <c r="A38" s="963" t="s">
        <v>521</v>
      </c>
      <c r="B38" s="964"/>
      <c r="C38" s="966">
        <v>2900</v>
      </c>
      <c r="D38" s="1775"/>
      <c r="E38" s="1777">
        <f>'Expenditures 15-22'!K73-SUM('Expenditures 15-22'!G73,'Expenditures 15-22'!I73)+'Expenditures 15-22'!K128-SUM('Expenditures 15-22'!G128,'Expenditures 15-22'!I128)+'Expenditures 15-22'!K183-SUM('Expenditures 15-22'!G183,'Expenditures 15-22'!I183)+'Expenditures 15-22'!D278</f>
        <v>0</v>
      </c>
      <c r="F38" s="1775"/>
      <c r="G38" s="177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63" t="s">
        <v>449</v>
      </c>
      <c r="B39" s="964"/>
      <c r="C39" s="966">
        <v>3000</v>
      </c>
      <c r="D39" s="1775"/>
      <c r="E39" s="1777">
        <f>'Expenditures 15-22'!K75-SUM('Expenditures 15-22'!G75,'Expenditures 15-22'!I75)+'Expenditures 15-22'!K130-SUM('Expenditures 15-22'!G130,'Expenditures 15-22'!I130)+'Expenditures 15-22'!K185-SUM('Expenditures 15-22'!G185,'Expenditures 15-22'!I185)+'Expenditures 15-22'!D280</f>
        <v>0</v>
      </c>
      <c r="F39" s="1775"/>
      <c r="G39" s="1777">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63" t="s">
        <v>1823</v>
      </c>
      <c r="B40" s="964"/>
      <c r="C40" s="966"/>
      <c r="D40" s="1775"/>
      <c r="E40" s="1779">
        <f>-'Contracts Paid in CY 29'!G141</f>
        <v>-314263</v>
      </c>
      <c r="F40" s="1775"/>
      <c r="G40" s="1779">
        <f>-'Contracts Paid in CY 29'!G141</f>
        <v>-314263</v>
      </c>
    </row>
    <row r="41" spans="1:7" ht="12" customHeight="1" x14ac:dyDescent="0.2">
      <c r="A41" s="971" t="s">
        <v>156</v>
      </c>
      <c r="B41" s="972"/>
      <c r="C41" s="973"/>
      <c r="D41" s="1779">
        <f>SUM(D19:D39)</f>
        <v>85761</v>
      </c>
      <c r="E41" s="1779">
        <f>SUM(E19:E40)</f>
        <v>3056351</v>
      </c>
      <c r="F41" s="1779">
        <f>SUM(F19:F39)</f>
        <v>298472</v>
      </c>
      <c r="G41" s="1779">
        <f>SUM(G19:G40)</f>
        <v>2843640</v>
      </c>
    </row>
    <row r="42" spans="1:7" x14ac:dyDescent="0.2">
      <c r="A42" s="960"/>
      <c r="B42" s="162"/>
      <c r="C42" s="974"/>
      <c r="D42" s="2357" t="s">
        <v>522</v>
      </c>
      <c r="E42" s="2358"/>
      <c r="F42" s="975" t="s">
        <v>523</v>
      </c>
      <c r="G42" s="976"/>
    </row>
    <row r="43" spans="1:7" ht="12" customHeight="1" x14ac:dyDescent="0.2">
      <c r="A43" s="960"/>
      <c r="B43" s="162"/>
      <c r="C43" s="974"/>
      <c r="D43" s="1780" t="s">
        <v>473</v>
      </c>
      <c r="E43" s="1781">
        <f>D41</f>
        <v>85761</v>
      </c>
      <c r="F43" s="1780" t="s">
        <v>473</v>
      </c>
      <c r="G43" s="1781">
        <f>F41</f>
        <v>298472</v>
      </c>
    </row>
    <row r="44" spans="1:7" ht="12" customHeight="1" x14ac:dyDescent="0.2">
      <c r="A44" s="960"/>
      <c r="B44" s="162"/>
      <c r="C44" s="974"/>
      <c r="D44" s="1780" t="s">
        <v>474</v>
      </c>
      <c r="E44" s="1781">
        <f>E41</f>
        <v>3056351</v>
      </c>
      <c r="F44" s="1780" t="s">
        <v>474</v>
      </c>
      <c r="G44" s="1781">
        <f>G41</f>
        <v>2843640</v>
      </c>
    </row>
    <row r="45" spans="1:7" ht="12" customHeight="1" x14ac:dyDescent="0.2">
      <c r="A45" s="960"/>
      <c r="B45" s="162"/>
      <c r="C45" s="162"/>
      <c r="D45" s="1782" t="s">
        <v>1006</v>
      </c>
      <c r="E45" s="1783">
        <f>(E43/E44)</f>
        <v>2.8059931598170499E-2</v>
      </c>
      <c r="F45" s="1782" t="s">
        <v>1006</v>
      </c>
      <c r="G45" s="1783">
        <f>(G43/G44)</f>
        <v>0.10496124685262551</v>
      </c>
    </row>
    <row r="46" spans="1:7" x14ac:dyDescent="0.2">
      <c r="A46" s="977"/>
      <c r="B46" s="978"/>
      <c r="C46" s="978"/>
      <c r="D46" s="979"/>
      <c r="E46" s="980"/>
      <c r="F46" s="979"/>
      <c r="G46" s="980"/>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4"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tabColor rgb="FF00B050"/>
    <pageSetUpPr fitToPage="1"/>
  </sheetPr>
  <dimension ref="A1:L97"/>
  <sheetViews>
    <sheetView showGridLines="0" view="pageBreakPreview" zoomScaleNormal="110" zoomScaleSheetLayoutView="100" workbookViewId="0">
      <pane ySplit="4" topLeftCell="A5" activePane="bottomLeft" state="frozen"/>
      <selection activeCell="AF22" sqref="AF22"/>
      <selection pane="bottomLeft" activeCell="F31" sqref="F31"/>
    </sheetView>
  </sheetViews>
  <sheetFormatPr defaultColWidth="9.140625" defaultRowHeight="12.75" x14ac:dyDescent="0.2"/>
  <cols>
    <col min="1" max="1" width="54.5703125" style="1849" customWidth="1"/>
    <col min="2" max="2" width="4.140625" style="1849" customWidth="1"/>
    <col min="3" max="4" width="9.85546875" style="1820" customWidth="1"/>
    <col min="5" max="5" width="12.5703125" style="1850" customWidth="1"/>
    <col min="6" max="6" width="67.5703125" style="1820" customWidth="1"/>
    <col min="7" max="7" width="9.140625" style="1820" customWidth="1"/>
    <col min="8" max="8" width="7.5703125" style="1851" bestFit="1" customWidth="1"/>
    <col min="9" max="9" width="4" style="1851" bestFit="1" customWidth="1"/>
    <col min="10" max="10" width="2.7109375" style="1851" bestFit="1" customWidth="1"/>
    <col min="11" max="11" width="9" style="1851" customWidth="1"/>
    <col min="12" max="16384" width="9.140625" style="1820"/>
  </cols>
  <sheetData>
    <row r="1" spans="1:10" x14ac:dyDescent="0.2">
      <c r="A1" s="2376" t="s">
        <v>1379</v>
      </c>
      <c r="B1" s="2376"/>
      <c r="C1" s="2376"/>
      <c r="D1" s="2376"/>
      <c r="E1" s="2376"/>
      <c r="F1" s="2376"/>
    </row>
    <row r="2" spans="1:10" x14ac:dyDescent="0.2">
      <c r="A2" s="1860" t="s">
        <v>1912</v>
      </c>
      <c r="B2" s="1821"/>
      <c r="C2" s="1860"/>
      <c r="D2" s="1821"/>
      <c r="E2" s="1821"/>
      <c r="F2" s="1822"/>
    </row>
    <row r="3" spans="1:10" x14ac:dyDescent="0.2">
      <c r="A3" s="1860" t="s">
        <v>1978</v>
      </c>
      <c r="B3" s="1821"/>
      <c r="C3" s="1860"/>
      <c r="D3" s="1821"/>
      <c r="E3" s="1821"/>
      <c r="F3" s="1822"/>
    </row>
    <row r="4" spans="1:10" ht="3.75" customHeight="1" x14ac:dyDescent="0.2">
      <c r="A4" s="1821"/>
      <c r="B4" s="1821"/>
      <c r="C4" s="1821"/>
      <c r="D4" s="1821"/>
      <c r="E4" s="1821"/>
      <c r="F4" s="1822"/>
    </row>
    <row r="5" spans="1:10" ht="15" x14ac:dyDescent="0.25">
      <c r="A5" s="2377" t="s">
        <v>1546</v>
      </c>
      <c r="B5" s="2378"/>
      <c r="C5" s="2379"/>
      <c r="D5" s="2379"/>
      <c r="E5" s="2379"/>
      <c r="F5" s="2379"/>
    </row>
    <row r="6" spans="1:10" ht="12" customHeight="1" x14ac:dyDescent="0.25">
      <c r="A6" s="1823"/>
      <c r="B6" s="1824"/>
      <c r="C6" s="2380" t="str">
        <f>COVER!A17</f>
        <v>RILEY CCSD 18</v>
      </c>
      <c r="D6" s="2380"/>
      <c r="E6" s="2380"/>
      <c r="F6" s="1825"/>
    </row>
    <row r="7" spans="1:10" ht="11.25" customHeight="1" thickBot="1" x14ac:dyDescent="0.3">
      <c r="A7" s="1823"/>
      <c r="B7" s="1824"/>
      <c r="C7" s="2381">
        <f>COVER!A13</f>
        <v>44063018004</v>
      </c>
      <c r="D7" s="2381"/>
      <c r="E7" s="2381"/>
      <c r="F7" s="1825"/>
    </row>
    <row r="8" spans="1:10" ht="25.5" customHeight="1" thickBot="1" x14ac:dyDescent="0.25">
      <c r="A8" s="1866" t="s">
        <v>1908</v>
      </c>
      <c r="B8" s="1826"/>
      <c r="C8" s="1862" t="s">
        <v>1681</v>
      </c>
      <c r="D8" s="1861" t="s">
        <v>1682</v>
      </c>
      <c r="E8" s="1863" t="s">
        <v>1380</v>
      </c>
      <c r="F8" s="1861" t="s">
        <v>1683</v>
      </c>
      <c r="H8" s="1827" t="b">
        <v>0</v>
      </c>
    </row>
    <row r="9" spans="1:10" ht="15.75" customHeight="1" x14ac:dyDescent="0.2">
      <c r="A9" s="1828" t="s">
        <v>1542</v>
      </c>
      <c r="B9" s="1829"/>
      <c r="C9" s="1830"/>
      <c r="D9" s="1830"/>
      <c r="E9" s="1831"/>
      <c r="F9" s="1832"/>
    </row>
    <row r="10" spans="1:10" ht="27.75" customHeight="1" x14ac:dyDescent="0.2">
      <c r="A10" s="1833" t="s">
        <v>1680</v>
      </c>
      <c r="B10" s="1834"/>
      <c r="C10" s="1835"/>
      <c r="D10" s="1835"/>
      <c r="E10" s="1864" t="s">
        <v>1381</v>
      </c>
      <c r="F10" s="1865" t="s">
        <v>1382</v>
      </c>
    </row>
    <row r="11" spans="1:10" ht="12" customHeight="1" x14ac:dyDescent="0.2">
      <c r="A11" s="1836" t="s">
        <v>1383</v>
      </c>
      <c r="B11" s="1837"/>
      <c r="C11" s="1838" t="s">
        <v>2072</v>
      </c>
      <c r="D11" s="1838" t="s">
        <v>2072</v>
      </c>
      <c r="E11" s="1839"/>
      <c r="F11" s="1840" t="s">
        <v>2082</v>
      </c>
      <c r="H11" s="1851">
        <f>IF(C11="X",5,0)</f>
        <v>5</v>
      </c>
      <c r="I11" s="1851">
        <f>IF(D11="X",5,0)</f>
        <v>5</v>
      </c>
      <c r="J11" s="1851">
        <f>IF(E11="X",5,0)</f>
        <v>0</v>
      </c>
    </row>
    <row r="12" spans="1:10" ht="12" customHeight="1" x14ac:dyDescent="0.2">
      <c r="A12" s="1836" t="s">
        <v>1384</v>
      </c>
      <c r="B12" s="1837"/>
      <c r="C12" s="1838"/>
      <c r="D12" s="1838"/>
      <c r="E12" s="1841"/>
      <c r="F12" s="1840"/>
      <c r="H12" s="1851">
        <f t="shared" ref="H12:H33" si="0">IF(C12="X",5,0)</f>
        <v>0</v>
      </c>
      <c r="I12" s="1851">
        <f t="shared" ref="I12:I33" si="1">IF(D12="X",5,0)</f>
        <v>0</v>
      </c>
      <c r="J12" s="1851">
        <f t="shared" ref="J12:J33" si="2">IF(E12="X",5,0)</f>
        <v>0</v>
      </c>
    </row>
    <row r="13" spans="1:10" ht="12" customHeight="1" x14ac:dyDescent="0.2">
      <c r="A13" s="1836" t="s">
        <v>1385</v>
      </c>
      <c r="B13" s="1837"/>
      <c r="C13" s="1838" t="s">
        <v>2072</v>
      </c>
      <c r="D13" s="1838" t="s">
        <v>2072</v>
      </c>
      <c r="E13" s="1841"/>
      <c r="F13" s="1840" t="s">
        <v>2083</v>
      </c>
      <c r="H13" s="1851">
        <f t="shared" si="0"/>
        <v>5</v>
      </c>
      <c r="I13" s="1851">
        <f t="shared" si="1"/>
        <v>5</v>
      </c>
      <c r="J13" s="1851">
        <f t="shared" si="2"/>
        <v>0</v>
      </c>
    </row>
    <row r="14" spans="1:10" ht="12" customHeight="1" x14ac:dyDescent="0.2">
      <c r="A14" s="1836" t="s">
        <v>1386</v>
      </c>
      <c r="B14" s="1837"/>
      <c r="C14" s="1838"/>
      <c r="D14" s="1838"/>
      <c r="E14" s="1841"/>
      <c r="F14" s="1840"/>
      <c r="H14" s="1851">
        <f t="shared" si="0"/>
        <v>0</v>
      </c>
      <c r="I14" s="1851">
        <f t="shared" si="1"/>
        <v>0</v>
      </c>
      <c r="J14" s="1851">
        <f t="shared" si="2"/>
        <v>0</v>
      </c>
    </row>
    <row r="15" spans="1:10" ht="12" customHeight="1" x14ac:dyDescent="0.2">
      <c r="A15" s="1836" t="s">
        <v>1387</v>
      </c>
      <c r="B15" s="1837"/>
      <c r="C15" s="1838" t="s">
        <v>2072</v>
      </c>
      <c r="D15" s="1838" t="s">
        <v>2072</v>
      </c>
      <c r="E15" s="1841"/>
      <c r="F15" s="1840" t="s">
        <v>2084</v>
      </c>
      <c r="H15" s="1851">
        <f t="shared" si="0"/>
        <v>5</v>
      </c>
      <c r="I15" s="1851">
        <f t="shared" si="1"/>
        <v>5</v>
      </c>
      <c r="J15" s="1851">
        <f t="shared" si="2"/>
        <v>0</v>
      </c>
    </row>
    <row r="16" spans="1:10" ht="12" customHeight="1" x14ac:dyDescent="0.2">
      <c r="A16" s="1836" t="s">
        <v>1388</v>
      </c>
      <c r="B16" s="1837"/>
      <c r="C16" s="1838" t="s">
        <v>2072</v>
      </c>
      <c r="D16" s="1838" t="s">
        <v>2072</v>
      </c>
      <c r="E16" s="1841"/>
      <c r="F16" s="1840" t="s">
        <v>2085</v>
      </c>
      <c r="H16" s="1851">
        <f t="shared" si="0"/>
        <v>5</v>
      </c>
      <c r="I16" s="1851">
        <f t="shared" si="1"/>
        <v>5</v>
      </c>
      <c r="J16" s="1851">
        <f t="shared" si="2"/>
        <v>0</v>
      </c>
    </row>
    <row r="17" spans="1:12" ht="12" customHeight="1" x14ac:dyDescent="0.2">
      <c r="A17" s="1836" t="s">
        <v>1389</v>
      </c>
      <c r="B17" s="1837"/>
      <c r="C17" s="1838"/>
      <c r="D17" s="1838"/>
      <c r="E17" s="1841"/>
      <c r="F17" s="1840"/>
      <c r="H17" s="1851">
        <f t="shared" si="0"/>
        <v>0</v>
      </c>
      <c r="I17" s="1851">
        <f t="shared" si="1"/>
        <v>0</v>
      </c>
      <c r="J17" s="1851">
        <f t="shared" si="2"/>
        <v>0</v>
      </c>
    </row>
    <row r="18" spans="1:12" ht="12" customHeight="1" x14ac:dyDescent="0.2">
      <c r="A18" s="1836" t="s">
        <v>1390</v>
      </c>
      <c r="B18" s="1837"/>
      <c r="C18" s="1838"/>
      <c r="D18" s="1838"/>
      <c r="E18" s="1841"/>
      <c r="F18" s="1840"/>
      <c r="H18" s="1851">
        <f t="shared" si="0"/>
        <v>0</v>
      </c>
      <c r="I18" s="1851">
        <f t="shared" si="1"/>
        <v>0</v>
      </c>
      <c r="J18" s="1851">
        <f t="shared" si="2"/>
        <v>0</v>
      </c>
    </row>
    <row r="19" spans="1:12" ht="12" customHeight="1" x14ac:dyDescent="0.2">
      <c r="A19" s="1836" t="s">
        <v>1527</v>
      </c>
      <c r="B19" s="1837"/>
      <c r="C19" s="1838" t="s">
        <v>2072</v>
      </c>
      <c r="D19" s="1838" t="s">
        <v>2072</v>
      </c>
      <c r="E19" s="1841"/>
      <c r="F19" s="1840" t="s">
        <v>2086</v>
      </c>
      <c r="H19" s="1851">
        <f t="shared" si="0"/>
        <v>5</v>
      </c>
      <c r="I19" s="1851">
        <f t="shared" si="1"/>
        <v>5</v>
      </c>
      <c r="J19" s="1851">
        <f t="shared" si="2"/>
        <v>0</v>
      </c>
    </row>
    <row r="20" spans="1:12" ht="12" customHeight="1" x14ac:dyDescent="0.2">
      <c r="A20" s="1836" t="s">
        <v>1528</v>
      </c>
      <c r="B20" s="1837"/>
      <c r="C20" s="1838"/>
      <c r="D20" s="1838"/>
      <c r="E20" s="1841"/>
      <c r="F20" s="1840"/>
      <c r="H20" s="1851">
        <f t="shared" si="0"/>
        <v>0</v>
      </c>
      <c r="I20" s="1851">
        <f t="shared" si="1"/>
        <v>0</v>
      </c>
      <c r="J20" s="1851">
        <f t="shared" si="2"/>
        <v>0</v>
      </c>
    </row>
    <row r="21" spans="1:12" ht="12" customHeight="1" x14ac:dyDescent="0.2">
      <c r="A21" s="1836" t="s">
        <v>1529</v>
      </c>
      <c r="B21" s="1837"/>
      <c r="C21" s="1838"/>
      <c r="D21" s="1838"/>
      <c r="E21" s="1841"/>
      <c r="F21" s="1840"/>
      <c r="H21" s="1851">
        <f t="shared" si="0"/>
        <v>0</v>
      </c>
      <c r="I21" s="1851">
        <f t="shared" si="1"/>
        <v>0</v>
      </c>
      <c r="J21" s="1851">
        <f t="shared" si="2"/>
        <v>0</v>
      </c>
    </row>
    <row r="22" spans="1:12" ht="12" customHeight="1" x14ac:dyDescent="0.2">
      <c r="A22" s="1836" t="s">
        <v>1530</v>
      </c>
      <c r="B22" s="1837"/>
      <c r="C22" s="1838"/>
      <c r="D22" s="1838"/>
      <c r="E22" s="1841"/>
      <c r="F22" s="1840"/>
      <c r="H22" s="1851">
        <f t="shared" si="0"/>
        <v>0</v>
      </c>
      <c r="I22" s="1851">
        <f t="shared" si="1"/>
        <v>0</v>
      </c>
      <c r="J22" s="1851">
        <f t="shared" si="2"/>
        <v>0</v>
      </c>
    </row>
    <row r="23" spans="1:12" ht="12" customHeight="1" x14ac:dyDescent="0.2">
      <c r="A23" s="1836" t="s">
        <v>1531</v>
      </c>
      <c r="B23" s="1837"/>
      <c r="C23" s="1838" t="s">
        <v>2072</v>
      </c>
      <c r="D23" s="1838" t="s">
        <v>2072</v>
      </c>
      <c r="E23" s="1841"/>
      <c r="F23" s="1840" t="s">
        <v>2087</v>
      </c>
      <c r="H23" s="1851">
        <f t="shared" si="0"/>
        <v>5</v>
      </c>
      <c r="I23" s="1851">
        <f t="shared" si="1"/>
        <v>5</v>
      </c>
      <c r="J23" s="1851">
        <f t="shared" si="2"/>
        <v>0</v>
      </c>
    </row>
    <row r="24" spans="1:12" ht="12" customHeight="1" x14ac:dyDescent="0.2">
      <c r="A24" s="1836" t="s">
        <v>1532</v>
      </c>
      <c r="B24" s="1837"/>
      <c r="C24" s="1838"/>
      <c r="D24" s="1838"/>
      <c r="E24" s="1841"/>
      <c r="F24" s="1840"/>
      <c r="H24" s="1851">
        <f t="shared" si="0"/>
        <v>0</v>
      </c>
      <c r="I24" s="1851">
        <f t="shared" si="1"/>
        <v>0</v>
      </c>
      <c r="J24" s="1851">
        <f t="shared" si="2"/>
        <v>0</v>
      </c>
    </row>
    <row r="25" spans="1:12" ht="12" customHeight="1" x14ac:dyDescent="0.2">
      <c r="A25" s="1836" t="s">
        <v>1533</v>
      </c>
      <c r="B25" s="1837"/>
      <c r="C25" s="1838" t="s">
        <v>2072</v>
      </c>
      <c r="D25" s="1838" t="s">
        <v>2072</v>
      </c>
      <c r="E25" s="1841"/>
      <c r="F25" s="1840" t="s">
        <v>2088</v>
      </c>
      <c r="H25" s="1851">
        <f t="shared" si="0"/>
        <v>5</v>
      </c>
      <c r="I25" s="1851">
        <f t="shared" si="1"/>
        <v>5</v>
      </c>
      <c r="J25" s="1851">
        <f t="shared" si="2"/>
        <v>0</v>
      </c>
    </row>
    <row r="26" spans="1:12" ht="12" customHeight="1" x14ac:dyDescent="0.2">
      <c r="A26" s="1836" t="s">
        <v>1534</v>
      </c>
      <c r="B26" s="1837"/>
      <c r="C26" s="1838" t="s">
        <v>2072</v>
      </c>
      <c r="D26" s="1838" t="s">
        <v>2072</v>
      </c>
      <c r="E26" s="1841"/>
      <c r="F26" s="1840" t="s">
        <v>2089</v>
      </c>
      <c r="H26" s="1851">
        <f t="shared" si="0"/>
        <v>5</v>
      </c>
      <c r="I26" s="1851">
        <f t="shared" si="1"/>
        <v>5</v>
      </c>
      <c r="J26" s="1851">
        <f t="shared" si="2"/>
        <v>0</v>
      </c>
    </row>
    <row r="27" spans="1:12" ht="18.75" x14ac:dyDescent="0.2">
      <c r="A27" s="1836" t="s">
        <v>1535</v>
      </c>
      <c r="B27" s="1837"/>
      <c r="C27" s="1838"/>
      <c r="D27" s="1838"/>
      <c r="E27" s="1841"/>
      <c r="F27" s="1840"/>
      <c r="H27" s="1851">
        <f t="shared" si="0"/>
        <v>0</v>
      </c>
      <c r="I27" s="1851">
        <f t="shared" si="1"/>
        <v>0</v>
      </c>
      <c r="J27" s="1851">
        <f t="shared" si="2"/>
        <v>0</v>
      </c>
    </row>
    <row r="28" spans="1:12" ht="12" customHeight="1" x14ac:dyDescent="0.2">
      <c r="A28" s="1836" t="s">
        <v>1536</v>
      </c>
      <c r="B28" s="1837"/>
      <c r="C28" s="1838"/>
      <c r="D28" s="1838"/>
      <c r="E28" s="1841"/>
      <c r="F28" s="1840"/>
      <c r="H28" s="1851">
        <f t="shared" si="0"/>
        <v>0</v>
      </c>
      <c r="I28" s="1851">
        <f t="shared" si="1"/>
        <v>0</v>
      </c>
      <c r="J28" s="1851">
        <f t="shared" si="2"/>
        <v>0</v>
      </c>
    </row>
    <row r="29" spans="1:12" ht="12" customHeight="1" x14ac:dyDescent="0.2">
      <c r="A29" s="1836" t="s">
        <v>1537</v>
      </c>
      <c r="B29" s="1837"/>
      <c r="C29" s="1838" t="s">
        <v>2072</v>
      </c>
      <c r="D29" s="1838" t="s">
        <v>2072</v>
      </c>
      <c r="E29" s="1841"/>
      <c r="F29" s="1840" t="s">
        <v>2090</v>
      </c>
      <c r="H29" s="1851">
        <f t="shared" si="0"/>
        <v>5</v>
      </c>
      <c r="I29" s="1851">
        <f t="shared" si="1"/>
        <v>5</v>
      </c>
      <c r="J29" s="1851">
        <f t="shared" si="2"/>
        <v>0</v>
      </c>
    </row>
    <row r="30" spans="1:12" ht="12" customHeight="1" x14ac:dyDescent="0.2">
      <c r="A30" s="1836" t="s">
        <v>1538</v>
      </c>
      <c r="B30" s="1837"/>
      <c r="C30" s="1838" t="s">
        <v>2072</v>
      </c>
      <c r="D30" s="1838" t="s">
        <v>2072</v>
      </c>
      <c r="E30" s="1841"/>
      <c r="F30" s="1840" t="s">
        <v>2091</v>
      </c>
      <c r="H30" s="1851">
        <f t="shared" si="0"/>
        <v>5</v>
      </c>
      <c r="I30" s="1851">
        <f t="shared" si="1"/>
        <v>5</v>
      </c>
      <c r="J30" s="1851">
        <f t="shared" si="2"/>
        <v>0</v>
      </c>
    </row>
    <row r="31" spans="1:12" ht="12" customHeight="1" x14ac:dyDescent="0.2">
      <c r="A31" s="1836" t="s">
        <v>1539</v>
      </c>
      <c r="B31" s="1837"/>
      <c r="C31" s="1838"/>
      <c r="D31" s="1838"/>
      <c r="E31" s="1841"/>
      <c r="F31" s="1840"/>
      <c r="H31" s="1851">
        <f t="shared" si="0"/>
        <v>0</v>
      </c>
      <c r="I31" s="1851">
        <f t="shared" si="1"/>
        <v>0</v>
      </c>
      <c r="J31" s="1851">
        <f t="shared" si="2"/>
        <v>0</v>
      </c>
      <c r="L31" s="1842"/>
    </row>
    <row r="32" spans="1:12" ht="12" customHeight="1" x14ac:dyDescent="0.2">
      <c r="A32" s="1836" t="s">
        <v>1540</v>
      </c>
      <c r="B32" s="1837"/>
      <c r="C32" s="1838"/>
      <c r="D32" s="1838"/>
      <c r="E32" s="1841"/>
      <c r="F32" s="1840"/>
      <c r="H32" s="1851">
        <f t="shared" si="0"/>
        <v>0</v>
      </c>
      <c r="I32" s="1851">
        <f t="shared" si="1"/>
        <v>0</v>
      </c>
      <c r="J32" s="1851">
        <f t="shared" si="2"/>
        <v>0</v>
      </c>
    </row>
    <row r="33" spans="1:11" ht="12" customHeight="1" x14ac:dyDescent="0.2">
      <c r="A33" s="1836" t="s">
        <v>1541</v>
      </c>
      <c r="B33" s="1837"/>
      <c r="C33" s="1838"/>
      <c r="D33" s="1838"/>
      <c r="E33" s="1841"/>
      <c r="F33" s="1840"/>
      <c r="H33" s="1851">
        <f t="shared" si="0"/>
        <v>0</v>
      </c>
      <c r="I33" s="1851">
        <f t="shared" si="1"/>
        <v>0</v>
      </c>
      <c r="J33" s="1851">
        <f t="shared" si="2"/>
        <v>0</v>
      </c>
    </row>
    <row r="34" spans="1:11" ht="12" customHeight="1" x14ac:dyDescent="0.25">
      <c r="A34" s="1843"/>
      <c r="B34" s="1843"/>
      <c r="C34" s="1843"/>
      <c r="D34" s="1843"/>
      <c r="E34" s="1843"/>
      <c r="F34" s="1843"/>
      <c r="H34" s="1851">
        <f>SUM(H11:H32)</f>
        <v>50</v>
      </c>
      <c r="I34" s="1851">
        <f>SUM(I11:I32)</f>
        <v>50</v>
      </c>
      <c r="J34" s="1851">
        <f>SUM(J11:J32)</f>
        <v>0</v>
      </c>
      <c r="K34" s="1851">
        <f>SUM(H34:J34)</f>
        <v>100</v>
      </c>
    </row>
    <row r="35" spans="1:11" ht="12" customHeight="1" x14ac:dyDescent="0.2">
      <c r="A35" s="1844" t="s">
        <v>1392</v>
      </c>
      <c r="B35" s="1845"/>
      <c r="C35" s="2382"/>
      <c r="D35" s="2382"/>
      <c r="E35" s="2382"/>
      <c r="F35" s="2383"/>
    </row>
    <row r="36" spans="1:11" ht="12" customHeight="1" x14ac:dyDescent="0.2">
      <c r="A36" s="2365"/>
      <c r="B36" s="2366"/>
      <c r="C36" s="2366"/>
      <c r="D36" s="2366"/>
      <c r="E36" s="2366"/>
      <c r="F36" s="2367"/>
    </row>
    <row r="37" spans="1:11" ht="12" customHeight="1" x14ac:dyDescent="0.2">
      <c r="A37" s="2365"/>
      <c r="B37" s="2366"/>
      <c r="C37" s="2366"/>
      <c r="D37" s="2366"/>
      <c r="E37" s="2366"/>
      <c r="F37" s="2367"/>
    </row>
    <row r="38" spans="1:11" ht="12" customHeight="1" x14ac:dyDescent="0.2">
      <c r="A38" s="2368"/>
      <c r="B38" s="2369"/>
      <c r="C38" s="2369"/>
      <c r="D38" s="2369"/>
      <c r="E38" s="2369"/>
      <c r="F38" s="2370"/>
    </row>
    <row r="39" spans="1:11" ht="4.5" hidden="1" customHeight="1" x14ac:dyDescent="0.2">
      <c r="A39" s="1846"/>
      <c r="B39" s="1846"/>
      <c r="C39" s="1846"/>
      <c r="D39" s="1846"/>
      <c r="E39" s="1846"/>
      <c r="F39" s="1846"/>
    </row>
    <row r="40" spans="1:11" s="1843" customFormat="1" ht="12" customHeight="1" x14ac:dyDescent="0.25">
      <c r="A40" s="1847" t="s">
        <v>1391</v>
      </c>
      <c r="B40" s="1848"/>
      <c r="C40" s="2371"/>
      <c r="D40" s="2371"/>
      <c r="E40" s="2371"/>
      <c r="F40" s="2372"/>
      <c r="H40" s="1852"/>
      <c r="I40" s="1852"/>
      <c r="J40" s="1852"/>
      <c r="K40" s="1852"/>
    </row>
    <row r="41" spans="1:11" s="1843" customFormat="1" ht="12" customHeight="1" x14ac:dyDescent="0.25">
      <c r="A41" s="2373"/>
      <c r="B41" s="2374"/>
      <c r="C41" s="2374"/>
      <c r="D41" s="2374"/>
      <c r="E41" s="2374"/>
      <c r="F41" s="2375"/>
      <c r="H41" s="1852"/>
      <c r="I41" s="1852"/>
      <c r="J41" s="1852"/>
      <c r="K41" s="1852"/>
    </row>
    <row r="42" spans="1:11" s="1843" customFormat="1" ht="12" customHeight="1" x14ac:dyDescent="0.25">
      <c r="A42" s="2373"/>
      <c r="B42" s="2374"/>
      <c r="C42" s="2374"/>
      <c r="D42" s="2374"/>
      <c r="E42" s="2374"/>
      <c r="F42" s="2375"/>
      <c r="H42" s="1852"/>
      <c r="I42" s="1852"/>
      <c r="J42" s="1852"/>
      <c r="K42" s="1852"/>
    </row>
    <row r="43" spans="1:11" s="1843" customFormat="1" ht="15" x14ac:dyDescent="0.25">
      <c r="A43" s="2362"/>
      <c r="B43" s="2363"/>
      <c r="C43" s="2363"/>
      <c r="D43" s="2363"/>
      <c r="E43" s="2363"/>
      <c r="F43" s="2364"/>
      <c r="H43" s="1852"/>
      <c r="I43" s="1852"/>
      <c r="J43" s="1852"/>
      <c r="K43" s="1852"/>
    </row>
    <row r="44" spans="1:11" s="1843" customFormat="1" ht="12" hidden="1" customHeight="1" x14ac:dyDescent="0.25">
      <c r="A44" s="2362"/>
      <c r="B44" s="2363"/>
      <c r="C44" s="2363"/>
      <c r="D44" s="2363"/>
      <c r="E44" s="2363"/>
      <c r="F44" s="2364"/>
      <c r="H44" s="1852"/>
      <c r="I44" s="1852"/>
      <c r="J44" s="1852"/>
      <c r="K44" s="1852"/>
    </row>
    <row r="45" spans="1:11" s="1843" customFormat="1" ht="12" customHeight="1" x14ac:dyDescent="0.25">
      <c r="H45" s="1852"/>
      <c r="I45" s="1852"/>
      <c r="J45" s="1852"/>
      <c r="K45" s="1852"/>
    </row>
    <row r="46" spans="1:11" s="1843" customFormat="1" ht="9.75" customHeight="1" x14ac:dyDescent="0.25">
      <c r="H46" s="1852"/>
      <c r="I46" s="1852"/>
      <c r="J46" s="1852"/>
      <c r="K46" s="1852"/>
    </row>
    <row r="47" spans="1:11" s="1843" customFormat="1" ht="13.5" customHeight="1" x14ac:dyDescent="0.25">
      <c r="H47" s="1852"/>
      <c r="I47" s="1852"/>
      <c r="J47" s="1852"/>
      <c r="K47" s="1852"/>
    </row>
    <row r="48" spans="1:11" s="1843" customFormat="1" ht="15" x14ac:dyDescent="0.25">
      <c r="H48" s="1852"/>
      <c r="I48" s="1852"/>
      <c r="J48" s="1852"/>
      <c r="K48" s="1852"/>
    </row>
    <row r="49" spans="1:11" s="1843" customFormat="1" ht="15" hidden="1" x14ac:dyDescent="0.25">
      <c r="A49" s="1843" t="b">
        <v>0</v>
      </c>
      <c r="H49" s="1852"/>
      <c r="I49" s="1852"/>
      <c r="J49" s="1852"/>
      <c r="K49" s="1852"/>
    </row>
    <row r="50" spans="1:11" s="1843" customFormat="1" ht="15" x14ac:dyDescent="0.25">
      <c r="H50" s="1852"/>
      <c r="I50" s="1852"/>
      <c r="J50" s="1852"/>
      <c r="K50" s="1852"/>
    </row>
    <row r="51" spans="1:11" s="1843" customFormat="1" ht="15" x14ac:dyDescent="0.25">
      <c r="H51" s="1852"/>
      <c r="I51" s="1852"/>
      <c r="J51" s="1852"/>
      <c r="K51" s="1852"/>
    </row>
    <row r="52" spans="1:11" s="1843" customFormat="1" ht="15" x14ac:dyDescent="0.25">
      <c r="H52" s="1852"/>
      <c r="I52" s="1852"/>
      <c r="J52" s="1852"/>
      <c r="K52" s="1852"/>
    </row>
    <row r="53" spans="1:11" s="1843" customFormat="1" ht="15" x14ac:dyDescent="0.25">
      <c r="H53" s="1852"/>
      <c r="I53" s="1852"/>
      <c r="J53" s="1852"/>
      <c r="K53" s="1852"/>
    </row>
    <row r="54" spans="1:11" s="1843" customFormat="1" ht="15" x14ac:dyDescent="0.25">
      <c r="H54" s="1852"/>
      <c r="I54" s="1852"/>
      <c r="J54" s="1852"/>
      <c r="K54" s="1852"/>
    </row>
    <row r="55" spans="1:11" s="1843" customFormat="1" ht="15" x14ac:dyDescent="0.25">
      <c r="H55" s="1852"/>
      <c r="I55" s="1852"/>
      <c r="J55" s="1852"/>
      <c r="K55" s="1852"/>
    </row>
    <row r="56" spans="1:11" s="1843" customFormat="1" ht="15" x14ac:dyDescent="0.25">
      <c r="H56" s="1852"/>
      <c r="I56" s="1852"/>
      <c r="J56" s="1852"/>
      <c r="K56" s="1852"/>
    </row>
    <row r="57" spans="1:11" s="1843" customFormat="1" ht="15" x14ac:dyDescent="0.25">
      <c r="H57" s="1852"/>
      <c r="I57" s="1852"/>
      <c r="J57" s="1852"/>
      <c r="K57" s="1852"/>
    </row>
    <row r="58" spans="1:11" s="1843" customFormat="1" ht="15" x14ac:dyDescent="0.25">
      <c r="H58" s="1852"/>
      <c r="I58" s="1852"/>
      <c r="J58" s="1852"/>
      <c r="K58" s="1852"/>
    </row>
    <row r="59" spans="1:11" s="1843" customFormat="1" ht="15" x14ac:dyDescent="0.25">
      <c r="H59" s="1852"/>
      <c r="I59" s="1852"/>
      <c r="J59" s="1852"/>
      <c r="K59" s="1852"/>
    </row>
    <row r="60" spans="1:11" s="1843" customFormat="1" ht="15" x14ac:dyDescent="0.25">
      <c r="H60" s="1852"/>
      <c r="I60" s="1852"/>
      <c r="J60" s="1852"/>
      <c r="K60" s="1852"/>
    </row>
    <row r="61" spans="1:11" s="1843" customFormat="1" ht="15" x14ac:dyDescent="0.25">
      <c r="H61" s="1852"/>
      <c r="I61" s="1852"/>
      <c r="J61" s="1852"/>
      <c r="K61" s="1852"/>
    </row>
    <row r="62" spans="1:11" s="1843" customFormat="1" ht="15" x14ac:dyDescent="0.25">
      <c r="H62" s="1852"/>
      <c r="I62" s="1852"/>
      <c r="J62" s="1852"/>
      <c r="K62" s="1852"/>
    </row>
    <row r="63" spans="1:11" s="1843" customFormat="1" ht="15" x14ac:dyDescent="0.25">
      <c r="H63" s="1852"/>
      <c r="I63" s="1852"/>
      <c r="J63" s="1852"/>
      <c r="K63" s="1852"/>
    </row>
    <row r="64" spans="1:11" s="1843" customFormat="1" ht="15" x14ac:dyDescent="0.25">
      <c r="H64" s="1852"/>
      <c r="I64" s="1852"/>
      <c r="J64" s="1852"/>
      <c r="K64" s="1852"/>
    </row>
    <row r="65" spans="8:11" s="1843" customFormat="1" ht="15" x14ac:dyDescent="0.25">
      <c r="H65" s="1852"/>
      <c r="I65" s="1852"/>
      <c r="J65" s="1852"/>
      <c r="K65" s="1852"/>
    </row>
    <row r="66" spans="8:11" s="1843" customFormat="1" ht="15" x14ac:dyDescent="0.25">
      <c r="H66" s="1852"/>
      <c r="I66" s="1852"/>
      <c r="J66" s="1852"/>
      <c r="K66" s="1852"/>
    </row>
    <row r="67" spans="8:11" s="1843" customFormat="1" ht="15" x14ac:dyDescent="0.25">
      <c r="H67" s="1852"/>
      <c r="I67" s="1852"/>
      <c r="J67" s="1852"/>
      <c r="K67" s="1852"/>
    </row>
    <row r="68" spans="8:11" s="1843" customFormat="1" ht="15" x14ac:dyDescent="0.25">
      <c r="H68" s="1852"/>
      <c r="I68" s="1852"/>
      <c r="J68" s="1852"/>
      <c r="K68" s="1852"/>
    </row>
    <row r="69" spans="8:11" s="1843" customFormat="1" ht="15" x14ac:dyDescent="0.25">
      <c r="H69" s="1852"/>
      <c r="I69" s="1852"/>
      <c r="J69" s="1852"/>
      <c r="K69" s="1852"/>
    </row>
    <row r="70" spans="8:11" s="1843" customFormat="1" ht="15" x14ac:dyDescent="0.25">
      <c r="H70" s="1852"/>
      <c r="I70" s="1852"/>
      <c r="J70" s="1852"/>
      <c r="K70" s="1852"/>
    </row>
    <row r="71" spans="8:11" s="1843" customFormat="1" ht="15" x14ac:dyDescent="0.25">
      <c r="H71" s="1852"/>
      <c r="I71" s="1852"/>
      <c r="J71" s="1852"/>
      <c r="K71" s="1852"/>
    </row>
    <row r="72" spans="8:11" s="1843" customFormat="1" ht="15" x14ac:dyDescent="0.25">
      <c r="H72" s="1852"/>
      <c r="I72" s="1852"/>
      <c r="J72" s="1852"/>
      <c r="K72" s="1852"/>
    </row>
    <row r="73" spans="8:11" s="1843" customFormat="1" ht="15" x14ac:dyDescent="0.25">
      <c r="H73" s="1852"/>
      <c r="I73" s="1852"/>
      <c r="J73" s="1852"/>
      <c r="K73" s="1852"/>
    </row>
    <row r="74" spans="8:11" s="1843" customFormat="1" ht="15" x14ac:dyDescent="0.25">
      <c r="H74" s="1852"/>
      <c r="I74" s="1852"/>
      <c r="J74" s="1852"/>
      <c r="K74" s="1852"/>
    </row>
    <row r="75" spans="8:11" s="1843" customFormat="1" ht="15" x14ac:dyDescent="0.25">
      <c r="H75" s="1852"/>
      <c r="I75" s="1852"/>
      <c r="J75" s="1852"/>
      <c r="K75" s="1852"/>
    </row>
    <row r="76" spans="8:11" s="1843" customFormat="1" ht="15" x14ac:dyDescent="0.25">
      <c r="H76" s="1852"/>
      <c r="I76" s="1852"/>
      <c r="J76" s="1852"/>
      <c r="K76" s="1852"/>
    </row>
    <row r="77" spans="8:11" s="1843" customFormat="1" ht="15" x14ac:dyDescent="0.25">
      <c r="H77" s="1852"/>
      <c r="I77" s="1852"/>
      <c r="J77" s="1852"/>
      <c r="K77" s="1852"/>
    </row>
    <row r="78" spans="8:11" s="1843" customFormat="1" ht="15" x14ac:dyDescent="0.25">
      <c r="H78" s="1852"/>
      <c r="I78" s="1852"/>
      <c r="J78" s="1852"/>
      <c r="K78" s="1852"/>
    </row>
    <row r="79" spans="8:11" s="1843" customFormat="1" ht="15" x14ac:dyDescent="0.25">
      <c r="H79" s="1852"/>
      <c r="I79" s="1852"/>
      <c r="J79" s="1852"/>
      <c r="K79" s="1852"/>
    </row>
    <row r="80" spans="8:11" s="1843" customFormat="1" ht="15" x14ac:dyDescent="0.25">
      <c r="H80" s="1852"/>
      <c r="I80" s="1852"/>
      <c r="J80" s="1852"/>
      <c r="K80" s="1852"/>
    </row>
    <row r="81" spans="8:11" s="1843" customFormat="1" ht="15" x14ac:dyDescent="0.25">
      <c r="H81" s="1852"/>
      <c r="I81" s="1852"/>
      <c r="J81" s="1852"/>
      <c r="K81" s="1852"/>
    </row>
    <row r="82" spans="8:11" s="1843" customFormat="1" ht="15" x14ac:dyDescent="0.25">
      <c r="H82" s="1852"/>
      <c r="I82" s="1852"/>
      <c r="J82" s="1852"/>
      <c r="K82" s="1852"/>
    </row>
    <row r="83" spans="8:11" s="1843" customFormat="1" ht="15" x14ac:dyDescent="0.25">
      <c r="H83" s="1852"/>
      <c r="I83" s="1852"/>
      <c r="J83" s="1852"/>
      <c r="K83" s="1852"/>
    </row>
    <row r="84" spans="8:11" s="1843" customFormat="1" ht="15" x14ac:dyDescent="0.25">
      <c r="H84" s="1852"/>
      <c r="I84" s="1852"/>
      <c r="J84" s="1852"/>
      <c r="K84" s="1852"/>
    </row>
    <row r="85" spans="8:11" s="1843" customFormat="1" ht="15" x14ac:dyDescent="0.25">
      <c r="H85" s="1852"/>
      <c r="I85" s="1852"/>
      <c r="J85" s="1852"/>
      <c r="K85" s="1852"/>
    </row>
    <row r="86" spans="8:11" s="1843" customFormat="1" ht="15" x14ac:dyDescent="0.25">
      <c r="H86" s="1852"/>
      <c r="I86" s="1852"/>
      <c r="J86" s="1852"/>
      <c r="K86" s="1852"/>
    </row>
    <row r="87" spans="8:11" s="1843" customFormat="1" ht="15" x14ac:dyDescent="0.25">
      <c r="H87" s="1852"/>
      <c r="I87" s="1852"/>
      <c r="J87" s="1852"/>
      <c r="K87" s="1852"/>
    </row>
    <row r="88" spans="8:11" s="1843" customFormat="1" ht="15" x14ac:dyDescent="0.25">
      <c r="H88" s="1852"/>
      <c r="I88" s="1852"/>
      <c r="J88" s="1852"/>
      <c r="K88" s="1852"/>
    </row>
    <row r="89" spans="8:11" s="1843" customFormat="1" ht="15" x14ac:dyDescent="0.25">
      <c r="H89" s="1852"/>
      <c r="I89" s="1852"/>
      <c r="J89" s="1852"/>
      <c r="K89" s="1852"/>
    </row>
    <row r="90" spans="8:11" s="1843" customFormat="1" ht="15" x14ac:dyDescent="0.25">
      <c r="H90" s="1852"/>
      <c r="I90" s="1852"/>
      <c r="J90" s="1852"/>
      <c r="K90" s="1852"/>
    </row>
    <row r="91" spans="8:11" s="1843" customFormat="1" ht="15" x14ac:dyDescent="0.25">
      <c r="H91" s="1852"/>
      <c r="I91" s="1852"/>
      <c r="J91" s="1852"/>
      <c r="K91" s="1852"/>
    </row>
    <row r="92" spans="8:11" s="1843" customFormat="1" ht="15" x14ac:dyDescent="0.25">
      <c r="H92" s="1852"/>
      <c r="I92" s="1852"/>
      <c r="J92" s="1852"/>
      <c r="K92" s="1852"/>
    </row>
    <row r="93" spans="8:11" s="1843" customFormat="1" ht="15" x14ac:dyDescent="0.25">
      <c r="H93" s="1852"/>
      <c r="I93" s="1852"/>
      <c r="J93" s="1852"/>
      <c r="K93" s="1852"/>
    </row>
    <row r="94" spans="8:11" s="1843" customFormat="1" ht="15" x14ac:dyDescent="0.25">
      <c r="H94" s="1852"/>
      <c r="I94" s="1852"/>
      <c r="J94" s="1852"/>
      <c r="K94" s="1852"/>
    </row>
    <row r="95" spans="8:11" s="1843" customFormat="1" ht="15" x14ac:dyDescent="0.25">
      <c r="H95" s="1852"/>
      <c r="I95" s="1852"/>
      <c r="J95" s="1852"/>
      <c r="K95" s="1852"/>
    </row>
    <row r="96" spans="8:11" s="1843" customFormat="1" ht="15" x14ac:dyDescent="0.25">
      <c r="H96" s="1852"/>
      <c r="I96" s="1852"/>
      <c r="J96" s="1852"/>
      <c r="K96" s="1852"/>
    </row>
    <row r="97" spans="8:11" s="1843" customFormat="1" ht="15" x14ac:dyDescent="0.25">
      <c r="H97" s="1852"/>
      <c r="I97" s="1852"/>
      <c r="J97" s="1852"/>
      <c r="K97" s="1852"/>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rgb="FF00B050"/>
  </sheetPr>
  <dimension ref="A1:Q40"/>
  <sheetViews>
    <sheetView showGridLines="0" defaultGridColor="0" view="pageBreakPreview" colorId="8" zoomScaleNormal="110" zoomScaleSheetLayoutView="100" workbookViewId="0">
      <selection activeCell="E12" sqref="E12"/>
    </sheetView>
  </sheetViews>
  <sheetFormatPr defaultColWidth="9.140625" defaultRowHeight="12.75" x14ac:dyDescent="0.2"/>
  <cols>
    <col min="1" max="1" width="3" style="983" customWidth="1"/>
    <col min="2" max="2" width="2.7109375" style="983" customWidth="1"/>
    <col min="3" max="3" width="38.5703125" style="983" customWidth="1"/>
    <col min="4" max="4" width="6.42578125" style="983" customWidth="1"/>
    <col min="5" max="10" width="15.7109375" style="983" customWidth="1"/>
    <col min="11" max="14" width="4.7109375" style="983" customWidth="1"/>
    <col min="15" max="16384" width="9.140625" style="983"/>
  </cols>
  <sheetData>
    <row r="1" spans="1:17" ht="11.85" customHeight="1" x14ac:dyDescent="0.2">
      <c r="A1" s="981"/>
      <c r="B1" s="982"/>
      <c r="E1" s="984"/>
      <c r="F1" s="985" t="s">
        <v>405</v>
      </c>
      <c r="G1" s="986"/>
    </row>
    <row r="2" spans="1:17" ht="11.85" customHeight="1" x14ac:dyDescent="0.2">
      <c r="A2" s="981"/>
      <c r="B2" s="982"/>
      <c r="E2" s="984"/>
      <c r="F2" s="987" t="s">
        <v>290</v>
      </c>
      <c r="G2" s="986"/>
    </row>
    <row r="3" spans="1:17" ht="11.85" customHeight="1" x14ac:dyDescent="0.2">
      <c r="E3" s="984"/>
      <c r="F3" s="987" t="s">
        <v>406</v>
      </c>
      <c r="G3" s="984"/>
    </row>
    <row r="4" spans="1:17" ht="11.85" customHeight="1" x14ac:dyDescent="0.2">
      <c r="E4" s="984"/>
      <c r="F4" s="987" t="s">
        <v>868</v>
      </c>
      <c r="G4" s="984"/>
    </row>
    <row r="5" spans="1:17" ht="12.2" customHeight="1" x14ac:dyDescent="0.2">
      <c r="F5" s="987"/>
    </row>
    <row r="6" spans="1:17" x14ac:dyDescent="0.2">
      <c r="A6" s="1867" t="s">
        <v>672</v>
      </c>
      <c r="B6" s="1615"/>
      <c r="C6" s="1615"/>
      <c r="D6" s="1615"/>
      <c r="E6" s="1616"/>
      <c r="F6" s="988"/>
      <c r="G6" s="982"/>
      <c r="H6" s="989" t="s">
        <v>1028</v>
      </c>
      <c r="I6" s="2389" t="str">
        <f>COVER!A17</f>
        <v>RILEY CCSD 18</v>
      </c>
      <c r="J6" s="2390"/>
      <c r="Q6" s="1637"/>
    </row>
    <row r="7" spans="1:17" x14ac:dyDescent="0.2">
      <c r="A7" s="2391" t="s">
        <v>869</v>
      </c>
      <c r="B7" s="2392"/>
      <c r="C7" s="2392"/>
      <c r="D7" s="2392"/>
      <c r="E7" s="2393"/>
      <c r="F7" s="990"/>
      <c r="G7" s="982"/>
      <c r="H7" s="989" t="s">
        <v>372</v>
      </c>
      <c r="I7" s="2394">
        <f>COVER!A13</f>
        <v>44063018004</v>
      </c>
      <c r="J7" s="2394"/>
    </row>
    <row r="8" spans="1:17" ht="8.25" customHeight="1" x14ac:dyDescent="0.2">
      <c r="A8" s="1617"/>
      <c r="B8" s="1618"/>
      <c r="C8" s="1618"/>
      <c r="D8" s="1618"/>
      <c r="E8" s="1619"/>
      <c r="F8" s="991"/>
      <c r="G8" s="992"/>
      <c r="H8" s="992"/>
      <c r="I8" s="992"/>
      <c r="J8" s="992"/>
    </row>
    <row r="9" spans="1:17" ht="13.5" customHeight="1" x14ac:dyDescent="0.2">
      <c r="A9" s="993"/>
      <c r="B9" s="994"/>
      <c r="C9" s="994"/>
      <c r="D9" s="995"/>
      <c r="E9" s="1868" t="s">
        <v>1979</v>
      </c>
      <c r="F9" s="996"/>
      <c r="G9" s="996"/>
      <c r="H9" s="1869" t="s">
        <v>1980</v>
      </c>
      <c r="I9" s="996"/>
      <c r="J9" s="997"/>
    </row>
    <row r="10" spans="1:17" s="1005" customFormat="1" ht="13.5" customHeight="1" x14ac:dyDescent="0.2">
      <c r="A10" s="998"/>
      <c r="B10" s="999"/>
      <c r="C10" s="1000"/>
      <c r="D10" s="1001"/>
      <c r="E10" s="1002" t="s">
        <v>425</v>
      </c>
      <c r="F10" s="1003" t="s">
        <v>426</v>
      </c>
      <c r="G10" s="1004"/>
      <c r="H10" s="1003" t="s">
        <v>425</v>
      </c>
      <c r="I10" s="1003" t="s">
        <v>426</v>
      </c>
      <c r="J10" s="1003"/>
    </row>
    <row r="11" spans="1:17" s="1005" customFormat="1" ht="22.5" x14ac:dyDescent="0.2">
      <c r="A11" s="2395" t="s">
        <v>481</v>
      </c>
      <c r="B11" s="2396"/>
      <c r="C11" s="2397"/>
      <c r="D11" s="1006" t="s">
        <v>871</v>
      </c>
      <c r="E11" s="1006" t="s">
        <v>64</v>
      </c>
      <c r="F11" s="1006" t="s">
        <v>6</v>
      </c>
      <c r="G11" s="1007" t="s">
        <v>156</v>
      </c>
      <c r="H11" s="1007" t="s">
        <v>64</v>
      </c>
      <c r="I11" s="1006" t="s">
        <v>6</v>
      </c>
      <c r="J11" s="1007" t="s">
        <v>156</v>
      </c>
    </row>
    <row r="12" spans="1:17" ht="15" customHeight="1" x14ac:dyDescent="0.2">
      <c r="A12" s="1008">
        <v>1</v>
      </c>
      <c r="B12" s="1009" t="s">
        <v>818</v>
      </c>
      <c r="C12" s="1010"/>
      <c r="D12" s="1011">
        <v>2320</v>
      </c>
      <c r="E12" s="1784">
        <f>'Expenditures 15-22'!K50</f>
        <v>171792</v>
      </c>
      <c r="F12" s="1012"/>
      <c r="G12" s="1784">
        <f t="shared" ref="G12:G18" si="0">SUM(E12:F12)</f>
        <v>171792</v>
      </c>
      <c r="H12" s="1013">
        <v>179302</v>
      </c>
      <c r="I12" s="1012"/>
      <c r="J12" s="1784">
        <f t="shared" ref="J12:J18" si="1">SUM(H12:I12)</f>
        <v>179302</v>
      </c>
    </row>
    <row r="13" spans="1:17" ht="15" customHeight="1" x14ac:dyDescent="0.2">
      <c r="A13" s="1008">
        <v>2</v>
      </c>
      <c r="B13" s="1009" t="s">
        <v>42</v>
      </c>
      <c r="C13" s="1010"/>
      <c r="D13" s="1011">
        <v>2330</v>
      </c>
      <c r="E13" s="1784">
        <f>'Expenditures 15-22'!K51</f>
        <v>0</v>
      </c>
      <c r="F13" s="1012"/>
      <c r="G13" s="1784">
        <f t="shared" si="0"/>
        <v>0</v>
      </c>
      <c r="H13" s="1013">
        <v>0</v>
      </c>
      <c r="I13" s="1012"/>
      <c r="J13" s="1784">
        <f t="shared" si="1"/>
        <v>0</v>
      </c>
    </row>
    <row r="14" spans="1:17" ht="15" customHeight="1" x14ac:dyDescent="0.2">
      <c r="A14" s="1008">
        <v>3</v>
      </c>
      <c r="B14" s="1009" t="s">
        <v>43</v>
      </c>
      <c r="C14" s="1010"/>
      <c r="D14" s="1014">
        <v>2490</v>
      </c>
      <c r="E14" s="1784">
        <f>'Expenditures 15-22'!K56</f>
        <v>0</v>
      </c>
      <c r="F14" s="1012"/>
      <c r="G14" s="1784">
        <f t="shared" si="0"/>
        <v>0</v>
      </c>
      <c r="H14" s="1013">
        <v>0</v>
      </c>
      <c r="I14" s="1012"/>
      <c r="J14" s="1784">
        <f t="shared" si="1"/>
        <v>0</v>
      </c>
    </row>
    <row r="15" spans="1:17" ht="15" customHeight="1" x14ac:dyDescent="0.2">
      <c r="A15" s="1008">
        <v>4</v>
      </c>
      <c r="B15" s="1009" t="s">
        <v>1068</v>
      </c>
      <c r="C15" s="1010"/>
      <c r="D15" s="1011">
        <v>2510</v>
      </c>
      <c r="E15" s="1784">
        <f>'Expenditures 15-22'!K59</f>
        <v>0</v>
      </c>
      <c r="F15" s="1784">
        <f>'Expenditures 15-22'!K122</f>
        <v>0</v>
      </c>
      <c r="G15" s="1784">
        <f t="shared" si="0"/>
        <v>0</v>
      </c>
      <c r="H15" s="1013">
        <v>0</v>
      </c>
      <c r="I15" s="1013">
        <v>0</v>
      </c>
      <c r="J15" s="1784">
        <f t="shared" si="1"/>
        <v>0</v>
      </c>
    </row>
    <row r="16" spans="1:17" ht="15" customHeight="1" x14ac:dyDescent="0.2">
      <c r="A16" s="1008">
        <v>5</v>
      </c>
      <c r="B16" s="1009" t="s">
        <v>101</v>
      </c>
      <c r="C16" s="1010"/>
      <c r="D16" s="1011">
        <v>2570</v>
      </c>
      <c r="E16" s="1784">
        <f>'Expenditures 15-22'!K64</f>
        <v>0</v>
      </c>
      <c r="F16" s="1012"/>
      <c r="G16" s="1784">
        <f t="shared" si="0"/>
        <v>0</v>
      </c>
      <c r="H16" s="1013">
        <v>0</v>
      </c>
      <c r="I16" s="1012"/>
      <c r="J16" s="1784">
        <f t="shared" si="1"/>
        <v>0</v>
      </c>
    </row>
    <row r="17" spans="1:10" ht="15" customHeight="1" x14ac:dyDescent="0.2">
      <c r="A17" s="1008">
        <v>6</v>
      </c>
      <c r="B17" s="1009" t="s">
        <v>1060</v>
      </c>
      <c r="C17" s="1010"/>
      <c r="D17" s="1011">
        <v>2610</v>
      </c>
      <c r="E17" s="1784">
        <f>'Expenditures 15-22'!K67</f>
        <v>0</v>
      </c>
      <c r="F17" s="1012"/>
      <c r="G17" s="1784">
        <f t="shared" si="0"/>
        <v>0</v>
      </c>
      <c r="H17" s="1013">
        <v>0</v>
      </c>
      <c r="I17" s="1012"/>
      <c r="J17" s="1784">
        <f t="shared" si="1"/>
        <v>0</v>
      </c>
    </row>
    <row r="18" spans="1:10" ht="22.5" customHeight="1" x14ac:dyDescent="0.2">
      <c r="A18" s="1015">
        <v>7</v>
      </c>
      <c r="B18" s="2398" t="s">
        <v>7</v>
      </c>
      <c r="C18" s="2399"/>
      <c r="D18" s="2400"/>
      <c r="E18" s="1016"/>
      <c r="F18" s="1016"/>
      <c r="G18" s="1785">
        <f t="shared" si="0"/>
        <v>0</v>
      </c>
      <c r="H18" s="1013"/>
      <c r="I18" s="1013"/>
      <c r="J18" s="1784">
        <f t="shared" si="1"/>
        <v>0</v>
      </c>
    </row>
    <row r="19" spans="1:10" ht="12.75" customHeight="1" thickBot="1" x14ac:dyDescent="0.25">
      <c r="A19" s="1008">
        <v>8</v>
      </c>
      <c r="B19" s="1017" t="s">
        <v>1161</v>
      </c>
      <c r="D19" s="1018"/>
      <c r="E19" s="1786">
        <f t="shared" ref="E19:J19" si="2">SUM(E12:E17)-E18</f>
        <v>171792</v>
      </c>
      <c r="F19" s="1786">
        <f t="shared" si="2"/>
        <v>0</v>
      </c>
      <c r="G19" s="1786">
        <f t="shared" si="2"/>
        <v>171792</v>
      </c>
      <c r="H19" s="1786">
        <f t="shared" si="2"/>
        <v>179302</v>
      </c>
      <c r="I19" s="1786">
        <f t="shared" si="2"/>
        <v>0</v>
      </c>
      <c r="J19" s="1786">
        <f t="shared" si="2"/>
        <v>179302</v>
      </c>
    </row>
    <row r="20" spans="1:10" ht="13.5" thickTop="1" x14ac:dyDescent="0.2">
      <c r="A20" s="1008">
        <v>9</v>
      </c>
      <c r="B20" s="2401" t="s">
        <v>1981</v>
      </c>
      <c r="C20" s="2401"/>
      <c r="D20" s="2402"/>
      <c r="E20" s="1019"/>
      <c r="F20" s="1019"/>
      <c r="G20" s="1019"/>
      <c r="H20" s="1019"/>
      <c r="I20" s="1019"/>
      <c r="J20" s="1787">
        <f>IF(AND(G19&gt;0,J19&gt;0),(((J19-G19)/G19)),"Enter Budget Data")</f>
        <v>4.3715656142311633E-2</v>
      </c>
    </row>
    <row r="21" spans="1:10" ht="9" customHeight="1" x14ac:dyDescent="0.2">
      <c r="B21" s="1020"/>
    </row>
    <row r="22" spans="1:10" x14ac:dyDescent="0.2">
      <c r="A22" s="1021" t="s">
        <v>133</v>
      </c>
      <c r="B22" s="1020"/>
    </row>
    <row r="23" spans="1:10" x14ac:dyDescent="0.2">
      <c r="A23" s="984" t="s">
        <v>1982</v>
      </c>
      <c r="B23" s="1020"/>
    </row>
    <row r="24" spans="1:10" x14ac:dyDescent="0.2">
      <c r="A24" s="984" t="s">
        <v>1995</v>
      </c>
      <c r="B24" s="1020"/>
    </row>
    <row r="25" spans="1:10" x14ac:dyDescent="0.2">
      <c r="A25" s="1022"/>
      <c r="B25" s="1020"/>
    </row>
    <row r="26" spans="1:10" ht="20.100000000000001" customHeight="1" x14ac:dyDescent="0.2">
      <c r="B26" s="1020"/>
      <c r="C26" s="2407"/>
      <c r="D26" s="2407"/>
      <c r="E26" s="1023"/>
      <c r="F26" s="2406"/>
      <c r="G26" s="2406"/>
    </row>
    <row r="27" spans="1:10" x14ac:dyDescent="0.2">
      <c r="B27" s="1020"/>
      <c r="C27" s="1024" t="s">
        <v>1033</v>
      </c>
      <c r="D27" s="1025"/>
      <c r="E27" s="1026"/>
      <c r="F27" s="2403" t="s">
        <v>1509</v>
      </c>
      <c r="G27" s="2403"/>
    </row>
    <row r="28" spans="1:10" ht="28.5" customHeight="1" x14ac:dyDescent="0.2">
      <c r="B28" s="1020"/>
      <c r="C28" s="2405"/>
      <c r="D28" s="2405"/>
      <c r="E28" s="1027"/>
      <c r="F28" s="2405"/>
      <c r="G28" s="2405"/>
    </row>
    <row r="29" spans="1:10" x14ac:dyDescent="0.2">
      <c r="B29" s="1020"/>
      <c r="C29" s="1028" t="s">
        <v>1561</v>
      </c>
      <c r="E29" s="1029"/>
      <c r="F29" s="2404" t="s">
        <v>1510</v>
      </c>
      <c r="G29" s="2404"/>
    </row>
    <row r="30" spans="1:10" ht="9" customHeight="1" x14ac:dyDescent="0.2">
      <c r="B30" s="1020"/>
      <c r="C30" s="1030"/>
      <c r="E30" s="1031"/>
      <c r="F30" s="1032"/>
      <c r="G30" s="1032"/>
    </row>
    <row r="31" spans="1:10" ht="15" customHeight="1" x14ac:dyDescent="0.2">
      <c r="A31" s="984"/>
      <c r="B31" s="1033" t="s">
        <v>1034</v>
      </c>
    </row>
    <row r="32" spans="1:10" ht="9" customHeight="1" x14ac:dyDescent="0.2">
      <c r="A32" s="984"/>
      <c r="B32" s="1021"/>
    </row>
    <row r="33" spans="1:10" ht="12.75" customHeight="1" x14ac:dyDescent="0.2">
      <c r="A33" s="984"/>
      <c r="B33" s="1034"/>
      <c r="C33" s="2386" t="s">
        <v>132</v>
      </c>
      <c r="D33" s="2387"/>
      <c r="E33" s="2387"/>
      <c r="F33" s="2387"/>
      <c r="G33" s="2387"/>
      <c r="H33" s="2387"/>
      <c r="I33" s="2387"/>
    </row>
    <row r="34" spans="1:10" ht="10.35" customHeight="1" x14ac:dyDescent="0.2">
      <c r="C34" s="2387"/>
      <c r="D34" s="2387"/>
      <c r="E34" s="2387"/>
      <c r="F34" s="2387"/>
      <c r="G34" s="2387"/>
      <c r="H34" s="2387"/>
      <c r="I34" s="2387"/>
    </row>
    <row r="35" spans="1:10" ht="7.5" customHeight="1" x14ac:dyDescent="0.2">
      <c r="C35" s="1035"/>
    </row>
    <row r="36" spans="1:10" ht="13.5" customHeight="1" x14ac:dyDescent="0.2">
      <c r="B36" s="1034"/>
      <c r="C36" s="2388" t="s">
        <v>1983</v>
      </c>
      <c r="D36" s="2387"/>
      <c r="E36" s="2387"/>
      <c r="F36" s="2387"/>
      <c r="G36" s="2387"/>
      <c r="H36" s="2387"/>
      <c r="I36" s="2387"/>
      <c r="J36" s="1036"/>
    </row>
    <row r="37" spans="1:10" ht="22.5" customHeight="1" x14ac:dyDescent="0.2">
      <c r="C37" s="2387"/>
      <c r="D37" s="2387"/>
      <c r="E37" s="2387"/>
      <c r="F37" s="2387"/>
      <c r="G37" s="2387"/>
      <c r="H37" s="2387"/>
      <c r="I37" s="2387"/>
      <c r="J37" s="1036"/>
    </row>
    <row r="38" spans="1:10" ht="7.5" customHeight="1" x14ac:dyDescent="0.2">
      <c r="C38" s="1035"/>
      <c r="D38" s="1037"/>
      <c r="E38" s="1038"/>
      <c r="F38" s="1039"/>
      <c r="G38" s="1038"/>
    </row>
    <row r="39" spans="1:10" ht="13.5" customHeight="1" x14ac:dyDescent="0.2">
      <c r="B39" s="1034"/>
      <c r="C39" s="2384" t="s">
        <v>882</v>
      </c>
      <c r="D39" s="2385"/>
      <c r="E39" s="2385"/>
      <c r="F39" s="2385"/>
      <c r="G39" s="2385"/>
      <c r="H39" s="2385"/>
      <c r="I39" s="2385"/>
    </row>
    <row r="40" spans="1:10" ht="13.35" customHeight="1" x14ac:dyDescent="0.2">
      <c r="A40" s="984"/>
      <c r="C40" s="1040"/>
      <c r="D40" s="1040"/>
      <c r="E40" s="1040"/>
      <c r="F40" s="1040"/>
      <c r="G40" s="1040"/>
      <c r="H40" s="1040"/>
      <c r="I40" s="1040"/>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B050"/>
  </sheetPr>
  <dimension ref="A2:C66"/>
  <sheetViews>
    <sheetView showGridLines="0" zoomScale="110" zoomScaleNormal="110" zoomScaleSheetLayoutView="100" workbookViewId="0">
      <selection activeCell="C5" sqref="C5"/>
    </sheetView>
  </sheetViews>
  <sheetFormatPr defaultRowHeight="12.75" x14ac:dyDescent="0.2"/>
  <cols>
    <col min="1" max="1" width="3" style="329" customWidth="1"/>
    <col min="2" max="2" width="84.28515625" style="329" customWidth="1"/>
    <col min="3" max="3" width="3.140625" style="329" customWidth="1"/>
    <col min="4" max="16384" width="9.140625" style="329"/>
  </cols>
  <sheetData>
    <row r="2" spans="1:3" x14ac:dyDescent="0.2">
      <c r="A2" s="389" t="s">
        <v>258</v>
      </c>
    </row>
    <row r="3" spans="1:3" x14ac:dyDescent="0.2">
      <c r="A3" s="329" t="s">
        <v>259</v>
      </c>
    </row>
    <row r="5" spans="1:3" x14ac:dyDescent="0.2">
      <c r="A5" s="1041">
        <v>1</v>
      </c>
      <c r="B5" s="329" t="s">
        <v>2120</v>
      </c>
      <c r="C5" s="329" t="s">
        <v>2121</v>
      </c>
    </row>
    <row r="6" spans="1:3" x14ac:dyDescent="0.2">
      <c r="A6" s="1041">
        <v>2</v>
      </c>
      <c r="B6" s="329" t="s">
        <v>2092</v>
      </c>
      <c r="C6" s="329" t="s">
        <v>2094</v>
      </c>
    </row>
    <row r="7" spans="1:3" x14ac:dyDescent="0.2">
      <c r="A7" s="1041">
        <v>3</v>
      </c>
      <c r="B7" s="329" t="s">
        <v>2111</v>
      </c>
      <c r="C7" s="329" t="s">
        <v>2095</v>
      </c>
    </row>
    <row r="8" spans="1:3" x14ac:dyDescent="0.2">
      <c r="A8" s="1041">
        <v>4</v>
      </c>
      <c r="B8" s="329" t="s">
        <v>2112</v>
      </c>
      <c r="C8" s="329" t="s">
        <v>2096</v>
      </c>
    </row>
    <row r="9" spans="1:3" x14ac:dyDescent="0.2">
      <c r="A9" s="1041">
        <v>5</v>
      </c>
      <c r="B9" s="329" t="s">
        <v>2113</v>
      </c>
      <c r="C9" s="329" t="s">
        <v>2097</v>
      </c>
    </row>
    <row r="10" spans="1:3" x14ac:dyDescent="0.2">
      <c r="A10" s="1041">
        <v>6</v>
      </c>
      <c r="B10" s="329" t="s">
        <v>2114</v>
      </c>
      <c r="C10" s="329" t="s">
        <v>2098</v>
      </c>
    </row>
    <row r="11" spans="1:3" x14ac:dyDescent="0.2">
      <c r="A11" s="1041">
        <v>7</v>
      </c>
      <c r="B11" s="329" t="s">
        <v>2093</v>
      </c>
      <c r="C11" s="329" t="s">
        <v>2099</v>
      </c>
    </row>
    <row r="12" spans="1:3" x14ac:dyDescent="0.2">
      <c r="A12" s="1042"/>
    </row>
    <row r="13" spans="1:3" x14ac:dyDescent="0.2">
      <c r="A13" s="1042"/>
    </row>
    <row r="14" spans="1:3" x14ac:dyDescent="0.2">
      <c r="A14" s="1042"/>
    </row>
    <row r="15" spans="1:3" x14ac:dyDescent="0.2">
      <c r="A15" s="1042"/>
    </row>
    <row r="16" spans="1:3" x14ac:dyDescent="0.2">
      <c r="A16" s="1042"/>
    </row>
    <row r="17" spans="1:1" x14ac:dyDescent="0.2">
      <c r="A17" s="1042"/>
    </row>
    <row r="18" spans="1:1" x14ac:dyDescent="0.2">
      <c r="A18" s="1042"/>
    </row>
    <row r="19" spans="1:1" x14ac:dyDescent="0.2">
      <c r="A19" s="1042"/>
    </row>
    <row r="20" spans="1:1" x14ac:dyDescent="0.2">
      <c r="A20" s="1042"/>
    </row>
    <row r="21" spans="1:1" x14ac:dyDescent="0.2">
      <c r="A21" s="1042"/>
    </row>
    <row r="22" spans="1:1" x14ac:dyDescent="0.2">
      <c r="A22" s="1042"/>
    </row>
    <row r="23" spans="1:1" x14ac:dyDescent="0.2">
      <c r="A23" s="1042"/>
    </row>
    <row r="24" spans="1:1" x14ac:dyDescent="0.2">
      <c r="A24" s="1042"/>
    </row>
    <row r="25" spans="1:1" x14ac:dyDescent="0.2">
      <c r="A25" s="1042"/>
    </row>
    <row r="26" spans="1:1" x14ac:dyDescent="0.2">
      <c r="A26" s="1042"/>
    </row>
    <row r="27" spans="1:1" x14ac:dyDescent="0.2">
      <c r="A27" s="1042"/>
    </row>
    <row r="28" spans="1:1" x14ac:dyDescent="0.2">
      <c r="A28" s="1042"/>
    </row>
    <row r="29" spans="1:1" x14ac:dyDescent="0.2">
      <c r="A29" s="1042"/>
    </row>
    <row r="30" spans="1:1" x14ac:dyDescent="0.2">
      <c r="A30" s="1042"/>
    </row>
    <row r="31" spans="1:1" x14ac:dyDescent="0.2">
      <c r="A31" s="1042"/>
    </row>
    <row r="32" spans="1:1" x14ac:dyDescent="0.2">
      <c r="A32" s="1042"/>
    </row>
    <row r="33" spans="1:1" x14ac:dyDescent="0.2">
      <c r="A33" s="1042"/>
    </row>
    <row r="34" spans="1:1" x14ac:dyDescent="0.2">
      <c r="A34" s="1042"/>
    </row>
    <row r="35" spans="1:1" x14ac:dyDescent="0.2">
      <c r="A35" s="1042"/>
    </row>
    <row r="36" spans="1:1" x14ac:dyDescent="0.2">
      <c r="A36" s="1042"/>
    </row>
    <row r="37" spans="1:1" x14ac:dyDescent="0.2">
      <c r="A37" s="1042"/>
    </row>
    <row r="38" spans="1:1" x14ac:dyDescent="0.2">
      <c r="A38" s="1042"/>
    </row>
    <row r="39" spans="1:1" x14ac:dyDescent="0.2">
      <c r="A39" s="1042"/>
    </row>
    <row r="40" spans="1:1" x14ac:dyDescent="0.2">
      <c r="A40" s="1042"/>
    </row>
    <row r="41" spans="1:1" x14ac:dyDescent="0.2">
      <c r="A41" s="1042"/>
    </row>
    <row r="42" spans="1:1" x14ac:dyDescent="0.2">
      <c r="A42" s="1042"/>
    </row>
    <row r="43" spans="1:1" x14ac:dyDescent="0.2">
      <c r="A43" s="1042"/>
    </row>
    <row r="44" spans="1:1" x14ac:dyDescent="0.2">
      <c r="A44" s="1042"/>
    </row>
    <row r="45" spans="1:1" x14ac:dyDescent="0.2">
      <c r="A45" s="1042"/>
    </row>
    <row r="46" spans="1:1" x14ac:dyDescent="0.2">
      <c r="A46" s="1042"/>
    </row>
    <row r="47" spans="1:1" x14ac:dyDescent="0.2">
      <c r="A47" s="1042"/>
    </row>
    <row r="48" spans="1:1" x14ac:dyDescent="0.2">
      <c r="A48" s="1042"/>
    </row>
    <row r="49" spans="1:1" x14ac:dyDescent="0.2">
      <c r="A49" s="1042"/>
    </row>
    <row r="50" spans="1:1" x14ac:dyDescent="0.2">
      <c r="A50" s="1042"/>
    </row>
    <row r="51" spans="1:1" x14ac:dyDescent="0.2">
      <c r="A51" s="1042"/>
    </row>
    <row r="52" spans="1:1" x14ac:dyDescent="0.2">
      <c r="A52" s="1042"/>
    </row>
    <row r="53" spans="1:1" x14ac:dyDescent="0.2">
      <c r="A53" s="1042"/>
    </row>
    <row r="54" spans="1:1" x14ac:dyDescent="0.2">
      <c r="A54" s="1042"/>
    </row>
    <row r="55" spans="1:1" x14ac:dyDescent="0.2">
      <c r="A55" s="1042"/>
    </row>
    <row r="56" spans="1:1" x14ac:dyDescent="0.2">
      <c r="A56" s="1042"/>
    </row>
    <row r="57" spans="1:1" x14ac:dyDescent="0.2">
      <c r="A57" s="1042"/>
    </row>
    <row r="58" spans="1:1" x14ac:dyDescent="0.2">
      <c r="A58" s="1042"/>
    </row>
    <row r="59" spans="1:1" x14ac:dyDescent="0.2">
      <c r="A59" s="1042"/>
    </row>
    <row r="60" spans="1:1" x14ac:dyDescent="0.2">
      <c r="A60" s="1042"/>
    </row>
    <row r="61" spans="1:1" x14ac:dyDescent="0.2">
      <c r="A61" s="1042"/>
    </row>
    <row r="62" spans="1:1" x14ac:dyDescent="0.2">
      <c r="A62" s="1042"/>
    </row>
    <row r="63" spans="1:1" x14ac:dyDescent="0.2">
      <c r="A63" s="1042"/>
    </row>
    <row r="64" spans="1:1" x14ac:dyDescent="0.2">
      <c r="A64" s="1042"/>
    </row>
    <row r="65" spans="1:2" x14ac:dyDescent="0.2">
      <c r="A65" s="1042"/>
      <c r="B65" s="258" t="str">
        <f>COVER!A17</f>
        <v>RILEY CCSD 18</v>
      </c>
    </row>
    <row r="66" spans="1:2" x14ac:dyDescent="0.2">
      <c r="B66" s="1043">
        <f>COVER!A13</f>
        <v>44063018004</v>
      </c>
    </row>
  </sheetData>
  <phoneticPr fontId="20"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84"/>
  <sheetViews>
    <sheetView showGridLines="0" view="pageBreakPreview" topLeftCell="A7" zoomScaleNormal="110" zoomScaleSheetLayoutView="100" workbookViewId="0">
      <selection activeCell="AF22" sqref="AF22"/>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1859</v>
      </c>
      <c r="C4" s="162" t="s">
        <v>1169</v>
      </c>
      <c r="D4" s="169" t="s">
        <v>10</v>
      </c>
      <c r="E4" s="170" t="s">
        <v>22</v>
      </c>
    </row>
    <row r="5" spans="1:5" x14ac:dyDescent="0.2">
      <c r="A5" s="168" t="s">
        <v>1861</v>
      </c>
      <c r="C5" s="162" t="s">
        <v>1169</v>
      </c>
      <c r="D5" s="169" t="s">
        <v>10</v>
      </c>
      <c r="E5" s="170" t="s">
        <v>22</v>
      </c>
    </row>
    <row r="6" spans="1:5" x14ac:dyDescent="0.2">
      <c r="A6" s="168" t="s">
        <v>1860</v>
      </c>
      <c r="C6" s="162" t="s">
        <v>1169</v>
      </c>
      <c r="D6" s="167" t="s">
        <v>11</v>
      </c>
      <c r="E6" s="170" t="s">
        <v>941</v>
      </c>
    </row>
    <row r="7" spans="1:5" x14ac:dyDescent="0.2">
      <c r="A7" s="168" t="s">
        <v>1862</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1863</v>
      </c>
      <c r="C11" s="162" t="s">
        <v>1169</v>
      </c>
      <c r="D11" s="169" t="s">
        <v>14</v>
      </c>
      <c r="E11" s="170" t="s">
        <v>1156</v>
      </c>
    </row>
    <row r="12" spans="1:5" x14ac:dyDescent="0.2">
      <c r="B12" s="169" t="s">
        <v>1864</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1865</v>
      </c>
      <c r="C15" s="162" t="s">
        <v>1169</v>
      </c>
      <c r="D15" s="169" t="s">
        <v>17</v>
      </c>
      <c r="E15" s="170" t="s">
        <v>636</v>
      </c>
    </row>
    <row r="16" spans="1:5" x14ac:dyDescent="0.2">
      <c r="A16" s="172"/>
      <c r="B16" s="162" t="s">
        <v>1866</v>
      </c>
      <c r="C16" s="162" t="s">
        <v>1169</v>
      </c>
      <c r="D16" s="169" t="s">
        <v>681</v>
      </c>
      <c r="E16" s="170" t="s">
        <v>1040</v>
      </c>
    </row>
    <row r="17" spans="1:5" x14ac:dyDescent="0.2">
      <c r="B17" s="167" t="s">
        <v>988</v>
      </c>
      <c r="C17" s="162" t="s">
        <v>1169</v>
      </c>
    </row>
    <row r="18" spans="1:5" x14ac:dyDescent="0.2">
      <c r="B18" s="167" t="s">
        <v>1872</v>
      </c>
      <c r="D18" s="169" t="s">
        <v>18</v>
      </c>
      <c r="E18" s="170" t="s">
        <v>1041</v>
      </c>
    </row>
    <row r="19" spans="1:5" x14ac:dyDescent="0.2">
      <c r="A19" s="168" t="s">
        <v>1099</v>
      </c>
      <c r="C19" s="162" t="s">
        <v>1169</v>
      </c>
      <c r="D19" s="169"/>
      <c r="E19" s="171"/>
    </row>
    <row r="20" spans="1:5" x14ac:dyDescent="0.2">
      <c r="B20" s="167" t="s">
        <v>1867</v>
      </c>
      <c r="C20" s="162" t="s">
        <v>1169</v>
      </c>
      <c r="D20" s="169" t="s">
        <v>19</v>
      </c>
      <c r="E20" s="170" t="s">
        <v>51</v>
      </c>
    </row>
    <row r="21" spans="1:5" x14ac:dyDescent="0.2">
      <c r="B21" s="167" t="s">
        <v>1868</v>
      </c>
      <c r="C21" s="162" t="s">
        <v>1169</v>
      </c>
      <c r="D21" s="169" t="s">
        <v>20</v>
      </c>
      <c r="E21" s="170" t="s">
        <v>1610</v>
      </c>
    </row>
    <row r="22" spans="1:5" x14ac:dyDescent="0.2">
      <c r="A22" s="168"/>
      <c r="B22" s="162" t="s">
        <v>1856</v>
      </c>
      <c r="C22" s="162" t="s">
        <v>1169</v>
      </c>
      <c r="D22" s="167" t="s">
        <v>1858</v>
      </c>
      <c r="E22" s="1809" t="s">
        <v>1611</v>
      </c>
    </row>
    <row r="23" spans="1:5" x14ac:dyDescent="0.2">
      <c r="A23" s="168"/>
      <c r="B23" s="162" t="s">
        <v>1857</v>
      </c>
      <c r="D23" s="167" t="s">
        <v>637</v>
      </c>
      <c r="E23" s="1809" t="s">
        <v>959</v>
      </c>
    </row>
    <row r="24" spans="1:5" x14ac:dyDescent="0.2">
      <c r="A24" s="168" t="s">
        <v>1609</v>
      </c>
      <c r="C24" s="162" t="s">
        <v>1169</v>
      </c>
      <c r="D24" s="167" t="s">
        <v>1393</v>
      </c>
      <c r="E24" s="170" t="s">
        <v>960</v>
      </c>
    </row>
    <row r="25" spans="1:5" x14ac:dyDescent="0.2">
      <c r="A25" s="168" t="s">
        <v>1869</v>
      </c>
      <c r="C25" s="162" t="s">
        <v>1169</v>
      </c>
      <c r="D25" s="169" t="s">
        <v>21</v>
      </c>
      <c r="E25" s="170" t="s">
        <v>1042</v>
      </c>
    </row>
    <row r="26" spans="1:5" x14ac:dyDescent="0.2">
      <c r="A26" s="168" t="s">
        <v>1870</v>
      </c>
      <c r="C26" s="162" t="s">
        <v>1169</v>
      </c>
      <c r="D26" s="169" t="s">
        <v>563</v>
      </c>
      <c r="E26" s="170" t="s">
        <v>1043</v>
      </c>
    </row>
    <row r="27" spans="1:5" x14ac:dyDescent="0.2">
      <c r="A27" s="168" t="s">
        <v>1871</v>
      </c>
      <c r="C27" s="162" t="s">
        <v>1169</v>
      </c>
      <c r="D27" s="169" t="s">
        <v>557</v>
      </c>
      <c r="E27" s="170" t="s">
        <v>683</v>
      </c>
    </row>
    <row r="28" spans="1:5" x14ac:dyDescent="0.2">
      <c r="A28" s="168" t="s">
        <v>1873</v>
      </c>
      <c r="D28" s="169" t="s">
        <v>684</v>
      </c>
      <c r="E28" s="170" t="s">
        <v>1366</v>
      </c>
    </row>
    <row r="29" spans="1:5" x14ac:dyDescent="0.2">
      <c r="A29" s="168" t="s">
        <v>1874</v>
      </c>
      <c r="D29" s="169" t="s">
        <v>1394</v>
      </c>
      <c r="E29" s="170" t="s">
        <v>1375</v>
      </c>
    </row>
    <row r="30" spans="1:5" x14ac:dyDescent="0.2">
      <c r="A30" s="173" t="s">
        <v>1875</v>
      </c>
      <c r="C30" s="162" t="s">
        <v>1169</v>
      </c>
      <c r="D30" s="169" t="s">
        <v>40</v>
      </c>
      <c r="E30" s="170" t="s">
        <v>982</v>
      </c>
    </row>
    <row r="31" spans="1:5" x14ac:dyDescent="0.2">
      <c r="A31" s="168" t="s">
        <v>1521</v>
      </c>
      <c r="C31" s="162" t="s">
        <v>1169</v>
      </c>
      <c r="D31" s="167"/>
      <c r="E31" s="171"/>
    </row>
    <row r="32" spans="1:5" x14ac:dyDescent="0.2">
      <c r="B32" s="167" t="s">
        <v>1876</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125" t="s">
        <v>1065</v>
      </c>
      <c r="B35" s="2125"/>
      <c r="C35" s="2125"/>
      <c r="D35" s="2125"/>
      <c r="E35" s="212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122" t="s">
        <v>691</v>
      </c>
      <c r="B40" s="2122"/>
      <c r="C40" s="2122"/>
      <c r="D40" s="2122"/>
      <c r="E40" s="2122"/>
    </row>
    <row r="41" spans="1:5" x14ac:dyDescent="0.2">
      <c r="A41" s="2123" t="s">
        <v>1608</v>
      </c>
      <c r="B41" s="2123"/>
      <c r="C41" s="2123"/>
      <c r="D41" s="2123"/>
      <c r="E41" s="2123"/>
    </row>
    <row r="42" spans="1:5" ht="12.75" customHeight="1" x14ac:dyDescent="0.2">
      <c r="A42" s="2124" t="s">
        <v>1022</v>
      </c>
      <c r="B42" s="2124"/>
      <c r="C42" s="2124"/>
      <c r="D42" s="2124"/>
      <c r="E42" s="2124"/>
    </row>
    <row r="43" spans="1:5" ht="6.75" customHeight="1" x14ac:dyDescent="0.2">
      <c r="A43" s="167"/>
      <c r="B43" s="176"/>
    </row>
    <row r="44" spans="1:5" x14ac:dyDescent="0.2">
      <c r="A44" s="185" t="s">
        <v>983</v>
      </c>
      <c r="B44" s="186" t="s">
        <v>1902</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58" t="s">
        <v>1776</v>
      </c>
    </row>
    <row r="60" spans="1:3" x14ac:dyDescent="0.2">
      <c r="A60" s="196"/>
      <c r="B60" s="1458"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60"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59"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tabColor rgb="FF00B050"/>
  </sheetPr>
  <dimension ref="A1:D19"/>
  <sheetViews>
    <sheetView showGridLines="0" defaultGridColor="0" view="pageBreakPreview" colorId="8" zoomScaleNormal="110" zoomScaleSheetLayoutView="100" workbookViewId="0">
      <selection activeCell="AF22" sqref="AF2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20"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tabColor rgb="FF00B050"/>
  </sheetPr>
  <dimension ref="A11:F18"/>
  <sheetViews>
    <sheetView showGridLines="0" zoomScale="110" zoomScaleNormal="110" zoomScaleSheetLayoutView="100" workbookViewId="0">
      <selection activeCell="B5" sqref="B5"/>
    </sheetView>
  </sheetViews>
  <sheetFormatPr defaultRowHeight="12.75" x14ac:dyDescent="0.2"/>
  <cols>
    <col min="1" max="1" width="1.85546875" style="329" customWidth="1"/>
    <col min="2" max="2" width="59.7109375" style="329" customWidth="1"/>
    <col min="3" max="16384" width="9.140625" style="329"/>
  </cols>
  <sheetData>
    <row r="11" spans="1:6" x14ac:dyDescent="0.2">
      <c r="B11" s="1044"/>
      <c r="C11" s="1044"/>
      <c r="D11" s="1044"/>
      <c r="E11" s="1044"/>
      <c r="F11" s="1044"/>
    </row>
    <row r="13" spans="1:6" x14ac:dyDescent="0.2">
      <c r="A13" s="1045" t="s">
        <v>1493</v>
      </c>
    </row>
    <row r="15" spans="1:6" x14ac:dyDescent="0.2">
      <c r="A15" s="389" t="s">
        <v>857</v>
      </c>
    </row>
    <row r="16" spans="1:6" s="1044" customFormat="1" ht="45" customHeight="1" x14ac:dyDescent="0.2">
      <c r="A16" s="1046"/>
      <c r="B16" s="1046" t="s">
        <v>1684</v>
      </c>
    </row>
    <row r="17" spans="1:2" ht="6" customHeight="1" x14ac:dyDescent="0.2"/>
    <row r="18" spans="1:2" ht="24.75" customHeight="1" x14ac:dyDescent="0.2">
      <c r="A18" s="2408" t="s">
        <v>1685</v>
      </c>
      <c r="B18" s="2408"/>
    </row>
  </sheetData>
  <sheetProtection selectLockedCells="1"/>
  <mergeCells count="1">
    <mergeCell ref="A18:B18"/>
  </mergeCells>
  <phoneticPr fontId="20"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4</xdr:row>
                <xdr:rowOff>0</xdr:rowOff>
              </from>
              <to>
                <xdr:col>1</xdr:col>
                <xdr:colOff>914400</xdr:colOff>
                <xdr:row>8</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tabColor rgb="FF00B050"/>
    <pageSetUpPr fitToPage="1"/>
  </sheetPr>
  <dimension ref="A1:H48"/>
  <sheetViews>
    <sheetView showGridLines="0" showZeros="0" view="pageBreakPreview" zoomScaleNormal="110" zoomScaleSheetLayoutView="100" workbookViewId="0">
      <selection activeCell="J20" sqref="J20"/>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409" t="s">
        <v>1690</v>
      </c>
      <c r="B1" s="2410"/>
      <c r="C1" s="2410"/>
      <c r="D1" s="2410"/>
      <c r="E1" s="2410"/>
      <c r="F1" s="2411"/>
    </row>
    <row r="2" spans="1:8" ht="45" customHeight="1" x14ac:dyDescent="0.2">
      <c r="A2" s="2419" t="s">
        <v>1987</v>
      </c>
      <c r="B2" s="2420"/>
      <c r="C2" s="2420"/>
      <c r="D2" s="2420"/>
      <c r="E2" s="2420"/>
      <c r="F2" s="2421"/>
      <c r="G2" s="1047"/>
      <c r="H2" s="1047"/>
    </row>
    <row r="3" spans="1:8" ht="57" customHeight="1" x14ac:dyDescent="0.2">
      <c r="A3" s="2422" t="s">
        <v>1686</v>
      </c>
      <c r="B3" s="2423"/>
      <c r="C3" s="2423"/>
      <c r="D3" s="2423"/>
      <c r="E3" s="2423"/>
      <c r="F3" s="2424"/>
      <c r="G3" s="1047"/>
      <c r="H3" s="1047"/>
    </row>
    <row r="4" spans="1:8" ht="14.25" customHeight="1" x14ac:dyDescent="0.2">
      <c r="A4" s="2428" t="s">
        <v>1988</v>
      </c>
      <c r="B4" s="2429"/>
      <c r="C4" s="2429"/>
      <c r="D4" s="2429"/>
      <c r="E4" s="2429"/>
      <c r="F4" s="2430"/>
      <c r="G4" s="1047"/>
      <c r="H4" s="1047"/>
    </row>
    <row r="5" spans="1:8" ht="14.25" customHeight="1" x14ac:dyDescent="0.2">
      <c r="A5" s="2431" t="s">
        <v>1984</v>
      </c>
      <c r="B5" s="2432"/>
      <c r="C5" s="2432"/>
      <c r="D5" s="2432"/>
      <c r="E5" s="2432"/>
      <c r="F5" s="2433"/>
      <c r="G5" s="1047"/>
      <c r="H5" s="1047"/>
    </row>
    <row r="6" spans="1:8" s="1048" customFormat="1" ht="41.25" customHeight="1" x14ac:dyDescent="0.2">
      <c r="A6" s="2425" t="s">
        <v>1691</v>
      </c>
      <c r="B6" s="2426"/>
      <c r="C6" s="2426"/>
      <c r="D6" s="2426"/>
      <c r="E6" s="2426"/>
      <c r="F6" s="2427"/>
    </row>
    <row r="7" spans="1:8" ht="42" customHeight="1" x14ac:dyDescent="0.2">
      <c r="A7" s="1049" t="s">
        <v>481</v>
      </c>
      <c r="B7" s="1050" t="s">
        <v>1496</v>
      </c>
      <c r="C7" s="1050" t="s">
        <v>1497</v>
      </c>
      <c r="D7" s="1050" t="s">
        <v>1495</v>
      </c>
      <c r="E7" s="1050" t="s">
        <v>1498</v>
      </c>
      <c r="F7" s="1050" t="s">
        <v>1367</v>
      </c>
    </row>
    <row r="8" spans="1:8" s="1052" customFormat="1" ht="14.25" customHeight="1" x14ac:dyDescent="0.2">
      <c r="A8" s="1051" t="s">
        <v>1368</v>
      </c>
      <c r="B8" s="1788">
        <f>'Acct Summary 7-8'!C8</f>
        <v>3852494</v>
      </c>
      <c r="C8" s="1788">
        <f>'Acct Summary 7-8'!D8</f>
        <v>597632</v>
      </c>
      <c r="D8" s="1788">
        <f>'Acct Summary 7-8'!F8</f>
        <v>194771</v>
      </c>
      <c r="E8" s="1788">
        <f>'Acct Summary 7-8'!I8</f>
        <v>16713</v>
      </c>
      <c r="F8" s="1788">
        <f>SUM(B8:E8)</f>
        <v>4661610</v>
      </c>
    </row>
    <row r="9" spans="1:8" s="1052" customFormat="1" ht="14.25" customHeight="1" thickBot="1" x14ac:dyDescent="0.25">
      <c r="A9" s="1051" t="s">
        <v>1369</v>
      </c>
      <c r="B9" s="1789">
        <f>'Acct Summary 7-8'!C17</f>
        <v>3110891</v>
      </c>
      <c r="C9" s="1789">
        <f>'Acct Summary 7-8'!D17</f>
        <v>196069</v>
      </c>
      <c r="D9" s="1789">
        <f>'Acct Summary 7-8'!F17</f>
        <v>285964</v>
      </c>
      <c r="E9" s="1788"/>
      <c r="F9" s="1788">
        <f>SUM(B9:E9)</f>
        <v>3592924</v>
      </c>
    </row>
    <row r="10" spans="1:8" s="1052" customFormat="1" ht="14.25" thickTop="1" thickBot="1" x14ac:dyDescent="0.25">
      <c r="A10" s="1053" t="s">
        <v>1370</v>
      </c>
      <c r="B10" s="1790">
        <f>(B8-B9)</f>
        <v>741603</v>
      </c>
      <c r="C10" s="1790">
        <f>(C8-C9)</f>
        <v>401563</v>
      </c>
      <c r="D10" s="1790">
        <f>(D8-D9)</f>
        <v>-91193</v>
      </c>
      <c r="E10" s="1789">
        <f>(E8-E9)</f>
        <v>16713</v>
      </c>
      <c r="F10" s="1791">
        <f>SUM(F8-F9)</f>
        <v>1068686</v>
      </c>
    </row>
    <row r="11" spans="1:8" s="1052" customFormat="1" ht="14.25" thickTop="1" thickBot="1" x14ac:dyDescent="0.25">
      <c r="A11" s="1054" t="s">
        <v>1985</v>
      </c>
      <c r="B11" s="1792">
        <f>'Acct Summary 7-8'!C81</f>
        <v>8093072</v>
      </c>
      <c r="C11" s="1792">
        <f>'Acct Summary 7-8'!D81</f>
        <v>1385937</v>
      </c>
      <c r="D11" s="1792">
        <f>'Acct Summary 7-8'!F81</f>
        <v>794618</v>
      </c>
      <c r="E11" s="1792">
        <f>'Acct Summary 7-8'!I81</f>
        <v>23087</v>
      </c>
      <c r="F11" s="1793">
        <f>SUM(B11:E11)</f>
        <v>10296714</v>
      </c>
    </row>
    <row r="12" spans="1:8" ht="16.5" customHeight="1" thickTop="1" x14ac:dyDescent="0.2">
      <c r="A12" s="1055"/>
      <c r="B12" s="1056"/>
      <c r="C12" s="2413" t="str">
        <f>IF(AND(F10&lt;0,F11&gt;=0,ABS(F10*3)&gt;ABS(F11)),A16,IF(AND(F10&lt;0,F11&gt;0,ABS(F10*3)&lt;=ABS(F11)),A17,IF(AND(F10&lt;0,F11&lt;0),A16,IF(F11=0,A19,A18))))</f>
        <v>Balanced - no deficit reduction plan is required.</v>
      </c>
      <c r="D12" s="2414"/>
      <c r="E12" s="2414"/>
      <c r="F12" s="2415"/>
    </row>
    <row r="13" spans="1:8" ht="19.5" customHeight="1" x14ac:dyDescent="0.2">
      <c r="A13" s="1057"/>
      <c r="B13" s="1058"/>
      <c r="C13" s="2413"/>
      <c r="D13" s="2414"/>
      <c r="E13" s="2414"/>
      <c r="F13" s="2415"/>
      <c r="H13" s="1047"/>
    </row>
    <row r="14" spans="1:8" ht="19.5" customHeight="1" x14ac:dyDescent="0.2">
      <c r="A14" s="1057"/>
      <c r="B14" s="1058"/>
      <c r="C14" s="2413"/>
      <c r="D14" s="2414"/>
      <c r="E14" s="2414"/>
      <c r="F14" s="2415"/>
      <c r="H14" s="1047"/>
    </row>
    <row r="15" spans="1:8" ht="17.25" customHeight="1" x14ac:dyDescent="0.2">
      <c r="A15" s="1057"/>
      <c r="B15" s="1058"/>
      <c r="C15" s="2416"/>
      <c r="D15" s="2417"/>
      <c r="E15" s="2417"/>
      <c r="F15" s="2418"/>
      <c r="H15" s="1047"/>
    </row>
    <row r="16" spans="1:8" s="310" customFormat="1" ht="51.75" hidden="1" customHeight="1" x14ac:dyDescent="0.2">
      <c r="A16" s="2412" t="s">
        <v>1687</v>
      </c>
      <c r="B16" s="2412"/>
      <c r="C16" s="2412"/>
      <c r="D16" s="2412"/>
      <c r="E16" s="2412"/>
      <c r="F16" s="310" t="s">
        <v>1371</v>
      </c>
    </row>
    <row r="17" spans="1:6" hidden="1" x14ac:dyDescent="0.2">
      <c r="A17" s="316" t="s">
        <v>1688</v>
      </c>
      <c r="F17" s="1059"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60"/>
    </row>
    <row r="48" spans="3:3" x14ac:dyDescent="0.2">
      <c r="C48" s="1059"/>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view="pageBreakPreview" topLeftCell="A8" colorId="8" zoomScaleNormal="110" zoomScaleSheetLayoutView="100" workbookViewId="0">
      <selection activeCell="D50" sqref="D50"/>
    </sheetView>
  </sheetViews>
  <sheetFormatPr defaultColWidth="9.140625" defaultRowHeight="12" x14ac:dyDescent="0.2"/>
  <cols>
    <col min="1" max="1" width="2.7109375" style="1106" customWidth="1"/>
    <col min="2" max="2" width="3.140625" style="1106" customWidth="1"/>
    <col min="3" max="3" width="96.140625" style="1046" customWidth="1"/>
    <col min="4" max="4" width="42.140625" style="242" customWidth="1"/>
    <col min="5" max="5" width="2.7109375" style="1065" customWidth="1"/>
    <col min="6" max="6" width="1" style="1065" customWidth="1"/>
    <col min="7" max="16384" width="9.140625" style="1065"/>
  </cols>
  <sheetData>
    <row r="1" spans="1:4" ht="4.5" customHeight="1" thickBot="1" x14ac:dyDescent="0.25">
      <c r="A1" s="1061"/>
      <c r="B1" s="1062"/>
      <c r="C1" s="1063"/>
      <c r="D1" s="1064"/>
    </row>
    <row r="2" spans="1:4" ht="7.5" customHeight="1" thickTop="1" x14ac:dyDescent="0.2">
      <c r="A2" s="1870"/>
      <c r="B2" s="1871"/>
      <c r="C2" s="1872"/>
      <c r="D2" s="1873"/>
    </row>
    <row r="3" spans="1:4" ht="36" customHeight="1" x14ac:dyDescent="0.2">
      <c r="A3" s="2434" t="s">
        <v>665</v>
      </c>
      <c r="B3" s="2435"/>
      <c r="C3" s="2435"/>
      <c r="D3" s="2436"/>
    </row>
    <row r="4" spans="1:4" x14ac:dyDescent="0.2">
      <c r="A4" s="1125" t="s">
        <v>1692</v>
      </c>
      <c r="B4" s="1126"/>
      <c r="C4" s="1127"/>
      <c r="D4" s="1128"/>
    </row>
    <row r="5" spans="1:4" ht="21" customHeight="1" x14ac:dyDescent="0.2">
      <c r="A5" s="1121"/>
      <c r="B5" s="1122">
        <v>1</v>
      </c>
      <c r="C5" s="1123" t="s">
        <v>1835</v>
      </c>
      <c r="D5" s="1124"/>
    </row>
    <row r="6" spans="1:4" s="643" customFormat="1" ht="14.25" customHeight="1" x14ac:dyDescent="0.2">
      <c r="A6" s="1111"/>
      <c r="B6" s="1066">
        <f t="shared" ref="B6:B13" si="0">B5+1</f>
        <v>2</v>
      </c>
      <c r="C6" s="1067" t="s">
        <v>864</v>
      </c>
      <c r="D6" s="1068"/>
    </row>
    <row r="7" spans="1:4" s="643" customFormat="1" ht="12.75" x14ac:dyDescent="0.2">
      <c r="A7" s="1111"/>
      <c r="B7" s="1066">
        <f t="shared" si="0"/>
        <v>3</v>
      </c>
      <c r="C7" s="2445" t="s">
        <v>1504</v>
      </c>
      <c r="D7" s="2446"/>
    </row>
    <row r="8" spans="1:4" s="643" customFormat="1" ht="12.75" x14ac:dyDescent="0.2">
      <c r="A8" s="1111"/>
      <c r="B8" s="1066"/>
      <c r="C8" s="1069" t="s">
        <v>1503</v>
      </c>
      <c r="D8" s="1070"/>
    </row>
    <row r="9" spans="1:4" s="643" customFormat="1" ht="14.25" customHeight="1" x14ac:dyDescent="0.2">
      <c r="A9" s="1111"/>
      <c r="B9" s="1066">
        <f>B7+1</f>
        <v>4</v>
      </c>
      <c r="C9" s="1067" t="s">
        <v>1913</v>
      </c>
      <c r="D9" s="1068"/>
    </row>
    <row r="10" spans="1:4" s="643" customFormat="1" ht="14.25" customHeight="1" x14ac:dyDescent="0.2">
      <c r="A10" s="1111"/>
      <c r="B10" s="1066">
        <f t="shared" si="0"/>
        <v>5</v>
      </c>
      <c r="C10" s="1067" t="s">
        <v>639</v>
      </c>
      <c r="D10" s="1068"/>
    </row>
    <row r="11" spans="1:4" s="643" customFormat="1" ht="14.25" customHeight="1" x14ac:dyDescent="0.2">
      <c r="A11" s="1111"/>
      <c r="B11" s="1066">
        <f t="shared" si="0"/>
        <v>6</v>
      </c>
      <c r="C11" s="1067" t="s">
        <v>778</v>
      </c>
      <c r="D11" s="1068"/>
    </row>
    <row r="12" spans="1:4" s="643" customFormat="1" ht="14.25" customHeight="1" x14ac:dyDescent="0.2">
      <c r="A12" s="1111"/>
      <c r="B12" s="1066">
        <f t="shared" si="0"/>
        <v>7</v>
      </c>
      <c r="C12" s="1067" t="s">
        <v>1062</v>
      </c>
      <c r="D12" s="1068"/>
    </row>
    <row r="13" spans="1:4" s="643" customFormat="1" ht="14.25" customHeight="1" x14ac:dyDescent="0.2">
      <c r="A13" s="1111"/>
      <c r="B13" s="1066">
        <f t="shared" si="0"/>
        <v>8</v>
      </c>
      <c r="C13" s="1107" t="s">
        <v>779</v>
      </c>
      <c r="D13" s="1068"/>
    </row>
    <row r="14" spans="1:4" s="643" customFormat="1" ht="14.25" customHeight="1" x14ac:dyDescent="0.2">
      <c r="A14" s="1111"/>
      <c r="B14" s="1108">
        <v>9</v>
      </c>
      <c r="C14" s="1109" t="s">
        <v>1505</v>
      </c>
      <c r="D14" s="1110"/>
    </row>
    <row r="15" spans="1:4" s="643" customFormat="1" ht="21.75" customHeight="1" x14ac:dyDescent="0.2">
      <c r="A15" s="2437" t="s">
        <v>1008</v>
      </c>
      <c r="B15" s="2438"/>
      <c r="C15" s="2438"/>
      <c r="D15" s="2439"/>
    </row>
    <row r="16" spans="1:4" s="643" customFormat="1" ht="24" customHeight="1" x14ac:dyDescent="0.2">
      <c r="A16" s="2440" t="s">
        <v>663</v>
      </c>
      <c r="B16" s="2441"/>
      <c r="C16" s="2441"/>
      <c r="D16" s="2442"/>
    </row>
    <row r="17" spans="1:10" s="643" customFormat="1" ht="12.75" customHeight="1" x14ac:dyDescent="0.2">
      <c r="A17" s="1129" t="s">
        <v>1693</v>
      </c>
      <c r="B17" s="1130"/>
      <c r="C17" s="1131"/>
      <c r="D17" s="1132"/>
    </row>
    <row r="18" spans="1:10" s="643" customFormat="1" ht="12.75" customHeight="1" x14ac:dyDescent="0.2">
      <c r="A18" s="1133" t="s">
        <v>1694</v>
      </c>
      <c r="B18" s="1134"/>
      <c r="C18" s="1135"/>
      <c r="D18" s="1136"/>
    </row>
    <row r="19" spans="1:10" ht="6.75" customHeight="1" thickBot="1" x14ac:dyDescent="0.25">
      <c r="A19" s="1137"/>
      <c r="B19" s="1138"/>
      <c r="C19" s="1139"/>
      <c r="D19" s="1140"/>
    </row>
    <row r="20" spans="1:10" s="1144" customFormat="1" ht="12.75" thickTop="1" x14ac:dyDescent="0.2">
      <c r="A20" s="1141"/>
      <c r="B20" s="1142" t="s">
        <v>1695</v>
      </c>
      <c r="C20" s="1143"/>
      <c r="D20" s="1146" t="s">
        <v>710</v>
      </c>
    </row>
    <row r="21" spans="1:10" x14ac:dyDescent="0.2">
      <c r="A21" s="1071"/>
      <c r="B21" s="1072">
        <v>1</v>
      </c>
      <c r="C21" s="2449" t="s">
        <v>314</v>
      </c>
      <c r="D21" s="2450"/>
    </row>
    <row r="22" spans="1:10" ht="12.75" x14ac:dyDescent="0.2">
      <c r="A22" s="1112"/>
      <c r="B22" s="1113">
        <v>2</v>
      </c>
      <c r="C22" s="2447" t="s">
        <v>1524</v>
      </c>
      <c r="D22" s="2448"/>
    </row>
    <row r="23" spans="1:10" ht="12.2" customHeight="1" x14ac:dyDescent="0.2">
      <c r="A23" s="1112"/>
      <c r="B23" s="1113"/>
      <c r="C23" s="1114" t="s">
        <v>954</v>
      </c>
      <c r="D23" s="1115" t="str">
        <f>IF(COVER!O11="X","CASH",IF(COVER!O12="X","ACCRUAL ","PLEASE CHECK AN ACCOUNTING BASIS."))</f>
        <v>CASH</v>
      </c>
    </row>
    <row r="24" spans="1:10" ht="12.2" customHeight="1" x14ac:dyDescent="0.2">
      <c r="A24" s="1112"/>
      <c r="B24" s="1113"/>
      <c r="C24" s="1114" t="s">
        <v>1332</v>
      </c>
      <c r="D24" s="1115" t="str">
        <f>IF(COVER!O11="X","OK",IF(AND('Aud Quest 2'!J90=0,'Aud Quest 2'!I77&lt;DATE(2017,12,31)),"ENTER ACCOUNTING INFO",IF(AND('Aud Quest 2'!J90&gt;0,'Aud Quest 2'!I77&lt;DATE(2017,12,31)),"OK")))</f>
        <v>OK</v>
      </c>
    </row>
    <row r="25" spans="1:10" x14ac:dyDescent="0.2">
      <c r="A25" s="1073"/>
      <c r="B25" s="1074"/>
      <c r="C25" s="1075" t="s">
        <v>1526</v>
      </c>
      <c r="D25" s="1076" t="str">
        <f>IF(AND(COVER!J29="X",COVER!J30="X",COVER!L30&lt;&gt;"X"),"OK",IF(AND(COVER!J29="X",COVER!J30&lt;&gt;"X",COVER!L30="X"),"OK",IF(AND(COVER!L29="X",COVER!J30&lt;&gt;"X"),"OK","PLEASE CHECK YES or NO.")))</f>
        <v>OK</v>
      </c>
    </row>
    <row r="26" spans="1:10" x14ac:dyDescent="0.2">
      <c r="A26" s="1073"/>
      <c r="B26" s="1116"/>
      <c r="C26" s="1077" t="s">
        <v>1525</v>
      </c>
      <c r="D26" s="1078" t="str">
        <f>IF(AND(COVER!J29="X",COVER!J30="X",COVER!L29&lt;&gt;"X"),"OK",IF(AND(COVER!J29="X",COVER!J30&lt;&gt;"X",COVER!L30="X"),"SENDING AN A-133 SEPERATELY!",IF(AND(COVER!L29="X",COVER!J30&lt;&gt;"X"),"OK","PLEASE CHECK YES or NO.")))</f>
        <v>OK</v>
      </c>
    </row>
    <row r="27" spans="1:10" ht="12" hidden="1" customHeight="1" x14ac:dyDescent="0.2">
      <c r="A27" s="1079"/>
      <c r="B27" s="1116"/>
      <c r="C27" s="1075" t="s">
        <v>975</v>
      </c>
      <c r="D27" s="1078" t="str">
        <f>IF(AND(COVER!J29="X",COVER!J31="X",COVER!L29&lt;&gt;"X"),"OK",IF(AND(COVER!J29="X",COVER!J31&lt;&gt;"X",COVER!L31="X"),"NO FINDINGS WERE ISSUED",IF(AND(COVER!L29="X",COVER!J31&lt;&gt;"X"),"OK","PLEASE CHECK YES or NO.")))</f>
        <v>OK</v>
      </c>
    </row>
    <row r="28" spans="1:10" ht="24" hidden="1" customHeight="1" x14ac:dyDescent="0.2">
      <c r="A28" s="1079"/>
      <c r="B28" s="1116"/>
      <c r="C28" s="1075" t="s">
        <v>842</v>
      </c>
      <c r="D28" s="1080" t="str">
        <f>IF('Aud Quest 2'!B53="X",IF('Aud Quest 2'!F53&gt;"00/00/00 ","Enter Effective Date","ok"))</f>
        <v>ok</v>
      </c>
    </row>
    <row r="29" spans="1:10" x14ac:dyDescent="0.2">
      <c r="A29" s="1073"/>
      <c r="B29" s="1116"/>
      <c r="C29" s="1077" t="s">
        <v>1373</v>
      </c>
      <c r="D29" s="1078"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71"/>
      <c r="B30" s="1113">
        <f>B22+1</f>
        <v>3</v>
      </c>
      <c r="C30" s="1081" t="s">
        <v>825</v>
      </c>
      <c r="D30" s="1082"/>
    </row>
    <row r="31" spans="1:10" x14ac:dyDescent="0.2">
      <c r="A31" s="1073"/>
      <c r="B31" s="1083"/>
      <c r="C31" s="1117" t="s">
        <v>253</v>
      </c>
      <c r="D31" s="1084" t="str">
        <f>IF(SUM('FP Info 3'!J10:L10)&lt;=0.0999999,"OK","CORRECT THE TAX RATES BY MOVING THE DECIMAL TWO PLACES TO THE LEFT.")</f>
        <v>OK</v>
      </c>
      <c r="E31" s="359"/>
      <c r="F31" s="359"/>
      <c r="G31" s="359"/>
      <c r="H31" s="359"/>
      <c r="I31" s="359"/>
      <c r="J31" s="359"/>
    </row>
    <row r="32" spans="1:10" x14ac:dyDescent="0.2">
      <c r="A32" s="1073"/>
      <c r="B32" s="1118"/>
      <c r="C32" s="1085" t="s">
        <v>978</v>
      </c>
      <c r="D32" s="1076" t="str">
        <f>IF(OR(COVER!B6="x",'FP Info 3'!B31="X",'FP Info 3'!B32="X"),"OK","ENTRY IS REQUIRED!")</f>
        <v>OK</v>
      </c>
    </row>
    <row r="33" spans="1:12" s="1089" customFormat="1" ht="12.75" customHeight="1" x14ac:dyDescent="0.2">
      <c r="A33" s="1086"/>
      <c r="B33" s="1113">
        <f>B30+1</f>
        <v>4</v>
      </c>
      <c r="C33" s="1087" t="s">
        <v>780</v>
      </c>
      <c r="D33" s="1088"/>
    </row>
    <row r="34" spans="1:12" s="1089" customFormat="1" x14ac:dyDescent="0.2">
      <c r="A34" s="1090"/>
      <c r="B34" s="1113"/>
      <c r="C34" s="1091" t="s">
        <v>826</v>
      </c>
      <c r="D34" s="1076" t="str">
        <f>IF('Assets-Liab 5-6'!C4&lt;-0.49, "ERROR!","OK")</f>
        <v>OK</v>
      </c>
    </row>
    <row r="35" spans="1:12" x14ac:dyDescent="0.2">
      <c r="A35" s="1090"/>
      <c r="B35" s="1113"/>
      <c r="C35" s="1091" t="s">
        <v>306</v>
      </c>
      <c r="D35" s="1076" t="str">
        <f>IF('Assets-Liab 5-6'!D4&lt;-0.49, "ERROR!","OK")</f>
        <v>OK</v>
      </c>
      <c r="L35" s="1145"/>
    </row>
    <row r="36" spans="1:12" x14ac:dyDescent="0.2">
      <c r="A36" s="1090"/>
      <c r="B36" s="1113"/>
      <c r="C36" s="1091" t="s">
        <v>781</v>
      </c>
      <c r="D36" s="1076" t="str">
        <f>IF('Assets-Liab 5-6'!E4&lt;-0.49, "ERROR!","OK")</f>
        <v>OK</v>
      </c>
    </row>
    <row r="37" spans="1:12" x14ac:dyDescent="0.2">
      <c r="A37" s="1090"/>
      <c r="B37" s="1113"/>
      <c r="C37" s="1091" t="s">
        <v>307</v>
      </c>
      <c r="D37" s="1076" t="str">
        <f>IF('Assets-Liab 5-6'!F4&lt;-0.49, "ERROR!","OK")</f>
        <v>OK</v>
      </c>
    </row>
    <row r="38" spans="1:12" x14ac:dyDescent="0.2">
      <c r="A38" s="1090"/>
      <c r="B38" s="1113"/>
      <c r="C38" s="1091" t="s">
        <v>308</v>
      </c>
      <c r="D38" s="1076" t="str">
        <f>IF('Assets-Liab 5-6'!G4&lt;-0.49, "ERROR!","OK")</f>
        <v>OK</v>
      </c>
    </row>
    <row r="39" spans="1:12" x14ac:dyDescent="0.2">
      <c r="A39" s="1090"/>
      <c r="B39" s="1113"/>
      <c r="C39" s="1091" t="s">
        <v>782</v>
      </c>
      <c r="D39" s="1076" t="str">
        <f>IF('Assets-Liab 5-6'!H4&lt;-0.49, "ERROR!","OK")</f>
        <v>OK</v>
      </c>
    </row>
    <row r="40" spans="1:12" x14ac:dyDescent="0.2">
      <c r="A40" s="1090"/>
      <c r="B40" s="1113"/>
      <c r="C40" s="1091" t="s">
        <v>309</v>
      </c>
      <c r="D40" s="1076" t="str">
        <f>IF('Assets-Liab 5-6'!I4&lt;-0.49, "ERROR!","OK")</f>
        <v>OK</v>
      </c>
    </row>
    <row r="41" spans="1:12" x14ac:dyDescent="0.2">
      <c r="A41" s="1090"/>
      <c r="B41" s="1113"/>
      <c r="C41" s="1091" t="s">
        <v>783</v>
      </c>
      <c r="D41" s="1076" t="str">
        <f>IF('Assets-Liab 5-6'!J4&lt;-0.49, "ERROR!","OK")</f>
        <v>OK</v>
      </c>
    </row>
    <row r="42" spans="1:12" x14ac:dyDescent="0.2">
      <c r="A42" s="1090"/>
      <c r="B42" s="1113"/>
      <c r="C42" s="1091" t="s">
        <v>310</v>
      </c>
      <c r="D42" s="1076" t="str">
        <f>IF('Assets-Liab 5-6'!K4&lt;-0.49, "ERROR!","OK")</f>
        <v>OK</v>
      </c>
    </row>
    <row r="43" spans="1:12" x14ac:dyDescent="0.2">
      <c r="A43" s="1092"/>
      <c r="B43" s="1093">
        <f>B33+1</f>
        <v>5</v>
      </c>
      <c r="C43" s="2451" t="s">
        <v>536</v>
      </c>
      <c r="D43" s="2452"/>
    </row>
    <row r="44" spans="1:12" x14ac:dyDescent="0.2">
      <c r="A44" s="1092"/>
      <c r="B44" s="1094"/>
      <c r="C44" s="1095" t="s">
        <v>1335</v>
      </c>
      <c r="D44" s="1096" t="str">
        <f>IF(SUM('Assets-Liab 5-6'!C13)&lt;&gt;SUM('Assets-Liab 5-6'!C41),"ERROR!","OK")</f>
        <v>OK</v>
      </c>
    </row>
    <row r="45" spans="1:12" x14ac:dyDescent="0.2">
      <c r="A45" s="1092"/>
      <c r="B45" s="1094"/>
      <c r="C45" s="1095" t="s">
        <v>1336</v>
      </c>
      <c r="D45" s="1096" t="str">
        <f>IF(SUM('Assets-Liab 5-6'!D13)&lt;&gt;SUM('Assets-Liab 5-6'!D41),"ERROR!","OK")</f>
        <v>OK</v>
      </c>
    </row>
    <row r="46" spans="1:12" x14ac:dyDescent="0.2">
      <c r="A46" s="1092"/>
      <c r="B46" s="1094"/>
      <c r="C46" s="1095" t="s">
        <v>1337</v>
      </c>
      <c r="D46" s="1096" t="str">
        <f>IF(SUM('Assets-Liab 5-6'!E13)&lt;&gt;SUM('Assets-Liab 5-6'!E41),"ERROR!","OK")</f>
        <v>OK</v>
      </c>
    </row>
    <row r="47" spans="1:12" x14ac:dyDescent="0.2">
      <c r="A47" s="1092"/>
      <c r="B47" s="1094"/>
      <c r="C47" s="1095" t="s">
        <v>1338</v>
      </c>
      <c r="D47" s="1096" t="str">
        <f>IF(SUM('Assets-Liab 5-6'!F13)&lt;&gt;SUM('Assets-Liab 5-6'!F41),"ERROR!","OK")</f>
        <v>OK</v>
      </c>
    </row>
    <row r="48" spans="1:12" x14ac:dyDescent="0.2">
      <c r="A48" s="1092"/>
      <c r="B48" s="1094"/>
      <c r="C48" s="1095" t="s">
        <v>1339</v>
      </c>
      <c r="D48" s="1096" t="str">
        <f>IF(SUM('Assets-Liab 5-6'!G13)&lt;&gt;SUM('Assets-Liab 5-6'!G41),"ERROR!","OK")</f>
        <v>OK</v>
      </c>
    </row>
    <row r="49" spans="1:4" x14ac:dyDescent="0.2">
      <c r="A49" s="1092"/>
      <c r="B49" s="1094"/>
      <c r="C49" s="1095" t="s">
        <v>1340</v>
      </c>
      <c r="D49" s="1096" t="str">
        <f>IF(SUM('Assets-Liab 5-6'!H13)&lt;&gt;SUM('Assets-Liab 5-6'!H41),"ERROR!","OK")</f>
        <v>OK</v>
      </c>
    </row>
    <row r="50" spans="1:4" x14ac:dyDescent="0.2">
      <c r="A50" s="1092"/>
      <c r="B50" s="1094"/>
      <c r="C50" s="1095" t="s">
        <v>1341</v>
      </c>
      <c r="D50" s="1096" t="str">
        <f>IF(SUM('Assets-Liab 5-6'!I13)&lt;&gt;SUM('Assets-Liab 5-6'!I41),"ERROR!","OK")</f>
        <v>OK</v>
      </c>
    </row>
    <row r="51" spans="1:4" x14ac:dyDescent="0.2">
      <c r="A51" s="1092"/>
      <c r="B51" s="1094"/>
      <c r="C51" s="1095" t="s">
        <v>1342</v>
      </c>
      <c r="D51" s="1096" t="str">
        <f>IF(SUM('Assets-Liab 5-6'!J13)&lt;&gt;SUM('Assets-Liab 5-6'!J41),"ERROR!","OK")</f>
        <v>OK</v>
      </c>
    </row>
    <row r="52" spans="1:4" x14ac:dyDescent="0.2">
      <c r="A52" s="1092"/>
      <c r="B52" s="1094"/>
      <c r="C52" s="1095" t="s">
        <v>1343</v>
      </c>
      <c r="D52" s="1096" t="str">
        <f>IF(SUM('Assets-Liab 5-6'!K13)&lt;&gt;SUM('Assets-Liab 5-6'!K41),"ERROR!","OK")</f>
        <v>OK</v>
      </c>
    </row>
    <row r="53" spans="1:4" x14ac:dyDescent="0.2">
      <c r="A53" s="1092"/>
      <c r="B53" s="1094"/>
      <c r="C53" s="1095" t="s">
        <v>1344</v>
      </c>
      <c r="D53" s="1096" t="str">
        <f>IF(SUM('Assets-Liab 5-6'!L13)&lt;&gt;('Assets-Liab 5-6'!L41),"ERROR!","OK")</f>
        <v>OK</v>
      </c>
    </row>
    <row r="54" spans="1:4" x14ac:dyDescent="0.2">
      <c r="A54" s="1092"/>
      <c r="B54" s="1094"/>
      <c r="C54" s="1095" t="s">
        <v>1345</v>
      </c>
      <c r="D54" s="1096" t="str">
        <f>IF(SUM('Assets-Liab 5-6'!M23)&lt;&gt;('Assets-Liab 5-6'!M41),"ERROR!","OK")</f>
        <v>OK</v>
      </c>
    </row>
    <row r="55" spans="1:4" x14ac:dyDescent="0.2">
      <c r="A55" s="1092"/>
      <c r="B55" s="1094"/>
      <c r="C55" s="1095" t="s">
        <v>1346</v>
      </c>
      <c r="D55" s="1096" t="str">
        <f>IF(SUM('Assets-Liab 5-6'!N23)&lt;&gt;('Assets-Liab 5-6'!N41),"ERROR!","OK")</f>
        <v>OK</v>
      </c>
    </row>
    <row r="56" spans="1:4" x14ac:dyDescent="0.2">
      <c r="A56" s="1073"/>
      <c r="B56" s="1093">
        <f>B43+1</f>
        <v>6</v>
      </c>
      <c r="C56" s="2443" t="s">
        <v>784</v>
      </c>
      <c r="D56" s="2444"/>
    </row>
    <row r="57" spans="1:4" s="1089" customFormat="1" x14ac:dyDescent="0.2">
      <c r="A57" s="1073"/>
      <c r="B57" s="1083"/>
      <c r="C57" s="1091" t="s">
        <v>1347</v>
      </c>
      <c r="D57" s="1097" t="str">
        <f>IF('Assets-Liab 5-6'!C38+'Assets-Liab 5-6'!C39='Acct Summary 7-8'!C81,"OK","ERROR!")</f>
        <v>OK</v>
      </c>
    </row>
    <row r="58" spans="1:4" x14ac:dyDescent="0.2">
      <c r="A58" s="1073"/>
      <c r="B58" s="1083"/>
      <c r="C58" s="1091" t="s">
        <v>1348</v>
      </c>
      <c r="D58" s="1097" t="str">
        <f>IF((('Assets-Liab 5-6'!D38+'Assets-Liab 5-6'!D39) ='Acct Summary 7-8'!D81), "OK", "ERROR!" )</f>
        <v>OK</v>
      </c>
    </row>
    <row r="59" spans="1:4" s="1089" customFormat="1" x14ac:dyDescent="0.2">
      <c r="A59" s="1073"/>
      <c r="B59" s="1083"/>
      <c r="C59" s="1091" t="s">
        <v>1349</v>
      </c>
      <c r="D59" s="1097" t="str">
        <f>IF((('Assets-Liab 5-6'!E38 + 'Assets-Liab 5-6'!E39) ='Acct Summary 7-8'!E81), "OK", "ERROR!" )</f>
        <v>OK</v>
      </c>
    </row>
    <row r="60" spans="1:4" x14ac:dyDescent="0.2">
      <c r="A60" s="1073"/>
      <c r="B60" s="1083"/>
      <c r="C60" s="1091" t="s">
        <v>1350</v>
      </c>
      <c r="D60" s="1097" t="str">
        <f>IF((('Assets-Liab 5-6'!F38 + 'Assets-Liab 5-6'!F39) ='Acct Summary 7-8'!F81), "OK", "ERROR!" )</f>
        <v>OK</v>
      </c>
    </row>
    <row r="61" spans="1:4" ht="12.75" customHeight="1" x14ac:dyDescent="0.2">
      <c r="A61" s="1073"/>
      <c r="B61" s="1083"/>
      <c r="C61" s="1091" t="s">
        <v>1363</v>
      </c>
      <c r="D61" s="1097" t="str">
        <f>IF((('Assets-Liab 5-6'!G38 + 'Assets-Liab 5-6'!G39) ='Acct Summary 7-8'!G81), "OK", "ERROR!" )</f>
        <v>OK</v>
      </c>
    </row>
    <row r="62" spans="1:4" x14ac:dyDescent="0.2">
      <c r="A62" s="1073"/>
      <c r="B62" s="1083"/>
      <c r="C62" s="1091" t="s">
        <v>1351</v>
      </c>
      <c r="D62" s="1097" t="str">
        <f>IF((('Assets-Liab 5-6'!H38 + 'Assets-Liab 5-6'!H39) ='Acct Summary 7-8'!H81), "OK", "ERROR!" )</f>
        <v>OK</v>
      </c>
    </row>
    <row r="63" spans="1:4" ht="12.75" customHeight="1" x14ac:dyDescent="0.2">
      <c r="A63" s="1073"/>
      <c r="B63" s="1083"/>
      <c r="C63" s="1091" t="s">
        <v>1352</v>
      </c>
      <c r="D63" s="1097" t="str">
        <f>IF((('Assets-Liab 5-6'!I38 + 'Assets-Liab 5-6'!I39) ='Acct Summary 7-8'!I81), "OK", "ERROR!" )</f>
        <v>OK</v>
      </c>
    </row>
    <row r="64" spans="1:4" x14ac:dyDescent="0.2">
      <c r="A64" s="1073"/>
      <c r="B64" s="1083"/>
      <c r="C64" s="1091" t="s">
        <v>1353</v>
      </c>
      <c r="D64" s="1097" t="str">
        <f>IF((('Assets-Liab 5-6'!J38 + 'Assets-Liab 5-6'!J39) ='Acct Summary 7-8'!J81), "OK", "ERROR!" )</f>
        <v>OK</v>
      </c>
    </row>
    <row r="65" spans="1:4" x14ac:dyDescent="0.2">
      <c r="A65" s="1090"/>
      <c r="B65" s="1083"/>
      <c r="C65" s="1091" t="s">
        <v>1364</v>
      </c>
      <c r="D65" s="1097" t="str">
        <f>IF((('Assets-Liab 5-6'!K38 + 'Assets-Liab 5-6'!K39) ='Acct Summary 7-8'!K81), "OK", "ERROR!" )</f>
        <v>OK</v>
      </c>
    </row>
    <row r="66" spans="1:4" x14ac:dyDescent="0.2">
      <c r="A66" s="1071"/>
      <c r="B66" s="1113">
        <f>B56+1+1</f>
        <v>8</v>
      </c>
      <c r="C66" s="1119" t="s">
        <v>1914</v>
      </c>
      <c r="D66" s="1098"/>
    </row>
    <row r="67" spans="1:4" x14ac:dyDescent="0.2">
      <c r="A67" s="1092"/>
      <c r="B67" s="1113"/>
      <c r="C67" s="1120" t="s">
        <v>1021</v>
      </c>
      <c r="D67" s="1098"/>
    </row>
    <row r="68" spans="1:4" x14ac:dyDescent="0.2">
      <c r="A68" s="1073"/>
      <c r="B68" s="1083"/>
      <c r="C68" s="1075" t="s">
        <v>1915</v>
      </c>
      <c r="D68" s="1097" t="str">
        <f>IF('Short-Term Long-Term Debt 24'!F49=SUM(,'Acct Summary 7-8'!C33:K33),"OK","ERROR!")</f>
        <v>OK</v>
      </c>
    </row>
    <row r="69" spans="1:4" x14ac:dyDescent="0.2">
      <c r="A69" s="1073"/>
      <c r="B69" s="1083"/>
      <c r="C69" s="1075" t="s">
        <v>1916</v>
      </c>
      <c r="D69" s="1097" t="str">
        <f>IF('Expenditures 15-22'!H170&lt;&gt;'Short-Term Long-Term Debt 24'!H49,"ERROR!","OK")</f>
        <v>OK</v>
      </c>
    </row>
    <row r="70" spans="1:4" x14ac:dyDescent="0.2">
      <c r="A70" s="1071"/>
      <c r="B70" s="1093">
        <f>B66+1</f>
        <v>9</v>
      </c>
      <c r="C70" s="2443" t="s">
        <v>1696</v>
      </c>
      <c r="D70" s="2444"/>
    </row>
    <row r="71" spans="1:4" x14ac:dyDescent="0.2">
      <c r="A71" s="1071"/>
      <c r="B71" s="1093"/>
      <c r="C71" s="1075" t="s">
        <v>1354</v>
      </c>
      <c r="D71" s="1099" t="str">
        <f>IF(SUM('Acct Summary 7-8'!C27:K27) =SUM( 'Acct Summary 7-8'!C49:K49),"OK", "ERROR")</f>
        <v>OK</v>
      </c>
    </row>
    <row r="72" spans="1:4" x14ac:dyDescent="0.2">
      <c r="A72" s="1073"/>
      <c r="B72" s="1083"/>
      <c r="C72" s="1091" t="s">
        <v>1355</v>
      </c>
      <c r="D72" s="1097" t="str">
        <f>IF(SUM('Acct Summary 7-8'!C28:K28)=SUM('Acct Summary 7-8'!C50:K50),"OK","ERROR!")</f>
        <v>OK</v>
      </c>
    </row>
    <row r="73" spans="1:4" ht="24" x14ac:dyDescent="0.2">
      <c r="A73" s="1100"/>
      <c r="B73" s="1083"/>
      <c r="C73" s="1091" t="s">
        <v>1697</v>
      </c>
      <c r="D73" s="1099" t="str">
        <f>IF(SUM('Acct Summary 7-8'!C42:K42)&gt;=SUM( 'Acct Summary 7-8'!C74:K74),"OK", "ERROR")</f>
        <v>OK</v>
      </c>
    </row>
    <row r="74" spans="1:4" x14ac:dyDescent="0.2">
      <c r="A74" s="1071"/>
      <c r="B74" s="1093">
        <f>B70+1</f>
        <v>10</v>
      </c>
      <c r="C74" s="1087" t="s">
        <v>1917</v>
      </c>
      <c r="D74" s="1101"/>
    </row>
    <row r="75" spans="1:4" x14ac:dyDescent="0.2">
      <c r="A75" s="1073"/>
      <c r="B75" s="1083"/>
      <c r="C75" s="1091" t="s">
        <v>1377</v>
      </c>
      <c r="D75" s="1097" t="str">
        <f>IF(SUM('Assets-Liab 5-6'!C38:H38)&gt;=SUM('Rest Tax Levies-Tort Im 25'!G25:K25),"OK","ERROR")</f>
        <v>OK</v>
      </c>
    </row>
    <row r="76" spans="1:4" x14ac:dyDescent="0.2">
      <c r="A76" s="1073"/>
      <c r="B76" s="1083"/>
      <c r="C76" s="1091" t="s">
        <v>1418</v>
      </c>
      <c r="D76" s="1097" t="str">
        <f>IF(SUM('Assets-Liab 5-6'!C39:K39)&gt;0,"OK","ENTRY IS REQUIRED!")</f>
        <v>OK</v>
      </c>
    </row>
    <row r="77" spans="1:4" x14ac:dyDescent="0.2">
      <c r="A77" s="1073"/>
      <c r="B77" s="1102">
        <f>B74+1</f>
        <v>11</v>
      </c>
      <c r="C77" s="1147" t="s">
        <v>1378</v>
      </c>
      <c r="D77" s="1097"/>
    </row>
    <row r="78" spans="1:4" x14ac:dyDescent="0.2">
      <c r="A78" s="1073"/>
      <c r="B78" s="1083"/>
      <c r="C78" s="1091" t="s">
        <v>1918</v>
      </c>
      <c r="D78" s="1097" t="str">
        <f>IF(ISNUMBER('Acct Summary 7-8'!C9),"OK","ENTRY IS REQUIRED!")</f>
        <v>OK</v>
      </c>
    </row>
    <row r="79" spans="1:4" x14ac:dyDescent="0.2">
      <c r="A79" s="1092"/>
      <c r="B79" s="1093">
        <f>B74+1+1</f>
        <v>12</v>
      </c>
      <c r="C79" s="1103" t="s">
        <v>1903</v>
      </c>
      <c r="D79" s="1104" t="str">
        <f>IF(OR(COVER!$B$6="X",'PCTC-OEPP 27-28'!F78&gt;0),"OK","PLEASE ENTER 9 MO ADA.")</f>
        <v>OK</v>
      </c>
    </row>
    <row r="80" spans="1:4" x14ac:dyDescent="0.2">
      <c r="A80" s="1071"/>
      <c r="B80" s="1093">
        <v>13</v>
      </c>
      <c r="C80" s="1103" t="s">
        <v>1919</v>
      </c>
      <c r="D80" s="1104" t="str">
        <f>IF('Contracts Paid in CY 29'!D141&gt;0,"OK","PLEASE ENTER CONTRACTS PAID IN CURRENT YEAR.")</f>
        <v>OK</v>
      </c>
    </row>
    <row r="81" spans="1:4" x14ac:dyDescent="0.2">
      <c r="A81" s="1071"/>
      <c r="B81" s="1093">
        <v>14</v>
      </c>
      <c r="C81" s="1103" t="s">
        <v>1424</v>
      </c>
      <c r="D81" s="1096" t="str">
        <f>IF('Shared Outsourced Services 31'!B8="X","OK",IF('Shared Outsourced Services 31'!K34&gt;0,"OK","ENTRY REQUIRED!"))</f>
        <v>OK</v>
      </c>
    </row>
    <row r="82" spans="1:4" x14ac:dyDescent="0.2">
      <c r="A82" s="1092"/>
      <c r="B82" s="1093">
        <v>15</v>
      </c>
      <c r="C82" s="1103" t="s">
        <v>1423</v>
      </c>
      <c r="D82" s="1105"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20"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44063018004</v>
      </c>
    </row>
    <row r="3" spans="1:2" x14ac:dyDescent="0.2">
      <c r="A3" t="s">
        <v>956</v>
      </c>
      <c r="B3" s="138" t="str">
        <f>COVER!A15</f>
        <v>MCHENRY</v>
      </c>
    </row>
    <row r="4" spans="1:2" x14ac:dyDescent="0.2">
      <c r="A4" t="s">
        <v>1007</v>
      </c>
      <c r="B4" s="138" t="str">
        <f>COVER!A17</f>
        <v>RILEY CCSD 18</v>
      </c>
    </row>
    <row r="5" spans="1:2" x14ac:dyDescent="0.2">
      <c r="A5" t="s">
        <v>704</v>
      </c>
      <c r="B5" s="138" t="str">
        <f>COVER!A38</f>
        <v>CHRISTINE CONKLING</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066-005142</v>
      </c>
    </row>
    <row r="16" spans="1:2" x14ac:dyDescent="0.2">
      <c r="A16" t="s">
        <v>422</v>
      </c>
      <c r="B16" s="138" t="str">
        <f>COVER!T13</f>
        <v>EDER, CASELLA &amp; CO.</v>
      </c>
    </row>
    <row r="17" spans="1:2" x14ac:dyDescent="0.2">
      <c r="A17" t="s">
        <v>884</v>
      </c>
      <c r="B17" s="138" t="str">
        <f>COVER!T15</f>
        <v>Cheryden Juergensen</v>
      </c>
    </row>
    <row r="18" spans="1:2" x14ac:dyDescent="0.2">
      <c r="A18" t="s">
        <v>1150</v>
      </c>
      <c r="B18" s="138" t="str">
        <f>COVER!T17</f>
        <v>5400 WEST ELM STREET, SUITE 203</v>
      </c>
    </row>
    <row r="19" spans="1:2" x14ac:dyDescent="0.2">
      <c r="A19" t="s">
        <v>886</v>
      </c>
      <c r="B19" s="138" t="str">
        <f>COVER!T25</f>
        <v>CPAS@EDERCASELLA.COM</v>
      </c>
    </row>
    <row r="20" spans="1:2" x14ac:dyDescent="0.2">
      <c r="A20" t="s">
        <v>887</v>
      </c>
      <c r="B20" s="138" t="str">
        <f>COVER!T19</f>
        <v>MCHENRY</v>
      </c>
    </row>
    <row r="21" spans="1:2" x14ac:dyDescent="0.2">
      <c r="A21" t="s">
        <v>479</v>
      </c>
      <c r="B21" s="138" t="str">
        <f>COVER!X19</f>
        <v>IL</v>
      </c>
    </row>
    <row r="22" spans="1:2" x14ac:dyDescent="0.2">
      <c r="A22" t="s">
        <v>888</v>
      </c>
      <c r="B22" s="138">
        <f>COVER!Z19</f>
        <v>60050</v>
      </c>
    </row>
    <row r="23" spans="1:2" x14ac:dyDescent="0.2">
      <c r="A23" t="s">
        <v>1152</v>
      </c>
      <c r="B23" s="138" t="str">
        <f>COVER!T21</f>
        <v>815-344-1300</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Yes</v>
      </c>
    </row>
    <row r="50" spans="1:4" x14ac:dyDescent="0.2">
      <c r="A50" s="1" t="s">
        <v>1480</v>
      </c>
      <c r="B50" s="150">
        <f>'Aud Quest 2'!H53</f>
        <v>33239</v>
      </c>
    </row>
    <row r="51" spans="1:4" x14ac:dyDescent="0.2">
      <c r="A51" s="1" t="s">
        <v>1482</v>
      </c>
      <c r="B51" s="138" t="str">
        <f>IF('Aud Quest 2'!B54="x","Yes",IF('Aud Quest 2'!B54&lt;&gt;"x","0"))</f>
        <v>Yes</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30</v>
      </c>
      <c r="D76" s="2" t="str">
        <f t="shared" si="0"/>
        <v>Error?</v>
      </c>
    </row>
    <row r="77" spans="1:4" x14ac:dyDescent="0.2">
      <c r="A77" s="5">
        <v>16</v>
      </c>
      <c r="B77" s="138">
        <f>'Assets-Liab 5-6'!C13</f>
        <v>8093072</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8093072</v>
      </c>
      <c r="D92" s="2" t="str">
        <f t="shared" si="0"/>
        <v>Error?</v>
      </c>
    </row>
    <row r="93" spans="1:4" x14ac:dyDescent="0.2">
      <c r="A93" s="5">
        <v>32</v>
      </c>
      <c r="B93" s="138">
        <f>'Assets-Liab 5-6'!C41</f>
        <v>8093072</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1385937</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1385937</v>
      </c>
      <c r="D123" s="2" t="str">
        <f t="shared" si="0"/>
        <v>Error?</v>
      </c>
    </row>
    <row r="124" spans="1:4" x14ac:dyDescent="0.2">
      <c r="A124" s="5">
        <v>63</v>
      </c>
      <c r="B124" s="138">
        <f>'Assets-Liab 5-6'!D41</f>
        <v>1385937</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794618</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794618</v>
      </c>
      <c r="D170" s="2" t="str">
        <f t="shared" si="1"/>
        <v>Error?</v>
      </c>
    </row>
    <row r="171" spans="1:4" x14ac:dyDescent="0.2">
      <c r="A171" s="5">
        <v>110</v>
      </c>
      <c r="B171" s="138">
        <f>'Assets-Liab 5-6'!F41</f>
        <v>794618</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187498</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187498</v>
      </c>
      <c r="D189" s="2" t="str">
        <f t="shared" si="1"/>
        <v>Error?</v>
      </c>
    </row>
    <row r="190" spans="1:4" x14ac:dyDescent="0.2">
      <c r="A190" s="5">
        <v>129</v>
      </c>
      <c r="B190" s="138">
        <f>'Assets-Liab 5-6'!G41</f>
        <v>187498</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323173</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323173</v>
      </c>
      <c r="D212" s="2" t="str">
        <f t="shared" si="2"/>
        <v>Error?</v>
      </c>
    </row>
    <row r="213" spans="1:4" x14ac:dyDescent="0.2">
      <c r="A213" s="12">
        <v>152</v>
      </c>
      <c r="B213" s="138">
        <f>'Assets-Liab 5-6'!H41</f>
        <v>323173</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25000</v>
      </c>
      <c r="D273" s="2" t="str">
        <f t="shared" si="3"/>
        <v>Error?</v>
      </c>
    </row>
    <row r="274" spans="1:4" x14ac:dyDescent="0.2">
      <c r="A274" s="5">
        <v>213</v>
      </c>
      <c r="B274" s="138">
        <f>'Assets-Liab 5-6'!M17</f>
        <v>3802617</v>
      </c>
      <c r="D274" s="2" t="str">
        <f t="shared" si="3"/>
        <v>Error?</v>
      </c>
    </row>
    <row r="275" spans="1:4" x14ac:dyDescent="0.2">
      <c r="A275" s="5">
        <v>214</v>
      </c>
      <c r="B275" s="138">
        <f>'Assets-Liab 5-6'!M18</f>
        <v>225937</v>
      </c>
      <c r="D275" s="2" t="str">
        <f t="shared" si="3"/>
        <v>Error?</v>
      </c>
    </row>
    <row r="276" spans="1:4" x14ac:dyDescent="0.2">
      <c r="A276" s="5">
        <v>215</v>
      </c>
      <c r="B276" s="138">
        <f>'Assets-Liab 5-6'!M19</f>
        <v>1392504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5446058</v>
      </c>
      <c r="C279" s="2" t="s">
        <v>573</v>
      </c>
      <c r="D279" s="2" t="str">
        <f t="shared" si="3"/>
        <v>Error?</v>
      </c>
    </row>
    <row r="280" spans="1:4" x14ac:dyDescent="0.2">
      <c r="A280" s="5">
        <v>219</v>
      </c>
      <c r="B280" s="138">
        <f>'Assets-Liab 5-6'!M40</f>
        <v>5446058</v>
      </c>
      <c r="D280" s="2" t="str">
        <f t="shared" si="3"/>
        <v>Error?</v>
      </c>
    </row>
    <row r="281" spans="1:4" x14ac:dyDescent="0.2">
      <c r="A281" s="5">
        <v>220</v>
      </c>
      <c r="B281" s="138">
        <f>'Assets-Liab 5-6'!M41</f>
        <v>5446058</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1527717</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20206</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1749837</v>
      </c>
      <c r="C720" s="2" t="s">
        <v>573</v>
      </c>
      <c r="D720" s="2" t="str">
        <f t="shared" si="10"/>
        <v>Error?</v>
      </c>
    </row>
    <row r="721" spans="1:4" x14ac:dyDescent="0.2">
      <c r="A721" s="5">
        <v>660</v>
      </c>
      <c r="B721" s="138">
        <f>'Expenditures 15-22'!C36</f>
        <v>46635</v>
      </c>
      <c r="D721" s="2" t="str">
        <f t="shared" si="10"/>
        <v>Error?</v>
      </c>
    </row>
    <row r="722" spans="1:4" x14ac:dyDescent="0.2">
      <c r="A722" s="5">
        <v>661</v>
      </c>
      <c r="B722" s="138">
        <f>'Expenditures 15-22'!C37</f>
        <v>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46635</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573</v>
      </c>
      <c r="D731" s="2" t="str">
        <f t="shared" si="10"/>
        <v>Error?</v>
      </c>
    </row>
    <row r="732" spans="1:4" x14ac:dyDescent="0.2">
      <c r="A732" s="5">
        <v>671</v>
      </c>
      <c r="B732" s="138">
        <f>'Expenditures 15-22'!C49</f>
        <v>5997</v>
      </c>
      <c r="D732" s="2" t="str">
        <f t="shared" si="10"/>
        <v>Error?</v>
      </c>
    </row>
    <row r="733" spans="1:4" x14ac:dyDescent="0.2">
      <c r="A733" s="5">
        <v>672</v>
      </c>
      <c r="B733" s="138">
        <f>'Expenditures 15-22'!C50</f>
        <v>126961</v>
      </c>
      <c r="D733" s="2" t="str">
        <f t="shared" si="10"/>
        <v>Error?</v>
      </c>
    </row>
    <row r="734" spans="1:4" x14ac:dyDescent="0.2">
      <c r="A734" s="5">
        <v>673</v>
      </c>
      <c r="B734" s="138">
        <f>'Expenditures 15-22'!C53</f>
        <v>132958</v>
      </c>
      <c r="C734" s="2" t="s">
        <v>573</v>
      </c>
      <c r="D734" s="2" t="str">
        <f t="shared" si="10"/>
        <v>Error?</v>
      </c>
    </row>
    <row r="735" spans="1:4" x14ac:dyDescent="0.2">
      <c r="A735" s="5">
        <v>674</v>
      </c>
      <c r="B735" s="138">
        <f>'Expenditures 15-22'!C55</f>
        <v>138962</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138962</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59670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31775</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91445</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410000</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2159837</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420080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1257</v>
      </c>
      <c r="D776" s="2" t="str">
        <f t="shared" si="11"/>
        <v>Error?</v>
      </c>
    </row>
    <row r="777" spans="1:4" x14ac:dyDescent="0.2">
      <c r="A777" s="5">
        <v>716</v>
      </c>
      <c r="B777" s="138">
        <f>'Expenditures 15-22'!D15</f>
        <v>0</v>
      </c>
      <c r="D777" s="2" t="str">
        <f t="shared" si="11"/>
        <v>Error?</v>
      </c>
    </row>
    <row r="778" spans="1:4" x14ac:dyDescent="0.2">
      <c r="A778" s="5">
        <v>717</v>
      </c>
      <c r="B778" s="138">
        <f>'Expenditures 15-22'!D33</f>
        <v>446801</v>
      </c>
      <c r="C778" s="2" t="s">
        <v>573</v>
      </c>
      <c r="D778" s="2" t="str">
        <f t="shared" si="11"/>
        <v>Error?</v>
      </c>
    </row>
    <row r="779" spans="1:4" x14ac:dyDescent="0.2">
      <c r="A779" s="5">
        <v>718</v>
      </c>
      <c r="B779" s="138">
        <f>'Expenditures 15-22'!D36</f>
        <v>5420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5420</v>
      </c>
      <c r="C785" s="2" t="s">
        <v>573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13846</v>
      </c>
      <c r="D791" s="2" t="str">
        <f t="shared" si="11"/>
        <v>Error?</v>
      </c>
    </row>
    <row r="792" spans="1:4" x14ac:dyDescent="0.2">
      <c r="A792" s="5">
        <v>731</v>
      </c>
      <c r="B792" s="138">
        <f>'Expenditures 15-22'!D53</f>
        <v>13846</v>
      </c>
      <c r="C792" s="2" t="s">
        <v>573</v>
      </c>
      <c r="D792" s="2" t="str">
        <f t="shared" si="11"/>
        <v>Error?</v>
      </c>
    </row>
    <row r="793" spans="1:4" x14ac:dyDescent="0.2">
      <c r="A793" s="5">
        <v>732</v>
      </c>
      <c r="B793" s="138">
        <f>'Expenditures 15-22'!D55</f>
        <v>10503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10503</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29769</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476570</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23487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23487</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14393</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14393</v>
      </c>
      <c r="C843" s="2" t="s">
        <v>573</v>
      </c>
      <c r="D843" s="2" t="str">
        <f t="shared" si="12"/>
        <v>Error?</v>
      </c>
    </row>
    <row r="844" spans="1:4" x14ac:dyDescent="0.2">
      <c r="A844" s="5">
        <v>783</v>
      </c>
      <c r="B844" s="138">
        <f>'Expenditures 15-22'!E44</f>
        <v>6042</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6042</v>
      </c>
      <c r="C847" s="2" t="s">
        <v>573</v>
      </c>
      <c r="D847" s="2" t="str">
        <f t="shared" si="12"/>
        <v>Error?</v>
      </c>
    </row>
    <row r="848" spans="1:4" x14ac:dyDescent="0.2">
      <c r="A848" s="5">
        <v>787</v>
      </c>
      <c r="B848" s="138">
        <f>'Expenditures 15-22'!E49</f>
        <v>23686</v>
      </c>
      <c r="D848" s="2" t="str">
        <f t="shared" si="12"/>
        <v>Error?</v>
      </c>
    </row>
    <row r="849" spans="1:4" x14ac:dyDescent="0.2">
      <c r="A849" s="5">
        <v>788</v>
      </c>
      <c r="B849" s="138">
        <f>'Expenditures 15-22'!E50</f>
        <v>5057</v>
      </c>
      <c r="D849" s="2" t="str">
        <f t="shared" si="12"/>
        <v>Error?</v>
      </c>
    </row>
    <row r="850" spans="1:4" x14ac:dyDescent="0.2">
      <c r="A850" s="5">
        <v>789</v>
      </c>
      <c r="B850" s="138">
        <f>'Expenditures 15-22'!E53</f>
        <v>28743</v>
      </c>
      <c r="C850" s="2" t="s">
        <v>573</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13424</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13424</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62602</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111256</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121139</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39</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121178</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0</v>
      </c>
      <c r="C905" s="2" t="s">
        <v>573</v>
      </c>
      <c r="D905" s="2" t="str">
        <f t="shared" si="13"/>
        <v>Error?</v>
      </c>
    </row>
    <row r="906" spans="1:4" x14ac:dyDescent="0.2">
      <c r="A906" s="5">
        <v>845</v>
      </c>
      <c r="B906" s="138">
        <f>'Expenditures 15-22'!F49</f>
        <v>509</v>
      </c>
      <c r="D906" s="2" t="str">
        <f t="shared" si="13"/>
        <v>Error?</v>
      </c>
    </row>
    <row r="907" spans="1:4" x14ac:dyDescent="0.2">
      <c r="A907" s="5">
        <v>846</v>
      </c>
      <c r="B907" s="138">
        <f>'Expenditures 15-22'!F50</f>
        <v>4360</v>
      </c>
      <c r="D907" s="2" t="str">
        <f t="shared" si="13"/>
        <v>Error?</v>
      </c>
    </row>
    <row r="908" spans="1:4" x14ac:dyDescent="0.2">
      <c r="A908" s="5">
        <v>847</v>
      </c>
      <c r="B908" s="138">
        <f>'Expenditures 15-22'!F53</f>
        <v>4869</v>
      </c>
      <c r="C908" s="2" t="s">
        <v>573</v>
      </c>
      <c r="D908" s="2" t="str">
        <f t="shared" si="13"/>
        <v>Error?</v>
      </c>
    </row>
    <row r="909" spans="1:4" x14ac:dyDescent="0.2">
      <c r="A909" s="5">
        <v>848</v>
      </c>
      <c r="B909" s="138">
        <f>'Expenditures 15-22'!F55</f>
        <v>789</v>
      </c>
      <c r="D909" s="2" t="str">
        <f t="shared" si="13"/>
        <v>Error?</v>
      </c>
    </row>
    <row r="910" spans="1:4" x14ac:dyDescent="0.2">
      <c r="A910" s="5">
        <v>849</v>
      </c>
      <c r="B910" s="138">
        <f>'Expenditures 15-22'!F56</f>
        <v>0</v>
      </c>
      <c r="D910" s="2" t="str">
        <f t="shared" si="13"/>
        <v>Error?</v>
      </c>
    </row>
    <row r="911" spans="1:4" x14ac:dyDescent="0.2">
      <c r="A911" s="5">
        <v>850</v>
      </c>
      <c r="B911" s="138">
        <f>'Expenditures 15-22'!F57</f>
        <v>789</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28154</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28154</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33812</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154990</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1562</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2874</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4436</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6065</v>
      </c>
      <c r="D1022" s="2" t="str">
        <f t="shared" si="14"/>
        <v>Error?</v>
      </c>
    </row>
    <row r="1023" spans="1:4" x14ac:dyDescent="0.2">
      <c r="A1023" s="5">
        <v>962</v>
      </c>
      <c r="B1023" s="138">
        <f>'Expenditures 15-22'!H50</f>
        <v>21568</v>
      </c>
      <c r="D1023" s="2" t="str">
        <f t="shared" ref="D1023:D1086" si="15">IF(ISBLANK(B1023),"OK",IF(A1023-B1023=0,"OK","Error?"))</f>
        <v>Error?</v>
      </c>
    </row>
    <row r="1024" spans="1:4" x14ac:dyDescent="0.2">
      <c r="A1024" s="5">
        <v>963</v>
      </c>
      <c r="B1024" s="138">
        <f>'Expenditures 15-22'!H53</f>
        <v>27633</v>
      </c>
      <c r="C1024" s="2" t="s">
        <v>573</v>
      </c>
      <c r="D1024" s="2" t="str">
        <f t="shared" si="15"/>
        <v>Error?</v>
      </c>
    </row>
    <row r="1025" spans="1:4" x14ac:dyDescent="0.2">
      <c r="A1025" s="5">
        <v>964</v>
      </c>
      <c r="B1025" s="138">
        <f>'Expenditures 15-22'!H55</f>
        <v>779</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779</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1472</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1411</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2883</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31295</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170082</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205813</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2096410</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24376</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2348164</v>
      </c>
      <c r="C1108" s="2" t="s">
        <v>573</v>
      </c>
      <c r="D1108" s="2" t="str">
        <f t="shared" si="16"/>
        <v>Error?</v>
      </c>
    </row>
    <row r="1109" spans="1:4" x14ac:dyDescent="0.2">
      <c r="A1109" s="5">
        <v>1048</v>
      </c>
      <c r="B1109" s="138">
        <f>'Expenditures 15-22'!K36</f>
        <v>52055</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14393</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66448</v>
      </c>
      <c r="C1115" s="2" t="s">
        <v>573</v>
      </c>
      <c r="D1115" s="2" t="str">
        <f t="shared" si="16"/>
        <v>Error?</v>
      </c>
    </row>
    <row r="1116" spans="1:4" x14ac:dyDescent="0.2">
      <c r="A1116" s="5">
        <v>1055</v>
      </c>
      <c r="B1116" s="138">
        <f>'Expenditures 15-22'!K44</f>
        <v>6042</v>
      </c>
      <c r="C1116" s="2" t="s">
        <v>573</v>
      </c>
      <c r="D1116" s="2" t="str">
        <f t="shared" si="16"/>
        <v>Error?</v>
      </c>
    </row>
    <row r="1117" spans="1:4" x14ac:dyDescent="0.2">
      <c r="A1117" s="5">
        <v>1056</v>
      </c>
      <c r="B1117" s="138">
        <f>'Expenditures 15-22'!K45</f>
        <v>0</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6042</v>
      </c>
      <c r="C1119" s="2" t="s">
        <v>573</v>
      </c>
      <c r="D1119" s="2" t="str">
        <f t="shared" si="16"/>
        <v>Error?</v>
      </c>
    </row>
    <row r="1120" spans="1:4" x14ac:dyDescent="0.2">
      <c r="A1120" s="5">
        <v>1059</v>
      </c>
      <c r="B1120" s="138">
        <f>'Expenditures 15-22'!K49</f>
        <v>36257</v>
      </c>
      <c r="C1120" s="2" t="s">
        <v>573</v>
      </c>
      <c r="D1120" s="2" t="str">
        <f t="shared" si="16"/>
        <v>Error?</v>
      </c>
    </row>
    <row r="1121" spans="1:4" x14ac:dyDescent="0.2">
      <c r="A1121" s="5">
        <v>1060</v>
      </c>
      <c r="B1121" s="138">
        <f>'Expenditures 15-22'!K50</f>
        <v>171792</v>
      </c>
      <c r="C1121" s="2" t="s">
        <v>573</v>
      </c>
      <c r="D1121" s="2" t="str">
        <f t="shared" si="16"/>
        <v>Error?</v>
      </c>
    </row>
    <row r="1122" spans="1:4" x14ac:dyDescent="0.2">
      <c r="A1122" s="5">
        <v>1061</v>
      </c>
      <c r="B1122" s="138">
        <f>'Expenditures 15-22'!K53</f>
        <v>208049</v>
      </c>
      <c r="C1122" s="2" t="s">
        <v>573</v>
      </c>
      <c r="D1122" s="2" t="str">
        <f t="shared" si="16"/>
        <v>Error?</v>
      </c>
    </row>
    <row r="1123" spans="1:4" x14ac:dyDescent="0.2">
      <c r="A1123" s="5">
        <v>1062</v>
      </c>
      <c r="B1123" s="138">
        <f>'Expenditures 15-22'!K55</f>
        <v>151033</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151033</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74566</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61340</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135906</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567478</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195249</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3110891</v>
      </c>
      <c r="C1152" s="2" t="s">
        <v>573</v>
      </c>
      <c r="D1152" s="2" t="str">
        <f t="shared" si="17"/>
        <v>Error?</v>
      </c>
    </row>
    <row r="1153" spans="1:4" x14ac:dyDescent="0.2">
      <c r="A1153" s="5">
        <v>1092</v>
      </c>
      <c r="B1153" s="138">
        <f>'Expenditures 15-22'!K115</f>
        <v>741603</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93767</v>
      </c>
      <c r="D1221" s="2" t="str">
        <f t="shared" si="18"/>
        <v>Error?</v>
      </c>
    </row>
    <row r="1222" spans="1:4" x14ac:dyDescent="0.2">
      <c r="A1222" s="10">
        <v>1161</v>
      </c>
      <c r="D1222" s="2" t="str">
        <f t="shared" si="18"/>
        <v>OK</v>
      </c>
    </row>
    <row r="1223" spans="1:4" x14ac:dyDescent="0.2">
      <c r="A1223" s="5">
        <v>1162</v>
      </c>
      <c r="B1223" s="138">
        <f>'Expenditures 15-22'!C127</f>
        <v>93767</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93767</v>
      </c>
      <c r="C1225" s="2" t="s">
        <v>573</v>
      </c>
      <c r="D1225" s="2" t="str">
        <f t="shared" si="18"/>
        <v>Error?</v>
      </c>
    </row>
    <row r="1226" spans="1:4" x14ac:dyDescent="0.2">
      <c r="A1226" s="5">
        <v>1165</v>
      </c>
      <c r="B1226" s="138">
        <f>'Expenditures 15-22'!C151</f>
        <v>93767</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39816</v>
      </c>
      <c r="D1237" s="2" t="str">
        <f t="shared" si="18"/>
        <v>Error?</v>
      </c>
    </row>
    <row r="1238" spans="1:4" x14ac:dyDescent="0.2">
      <c r="A1238" s="10">
        <v>1177</v>
      </c>
      <c r="D1238" s="2" t="str">
        <f t="shared" si="18"/>
        <v>OK</v>
      </c>
    </row>
    <row r="1239" spans="1:4" x14ac:dyDescent="0.2">
      <c r="A1239" s="5">
        <v>1178</v>
      </c>
      <c r="B1239" s="138">
        <f>'Expenditures 15-22'!E127</f>
        <v>39816</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39816</v>
      </c>
      <c r="C1241" s="2" t="s">
        <v>573</v>
      </c>
      <c r="D1241" s="2" t="str">
        <f t="shared" si="18"/>
        <v>Error?</v>
      </c>
    </row>
    <row r="1242" spans="1:4" x14ac:dyDescent="0.2">
      <c r="A1242" s="5">
        <v>1181</v>
      </c>
      <c r="B1242" s="138">
        <f>'Expenditures 15-22'!E151</f>
        <v>39816</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60938</v>
      </c>
      <c r="D1245" s="2" t="str">
        <f t="shared" si="18"/>
        <v>Error?</v>
      </c>
    </row>
    <row r="1246" spans="1:4" x14ac:dyDescent="0.2">
      <c r="A1246" s="10">
        <v>1185</v>
      </c>
      <c r="D1246" s="2" t="str">
        <f t="shared" si="18"/>
        <v>OK</v>
      </c>
    </row>
    <row r="1247" spans="1:4" x14ac:dyDescent="0.2">
      <c r="A1247" s="5">
        <v>1186</v>
      </c>
      <c r="B1247" s="138">
        <f>'Expenditures 15-22'!F127</f>
        <v>60938</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60938</v>
      </c>
      <c r="C1249" s="2" t="s">
        <v>573</v>
      </c>
      <c r="D1249" s="2" t="str">
        <f t="shared" si="18"/>
        <v>Error?</v>
      </c>
    </row>
    <row r="1250" spans="1:4" x14ac:dyDescent="0.2">
      <c r="A1250" s="5">
        <v>1189</v>
      </c>
      <c r="B1250" s="138">
        <f>'Expenditures 15-22'!F151</f>
        <v>60938</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1548</v>
      </c>
      <c r="D1262" s="2" t="str">
        <f t="shared" si="18"/>
        <v>Error?</v>
      </c>
    </row>
    <row r="1263" spans="1:4" x14ac:dyDescent="0.2">
      <c r="A1263" s="10">
        <v>1202</v>
      </c>
      <c r="D1263" s="2" t="str">
        <f t="shared" si="18"/>
        <v>OK</v>
      </c>
    </row>
    <row r="1264" spans="1:4" x14ac:dyDescent="0.2">
      <c r="A1264" s="5">
        <v>1203</v>
      </c>
      <c r="B1264" s="138">
        <f>'Expenditures 15-22'!H127</f>
        <v>1548</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1548</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1548</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196069</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196069</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196069</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196069</v>
      </c>
      <c r="C1288" s="2" t="s">
        <v>573</v>
      </c>
      <c r="D1288" s="2" t="str">
        <f t="shared" si="19"/>
        <v>Error?</v>
      </c>
    </row>
    <row r="1289" spans="1:4" x14ac:dyDescent="0.2">
      <c r="A1289" s="5">
        <v>1228</v>
      </c>
      <c r="B1289" s="138">
        <f>'Expenditures 15-22'!K152</f>
        <v>401563</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573</v>
      </c>
      <c r="D1317" s="2" t="str">
        <f t="shared" si="19"/>
        <v>Error?</v>
      </c>
    </row>
    <row r="1318" spans="1:4" x14ac:dyDescent="0.2">
      <c r="A1318" s="5">
        <v>1257</v>
      </c>
      <c r="B1318" s="138">
        <f>'Expenditures 15-22'!H174</f>
        <v>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0</v>
      </c>
      <c r="C1331" s="2" t="s">
        <v>573</v>
      </c>
      <c r="D1331" s="2" t="str">
        <f t="shared" si="19"/>
        <v>Error?</v>
      </c>
    </row>
    <row r="1332" spans="1:4" x14ac:dyDescent="0.2">
      <c r="A1332" s="5">
        <v>1271</v>
      </c>
      <c r="B1332" s="138">
        <f>'Expenditures 15-22'!K174</f>
        <v>0</v>
      </c>
      <c r="C1332" s="2" t="s">
        <v>573</v>
      </c>
      <c r="D1332" s="2" t="str">
        <f t="shared" si="19"/>
        <v>Error?</v>
      </c>
    </row>
    <row r="1333" spans="1:4" x14ac:dyDescent="0.2">
      <c r="A1333" s="5">
        <v>1272</v>
      </c>
      <c r="B1333" s="138">
        <f>'Expenditures 15-22'!K175</f>
        <v>0</v>
      </c>
      <c r="C1333" s="2" t="s">
        <v>573</v>
      </c>
      <c r="D1333" s="2" t="str">
        <f t="shared" si="19"/>
        <v>Error?</v>
      </c>
    </row>
    <row r="1334" spans="1:4" x14ac:dyDescent="0.2">
      <c r="A1334" s="10">
        <v>1273</v>
      </c>
      <c r="D1334" s="2" t="str">
        <f t="shared" si="19"/>
        <v>OK</v>
      </c>
    </row>
    <row r="1335" spans="1:4" x14ac:dyDescent="0.2">
      <c r="A1335" s="5">
        <v>1274</v>
      </c>
      <c r="B1335" s="138">
        <f>'Expenditures 15-22'!C182</f>
        <v>120732</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120732</v>
      </c>
      <c r="C1339" s="2" t="s">
        <v>573</v>
      </c>
      <c r="D1339" s="2" t="str">
        <f t="shared" si="19"/>
        <v>Error?</v>
      </c>
    </row>
    <row r="1340" spans="1:4" x14ac:dyDescent="0.2">
      <c r="A1340" s="5">
        <v>1279</v>
      </c>
      <c r="B1340" s="138">
        <f>'Expenditures 15-22'!C210</f>
        <v>120732</v>
      </c>
      <c r="C1340" s="2" t="s">
        <v>573</v>
      </c>
      <c r="D1340" s="2" t="str">
        <f t="shared" si="19"/>
        <v>Error?</v>
      </c>
    </row>
    <row r="1341" spans="1:4" x14ac:dyDescent="0.2">
      <c r="A1341" s="5">
        <v>1280</v>
      </c>
      <c r="B1341" s="138">
        <f>'Expenditures 15-22'!D182</f>
        <v>855</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855</v>
      </c>
      <c r="C1345" s="2" t="s">
        <v>573</v>
      </c>
      <c r="D1345" s="2" t="str">
        <f t="shared" si="20"/>
        <v>Error?</v>
      </c>
    </row>
    <row r="1346" spans="1:4" x14ac:dyDescent="0.2">
      <c r="A1346" s="5">
        <v>1285</v>
      </c>
      <c r="B1346" s="138">
        <f>'Expenditures 15-22'!D210</f>
        <v>855</v>
      </c>
      <c r="C1346" s="2" t="s">
        <v>573</v>
      </c>
      <c r="D1346" s="2" t="str">
        <f t="shared" si="20"/>
        <v>Error?</v>
      </c>
    </row>
    <row r="1347" spans="1:4" x14ac:dyDescent="0.2">
      <c r="A1347" s="5">
        <v>1286</v>
      </c>
      <c r="B1347" s="138">
        <f>'Expenditures 15-22'!E182</f>
        <v>42504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42504</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42504</v>
      </c>
      <c r="C1353" s="2" t="s">
        <v>573</v>
      </c>
      <c r="D1353" s="2" t="str">
        <f t="shared" si="20"/>
        <v>Error?</v>
      </c>
    </row>
    <row r="1354" spans="1:4" x14ac:dyDescent="0.2">
      <c r="A1354" s="5">
        <v>1293</v>
      </c>
      <c r="B1354" s="138">
        <f>'Expenditures 15-22'!F182</f>
        <v>42555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42555</v>
      </c>
      <c r="C1358" s="2" t="s">
        <v>573</v>
      </c>
      <c r="D1358" s="2" t="str">
        <f t="shared" si="20"/>
        <v>Error?</v>
      </c>
    </row>
    <row r="1359" spans="1:4" x14ac:dyDescent="0.2">
      <c r="A1359" s="5">
        <v>1298</v>
      </c>
      <c r="B1359" s="138">
        <f>'Expenditures 15-22'!F210</f>
        <v>42555</v>
      </c>
      <c r="C1359" s="2" t="s">
        <v>573</v>
      </c>
      <c r="D1359" s="2" t="str">
        <f t="shared" si="20"/>
        <v>Error?</v>
      </c>
    </row>
    <row r="1360" spans="1:4" x14ac:dyDescent="0.2">
      <c r="A1360" s="5">
        <v>1299</v>
      </c>
      <c r="B1360" s="138">
        <f>'Expenditures 15-22'!G182</f>
        <v>78630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78630</v>
      </c>
      <c r="C1364" s="2" t="s">
        <v>573</v>
      </c>
      <c r="D1364" s="2" t="str">
        <f t="shared" si="20"/>
        <v>Error?</v>
      </c>
    </row>
    <row r="1365" spans="1:4" x14ac:dyDescent="0.2">
      <c r="A1365" s="5">
        <v>1304</v>
      </c>
      <c r="B1365" s="138">
        <f>'Expenditures 15-22'!G210</f>
        <v>78630</v>
      </c>
      <c r="C1365" s="2" t="s">
        <v>573</v>
      </c>
      <c r="D1365" s="2" t="str">
        <f t="shared" si="20"/>
        <v>Error?</v>
      </c>
    </row>
    <row r="1366" spans="1:4" x14ac:dyDescent="0.2">
      <c r="A1366" s="5">
        <v>1305</v>
      </c>
      <c r="B1366" s="138">
        <f>'Expenditures 15-22'!H182</f>
        <v>688</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688</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688</v>
      </c>
      <c r="C1376" s="2" t="s">
        <v>573</v>
      </c>
      <c r="D1376" s="2" t="str">
        <f t="shared" si="20"/>
        <v>Error?</v>
      </c>
    </row>
    <row r="1377" spans="1:4" x14ac:dyDescent="0.2">
      <c r="A1377" s="5">
        <v>1316</v>
      </c>
      <c r="B1377" s="138">
        <f>'Expenditures 15-22'!K182</f>
        <v>285964</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285964</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285964</v>
      </c>
      <c r="C1388" s="2" t="s">
        <v>573</v>
      </c>
      <c r="D1388" s="2" t="str">
        <f t="shared" si="20"/>
        <v>Error?</v>
      </c>
    </row>
    <row r="1389" spans="1:4" x14ac:dyDescent="0.2">
      <c r="A1389" s="5">
        <v>1328</v>
      </c>
      <c r="B1389" s="138">
        <f>'Expenditures 15-22'!K211</f>
        <v>-91193</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889</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52694</v>
      </c>
      <c r="C1410" s="2" t="s">
        <v>573</v>
      </c>
      <c r="D1410" s="2" t="str">
        <f t="shared" si="21"/>
        <v>Error?</v>
      </c>
    </row>
    <row r="1411" spans="1:4" x14ac:dyDescent="0.2">
      <c r="A1411" s="5">
        <v>1350</v>
      </c>
      <c r="B1411" s="138">
        <f>'Expenditures 15-22'!D232</f>
        <v>676</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676</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459</v>
      </c>
      <c r="D1422" s="2" t="str">
        <f t="shared" si="21"/>
        <v>Error?</v>
      </c>
    </row>
    <row r="1423" spans="1:4" x14ac:dyDescent="0.2">
      <c r="A1423" s="5">
        <v>1362</v>
      </c>
      <c r="B1423" s="138">
        <f>'Expenditures 15-22'!D246</f>
        <v>2430</v>
      </c>
      <c r="D1423" s="2" t="str">
        <f t="shared" si="21"/>
        <v>Error?</v>
      </c>
    </row>
    <row r="1424" spans="1:4" x14ac:dyDescent="0.2">
      <c r="A1424" s="5">
        <v>1363</v>
      </c>
      <c r="B1424" s="138">
        <f>'Expenditures 15-22'!D257</f>
        <v>2889</v>
      </c>
      <c r="C1424" s="2" t="s">
        <v>573</v>
      </c>
      <c r="D1424" s="2" t="str">
        <f t="shared" si="21"/>
        <v>Error?</v>
      </c>
    </row>
    <row r="1425" spans="1:4" x14ac:dyDescent="0.2">
      <c r="A1425" s="5">
        <v>1364</v>
      </c>
      <c r="B1425" s="138">
        <f>'Expenditures 15-22'!D259</f>
        <v>11197</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11197</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11195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16642</v>
      </c>
      <c r="D1431" s="2" t="str">
        <f t="shared" si="21"/>
        <v>Error?</v>
      </c>
    </row>
    <row r="1432" spans="1:4" x14ac:dyDescent="0.2">
      <c r="A1432" s="5">
        <v>1371</v>
      </c>
      <c r="B1432" s="138">
        <f>'Expenditures 15-22'!D267</f>
        <v>19477</v>
      </c>
      <c r="D1432" s="2" t="str">
        <f t="shared" si="21"/>
        <v>Error?</v>
      </c>
    </row>
    <row r="1433" spans="1:4" x14ac:dyDescent="0.2">
      <c r="A1433" s="5">
        <v>1372</v>
      </c>
      <c r="B1433" s="138">
        <f>'Expenditures 15-22'!D268</f>
        <v>5801</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53115</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67877</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120571</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889</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52694</v>
      </c>
      <c r="C1474" s="2" t="s">
        <v>573</v>
      </c>
      <c r="D1474" s="2" t="str">
        <f t="shared" si="22"/>
        <v>Error?</v>
      </c>
    </row>
    <row r="1475" spans="1:4" x14ac:dyDescent="0.2">
      <c r="A1475" s="5">
        <v>1414</v>
      </c>
      <c r="B1475" s="138">
        <f>'Expenditures 15-22'!K232</f>
        <v>676</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676</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459</v>
      </c>
      <c r="C1486" s="2" t="s">
        <v>573</v>
      </c>
      <c r="D1486" s="2" t="str">
        <f t="shared" si="22"/>
        <v>Error?</v>
      </c>
    </row>
    <row r="1487" spans="1:4" x14ac:dyDescent="0.2">
      <c r="A1487" s="5">
        <v>1426</v>
      </c>
      <c r="B1487" s="138">
        <f>'Expenditures 15-22'!K246</f>
        <v>2430</v>
      </c>
      <c r="C1487" s="2" t="s">
        <v>573</v>
      </c>
      <c r="D1487" s="2" t="str">
        <f t="shared" si="22"/>
        <v>Error?</v>
      </c>
    </row>
    <row r="1488" spans="1:4" x14ac:dyDescent="0.2">
      <c r="A1488" s="5">
        <v>1427</v>
      </c>
      <c r="B1488" s="138">
        <f>'Expenditures 15-22'!K257</f>
        <v>2889</v>
      </c>
      <c r="C1488" s="2" t="s">
        <v>573</v>
      </c>
      <c r="D1488" s="2" t="str">
        <f t="shared" si="22"/>
        <v>Error?</v>
      </c>
    </row>
    <row r="1489" spans="1:4" x14ac:dyDescent="0.2">
      <c r="A1489" s="5">
        <v>1428</v>
      </c>
      <c r="B1489" s="138">
        <f>'Expenditures 15-22'!K259</f>
        <v>11197</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11197</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11195</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16642</v>
      </c>
      <c r="C1495" s="2" t="s">
        <v>573</v>
      </c>
      <c r="D1495" s="2" t="str">
        <f t="shared" si="22"/>
        <v>Error?</v>
      </c>
    </row>
    <row r="1496" spans="1:4" x14ac:dyDescent="0.2">
      <c r="A1496" s="5">
        <v>1435</v>
      </c>
      <c r="B1496" s="138">
        <f>'Expenditures 15-22'!K267</f>
        <v>19477</v>
      </c>
      <c r="C1496" s="2" t="s">
        <v>573</v>
      </c>
      <c r="D1496" s="2" t="str">
        <f t="shared" si="22"/>
        <v>Error?</v>
      </c>
    </row>
    <row r="1497" spans="1:4" x14ac:dyDescent="0.2">
      <c r="A1497" s="5">
        <v>1436</v>
      </c>
      <c r="B1497" s="138">
        <f>'Expenditures 15-22'!K268</f>
        <v>5801</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53115</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67877</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120571</v>
      </c>
      <c r="C1517" s="2" t="s">
        <v>573</v>
      </c>
      <c r="D1517" s="2" t="str">
        <f t="shared" si="22"/>
        <v>Error?</v>
      </c>
    </row>
    <row r="1518" spans="1:4" x14ac:dyDescent="0.2">
      <c r="A1518" s="5">
        <v>1457</v>
      </c>
      <c r="B1518" s="138">
        <f>'Expenditures 15-22'!K296</f>
        <v>32767</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21414</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21414</v>
      </c>
      <c r="C1535" s="2" t="s">
        <v>573</v>
      </c>
      <c r="D1535" s="2" t="str">
        <f t="shared" ref="D1535:D1598" si="23">IF(ISBLANK(B1535),"OK",IF(A1535-B1535=0,"OK","Error?"))</f>
        <v>Error?</v>
      </c>
    </row>
    <row r="1536" spans="1:4" x14ac:dyDescent="0.2">
      <c r="A1536" s="5">
        <v>1475</v>
      </c>
      <c r="B1536" s="138">
        <f>'Expenditures 15-22'!E312</f>
        <v>21414</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317795</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317795</v>
      </c>
      <c r="C1547" s="2" t="s">
        <v>573</v>
      </c>
      <c r="D1547" s="2" t="str">
        <f t="shared" si="23"/>
        <v>Error?</v>
      </c>
    </row>
    <row r="1548" spans="1:4" x14ac:dyDescent="0.2">
      <c r="A1548" s="5">
        <v>1487</v>
      </c>
      <c r="B1548" s="138">
        <f>'Expenditures 15-22'!G312</f>
        <v>317795</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339209</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339209</v>
      </c>
      <c r="C1559" s="2" t="s">
        <v>573</v>
      </c>
      <c r="D1559" s="2" t="str">
        <f t="shared" si="23"/>
        <v>Error?</v>
      </c>
    </row>
    <row r="1560" spans="1:4" x14ac:dyDescent="0.2">
      <c r="A1560" s="5">
        <v>1499</v>
      </c>
      <c r="B1560" s="138">
        <f>'Expenditures 15-22'!K312</f>
        <v>339209</v>
      </c>
      <c r="C1560" s="2" t="s">
        <v>573</v>
      </c>
      <c r="D1560" s="2" t="str">
        <f t="shared" si="23"/>
        <v>Error?</v>
      </c>
    </row>
    <row r="1561" spans="1:4" x14ac:dyDescent="0.2">
      <c r="A1561" s="5">
        <v>1500</v>
      </c>
      <c r="B1561" s="138">
        <f>'Expenditures 15-22'!K313</f>
        <v>-335886</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7351469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8093072</v>
      </c>
      <c r="C1630" s="2" t="s">
        <v>573</v>
      </c>
      <c r="D1630" s="2" t="str">
        <f t="shared" si="24"/>
        <v>Error?</v>
      </c>
    </row>
    <row r="1631" spans="1:4" x14ac:dyDescent="0.2">
      <c r="A1631" s="5">
        <v>1570</v>
      </c>
      <c r="B1631" s="138">
        <f>'Acct Summary 7-8'!D79</f>
        <v>1344374</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1385937</v>
      </c>
      <c r="C1644" s="2" t="s">
        <v>573</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573</v>
      </c>
      <c r="D1658" s="2" t="str">
        <f t="shared" si="24"/>
        <v>Error?</v>
      </c>
    </row>
    <row r="1659" spans="1:4" x14ac:dyDescent="0.2">
      <c r="A1659" s="5">
        <v>1598</v>
      </c>
      <c r="B1659" s="138">
        <f>'Acct Summary 7-8'!F79</f>
        <v>885811</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794618</v>
      </c>
      <c r="C1672" s="2" t="s">
        <v>573</v>
      </c>
      <c r="D1672" s="2" t="str">
        <f t="shared" si="25"/>
        <v>Error?</v>
      </c>
    </row>
    <row r="1673" spans="1:4" x14ac:dyDescent="0.2">
      <c r="A1673" s="5">
        <v>1612</v>
      </c>
      <c r="B1673" s="138">
        <f>'Acct Summary 7-8'!G79</f>
        <v>154731</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187498</v>
      </c>
      <c r="C1686" s="2" t="s">
        <v>573</v>
      </c>
      <c r="D1686" s="2" t="str">
        <f t="shared" si="25"/>
        <v>Error?</v>
      </c>
    </row>
    <row r="1687" spans="1:4" x14ac:dyDescent="0.2">
      <c r="A1687" s="5">
        <v>1626</v>
      </c>
      <c r="B1687" s="138">
        <f>'Acct Summary 7-8'!H79</f>
        <v>299059</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323173</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3057207</v>
      </c>
      <c r="C1744" s="2" t="s">
        <v>573</v>
      </c>
      <c r="D1744" s="2" t="str">
        <f t="shared" si="26"/>
        <v>Error?</v>
      </c>
    </row>
    <row r="1745" spans="1:5" x14ac:dyDescent="0.2">
      <c r="A1745" s="5">
        <v>1684</v>
      </c>
      <c r="B1745" s="138">
        <f>'Tax Sched 23'!B5</f>
        <v>592102</v>
      </c>
      <c r="C1745" s="2" t="s">
        <v>573</v>
      </c>
      <c r="D1745" s="2" t="str">
        <f t="shared" si="26"/>
        <v>Error?</v>
      </c>
    </row>
    <row r="1746" spans="1:5" x14ac:dyDescent="0.2">
      <c r="A1746" s="5">
        <v>1685</v>
      </c>
      <c r="B1746" s="138">
        <f>'Tax Sched 23'!B6</f>
        <v>0</v>
      </c>
      <c r="C1746" s="2" t="s">
        <v>573</v>
      </c>
      <c r="D1746" s="2" t="str">
        <f t="shared" si="26"/>
        <v>Error?</v>
      </c>
    </row>
    <row r="1747" spans="1:5" x14ac:dyDescent="0.2">
      <c r="A1747" s="5">
        <v>1686</v>
      </c>
      <c r="B1747" s="138">
        <f>'Tax Sched 23'!B7</f>
        <v>7291</v>
      </c>
      <c r="C1747" s="2" t="s">
        <v>573</v>
      </c>
      <c r="D1747" s="2" t="str">
        <f t="shared" si="26"/>
        <v>Error?</v>
      </c>
    </row>
    <row r="1748" spans="1:5" x14ac:dyDescent="0.2">
      <c r="A1748" s="5">
        <v>1687</v>
      </c>
      <c r="B1748" s="138">
        <f>'Tax Sched 23'!B8</f>
        <v>98228</v>
      </c>
      <c r="C1748" s="2" t="s">
        <v>573</v>
      </c>
      <c r="D1748" s="2" t="str">
        <f t="shared" si="26"/>
        <v>Error?</v>
      </c>
    </row>
    <row r="1749" spans="1:5" x14ac:dyDescent="0.2">
      <c r="A1749" s="5">
        <v>1688</v>
      </c>
      <c r="B1749" s="138">
        <f>'Tax Sched 23'!B10</f>
        <v>16607</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45699</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150679</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4017191</v>
      </c>
      <c r="C1759" s="2" t="s">
        <v>573</v>
      </c>
      <c r="D1759" s="2" t="str">
        <f t="shared" si="26"/>
        <v>Error?</v>
      </c>
    </row>
    <row r="1760" spans="1:5" x14ac:dyDescent="0.2">
      <c r="A1760" s="5">
        <v>1699</v>
      </c>
      <c r="B1760" s="138">
        <f>'Tax Sched 23'!D4</f>
        <v>1410911</v>
      </c>
      <c r="C1760" s="2" t="s">
        <v>573</v>
      </c>
      <c r="D1760" s="2" t="str">
        <f t="shared" si="26"/>
        <v>Error?</v>
      </c>
    </row>
    <row r="1761" spans="1:5" x14ac:dyDescent="0.2">
      <c r="A1761" s="5">
        <v>1700</v>
      </c>
      <c r="B1761" s="138">
        <f>'Tax Sched 23'!D5</f>
        <v>264986</v>
      </c>
      <c r="C1761" s="2" t="s">
        <v>573</v>
      </c>
      <c r="D1761" s="2" t="str">
        <f t="shared" si="26"/>
        <v>Error?</v>
      </c>
    </row>
    <row r="1762" spans="1:5" s="8" customFormat="1" x14ac:dyDescent="0.2">
      <c r="A1762" s="5">
        <v>1701</v>
      </c>
      <c r="B1762" s="138">
        <f>'Tax Sched 23'!D6</f>
        <v>0</v>
      </c>
      <c r="C1762" s="2" t="s">
        <v>573</v>
      </c>
      <c r="D1762" s="2" t="str">
        <f t="shared" si="26"/>
        <v>Error?</v>
      </c>
      <c r="E1762" s="9"/>
    </row>
    <row r="1763" spans="1:5" x14ac:dyDescent="0.2">
      <c r="A1763" s="5">
        <v>1702</v>
      </c>
      <c r="B1763" s="138">
        <f>'Tax Sched 23'!D7</f>
        <v>3086</v>
      </c>
      <c r="C1763" s="2" t="s">
        <v>573</v>
      </c>
      <c r="D1763" s="2" t="str">
        <f t="shared" si="26"/>
        <v>Error?</v>
      </c>
    </row>
    <row r="1764" spans="1:5" x14ac:dyDescent="0.2">
      <c r="A1764" s="5">
        <v>1703</v>
      </c>
      <c r="B1764" s="138">
        <f>'Tax Sched 23'!D8</f>
        <v>44091</v>
      </c>
      <c r="C1764" s="2" t="s">
        <v>573</v>
      </c>
      <c r="D1764" s="2" t="str">
        <f t="shared" si="26"/>
        <v>Error?</v>
      </c>
    </row>
    <row r="1765" spans="1:5" x14ac:dyDescent="0.2">
      <c r="A1765" s="5">
        <v>1704</v>
      </c>
      <c r="B1765" s="138">
        <f>'Tax Sched 23'!D10</f>
        <v>5044</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22046</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19278</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1791489</v>
      </c>
      <c r="C1775" s="2" t="s">
        <v>573</v>
      </c>
      <c r="D1775" s="2" t="str">
        <f t="shared" si="26"/>
        <v>Error?</v>
      </c>
    </row>
    <row r="1776" spans="1:5" x14ac:dyDescent="0.2">
      <c r="A1776" s="5">
        <v>1715</v>
      </c>
      <c r="B1776" s="138">
        <f>'Tax Sched 23'!C4</f>
        <v>1646296</v>
      </c>
      <c r="D1776" s="2" t="str">
        <f t="shared" si="26"/>
        <v>Error?</v>
      </c>
    </row>
    <row r="1777" spans="1:4" x14ac:dyDescent="0.2">
      <c r="A1777" s="5">
        <v>1716</v>
      </c>
      <c r="B1777" s="138">
        <f>'Tax Sched 23'!C5</f>
        <v>327116</v>
      </c>
      <c r="D1777" s="2" t="str">
        <f t="shared" si="26"/>
        <v>Error?</v>
      </c>
    </row>
    <row r="1778" spans="1:4" x14ac:dyDescent="0.2">
      <c r="A1778" s="5">
        <v>1717</v>
      </c>
      <c r="B1778" s="138">
        <f>'Tax Sched 23'!C6</f>
        <v>0</v>
      </c>
      <c r="D1778" s="2" t="str">
        <f t="shared" si="26"/>
        <v>Error?</v>
      </c>
    </row>
    <row r="1779" spans="1:4" x14ac:dyDescent="0.2">
      <c r="A1779" s="5">
        <v>1718</v>
      </c>
      <c r="B1779" s="138">
        <f>'Tax Sched 23'!C7</f>
        <v>4205</v>
      </c>
      <c r="D1779" s="2" t="str">
        <f t="shared" si="26"/>
        <v>Error?</v>
      </c>
    </row>
    <row r="1780" spans="1:4" x14ac:dyDescent="0.2">
      <c r="A1780" s="5">
        <v>1719</v>
      </c>
      <c r="B1780" s="138">
        <f>'Tax Sched 23'!C8</f>
        <v>54137</v>
      </c>
      <c r="D1780" s="2" t="str">
        <f t="shared" si="26"/>
        <v>Error?</v>
      </c>
    </row>
    <row r="1781" spans="1:4" x14ac:dyDescent="0.2">
      <c r="A1781" s="5">
        <v>1720</v>
      </c>
      <c r="B1781" s="138">
        <f>'Tax Sched 23'!C10</f>
        <v>11563</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23653</v>
      </c>
      <c r="D1784" s="2" t="str">
        <f t="shared" si="26"/>
        <v>Error?</v>
      </c>
    </row>
    <row r="1785" spans="1:4" x14ac:dyDescent="0.2">
      <c r="A1785" s="5">
        <v>1724</v>
      </c>
      <c r="B1785" s="138">
        <f>'Tax Sched 23'!C12</f>
        <v>0</v>
      </c>
      <c r="D1785" s="2" t="str">
        <f t="shared" si="26"/>
        <v>Error?</v>
      </c>
    </row>
    <row r="1786" spans="1:4" x14ac:dyDescent="0.2">
      <c r="A1786" s="5">
        <v>1725</v>
      </c>
      <c r="B1786" s="138">
        <f>'Tax Sched 23'!C14</f>
        <v>131401</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2225702</v>
      </c>
      <c r="C1791" s="2" t="s">
        <v>573</v>
      </c>
      <c r="D1791" s="2" t="str">
        <f t="shared" ref="D1791:D1854" si="27">IF(ISBLANK(B1791),"OK",IF(A1791-B1791=0,"OK","Error?"))</f>
        <v>Error?</v>
      </c>
    </row>
    <row r="1792" spans="1:4" x14ac:dyDescent="0.2">
      <c r="A1792" s="5">
        <v>1731</v>
      </c>
      <c r="B1792" s="138">
        <f>'Tax Sched 23'!F4</f>
        <v>1441297</v>
      </c>
      <c r="C1792" s="2" t="s">
        <v>573</v>
      </c>
      <c r="D1792" s="2" t="str">
        <f t="shared" si="27"/>
        <v>Error?</v>
      </c>
    </row>
    <row r="1793" spans="1:4" x14ac:dyDescent="0.2">
      <c r="A1793" s="5">
        <v>1732</v>
      </c>
      <c r="B1793" s="138">
        <f>'Tax Sched 23'!F5</f>
        <v>286383</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3681</v>
      </c>
      <c r="C1795" s="2" t="s">
        <v>573</v>
      </c>
      <c r="D1795" s="2" t="str">
        <f t="shared" si="27"/>
        <v>Error?</v>
      </c>
    </row>
    <row r="1796" spans="1:4" x14ac:dyDescent="0.2">
      <c r="A1796" s="5">
        <v>1735</v>
      </c>
      <c r="B1796" s="138">
        <f>'Tax Sched 23'!F8</f>
        <v>47396</v>
      </c>
      <c r="C1796" s="2" t="s">
        <v>573</v>
      </c>
      <c r="D1796" s="2" t="str">
        <f t="shared" si="27"/>
        <v>Error?</v>
      </c>
    </row>
    <row r="1797" spans="1:4" x14ac:dyDescent="0.2">
      <c r="A1797" s="5">
        <v>1736</v>
      </c>
      <c r="B1797" s="138">
        <f>'Tax Sched 23'!F10</f>
        <v>10124</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20707</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115038</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1948554</v>
      </c>
      <c r="C1807" s="2" t="s">
        <v>573</v>
      </c>
      <c r="D1807" s="2" t="str">
        <f t="shared" si="27"/>
        <v>Error?</v>
      </c>
    </row>
    <row r="1808" spans="1:4" x14ac:dyDescent="0.2">
      <c r="A1808" s="5">
        <v>1747</v>
      </c>
      <c r="B1808" s="138">
        <f>'Tax Sched 23'!E4</f>
        <v>3087593</v>
      </c>
      <c r="D1808" s="2" t="str">
        <f t="shared" si="27"/>
        <v>Error?</v>
      </c>
    </row>
    <row r="1809" spans="1:4" x14ac:dyDescent="0.2">
      <c r="A1809" s="5">
        <v>1748</v>
      </c>
      <c r="B1809" s="138">
        <f>'Tax Sched 23'!E5</f>
        <v>613499</v>
      </c>
      <c r="D1809" s="2" t="str">
        <f t="shared" si="27"/>
        <v>Error?</v>
      </c>
    </row>
    <row r="1810" spans="1:4" x14ac:dyDescent="0.2">
      <c r="A1810" s="5">
        <v>1749</v>
      </c>
      <c r="B1810" s="138">
        <f>'Tax Sched 23'!E6</f>
        <v>0</v>
      </c>
      <c r="D1810" s="2" t="str">
        <f t="shared" si="27"/>
        <v>Error?</v>
      </c>
    </row>
    <row r="1811" spans="1:4" x14ac:dyDescent="0.2">
      <c r="A1811" s="5">
        <v>1750</v>
      </c>
      <c r="B1811" s="138">
        <f>'Tax Sched 23'!E7</f>
        <v>7886</v>
      </c>
      <c r="D1811" s="2" t="str">
        <f t="shared" si="27"/>
        <v>Error?</v>
      </c>
    </row>
    <row r="1812" spans="1:4" x14ac:dyDescent="0.2">
      <c r="A1812" s="5">
        <v>1751</v>
      </c>
      <c r="B1812" s="138">
        <f>'Tax Sched 23'!E8</f>
        <v>101533</v>
      </c>
      <c r="D1812" s="2" t="str">
        <f t="shared" si="27"/>
        <v>Error?</v>
      </c>
    </row>
    <row r="1813" spans="1:4" x14ac:dyDescent="0.2">
      <c r="A1813" s="5">
        <v>1752</v>
      </c>
      <c r="B1813" s="138">
        <f>'Tax Sched 23'!E10</f>
        <v>21687</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44360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246439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4174256</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150679</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150679</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150679</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25000</v>
      </c>
      <c r="D2008" s="2" t="str">
        <f t="shared" si="30"/>
        <v>Error?</v>
      </c>
    </row>
    <row r="2009" spans="1:4" x14ac:dyDescent="0.2">
      <c r="A2009" s="5">
        <v>1948</v>
      </c>
      <c r="B2009" s="138">
        <f>'Cap Outlay Deprec 26'!C8</f>
        <v>3484822</v>
      </c>
      <c r="D2009" s="2" t="str">
        <f t="shared" si="30"/>
        <v>Error?</v>
      </c>
    </row>
    <row r="2010" spans="1:4" x14ac:dyDescent="0.2">
      <c r="A2010" s="5">
        <v>1949</v>
      </c>
      <c r="B2010" s="138">
        <f>'Cap Outlay Deprec 26'!C10</f>
        <v>225937</v>
      </c>
      <c r="D2010" s="2" t="str">
        <f t="shared" si="30"/>
        <v>Error?</v>
      </c>
    </row>
    <row r="2011" spans="1:4" x14ac:dyDescent="0.2">
      <c r="A2011" s="5">
        <v>1950</v>
      </c>
      <c r="B2011" s="138">
        <f>'Cap Outlay Deprec 26'!C12</f>
        <v>702433</v>
      </c>
      <c r="D2011" s="2" t="str">
        <f t="shared" si="30"/>
        <v>Error?</v>
      </c>
    </row>
    <row r="2012" spans="1:4" x14ac:dyDescent="0.2">
      <c r="A2012" s="5">
        <v>1951</v>
      </c>
      <c r="B2012" s="138">
        <f>'Cap Outlay Deprec 26'!C13</f>
        <v>611441</v>
      </c>
      <c r="D2012" s="2" t="str">
        <f t="shared" si="30"/>
        <v>Error?</v>
      </c>
    </row>
    <row r="2013" spans="1:4" x14ac:dyDescent="0.2">
      <c r="A2013" s="5">
        <v>1952</v>
      </c>
      <c r="B2013" s="138">
        <f>'Cap Outlay Deprec 26'!C16</f>
        <v>5049633</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317795</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78630</v>
      </c>
      <c r="D2018" s="2" t="str">
        <f t="shared" si="30"/>
        <v>Error?</v>
      </c>
    </row>
    <row r="2019" spans="1:4" x14ac:dyDescent="0.2">
      <c r="A2019" s="5">
        <v>1958</v>
      </c>
      <c r="B2019" s="138">
        <f>'Cap Outlay Deprec 26'!D16</f>
        <v>396425</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25000</v>
      </c>
      <c r="C2026" s="2" t="s">
        <v>573</v>
      </c>
      <c r="D2026" s="2" t="str">
        <f t="shared" si="30"/>
        <v>Error?</v>
      </c>
    </row>
    <row r="2027" spans="1:4" x14ac:dyDescent="0.2">
      <c r="A2027" s="5">
        <v>1966</v>
      </c>
      <c r="B2027" s="138">
        <f>'Cap Outlay Deprec 26'!F8</f>
        <v>3802617</v>
      </c>
      <c r="C2027" s="2" t="s">
        <v>573</v>
      </c>
      <c r="D2027" s="2" t="str">
        <f t="shared" si="30"/>
        <v>Error?</v>
      </c>
    </row>
    <row r="2028" spans="1:4" x14ac:dyDescent="0.2">
      <c r="A2028" s="5">
        <v>1967</v>
      </c>
      <c r="B2028" s="138">
        <f>'Cap Outlay Deprec 26'!F10</f>
        <v>225937</v>
      </c>
      <c r="C2028" s="2" t="s">
        <v>573</v>
      </c>
      <c r="D2028" s="2" t="str">
        <f t="shared" si="30"/>
        <v>Error?</v>
      </c>
    </row>
    <row r="2029" spans="1:4" x14ac:dyDescent="0.2">
      <c r="A2029" s="5">
        <v>1968</v>
      </c>
      <c r="B2029" s="138">
        <f>'Cap Outlay Deprec 26'!F12</f>
        <v>702433</v>
      </c>
      <c r="C2029" s="2" t="s">
        <v>573</v>
      </c>
      <c r="D2029" s="2" t="str">
        <f t="shared" si="30"/>
        <v>Error?</v>
      </c>
    </row>
    <row r="2030" spans="1:4" x14ac:dyDescent="0.2">
      <c r="A2030" s="5">
        <v>1969</v>
      </c>
      <c r="B2030" s="138">
        <f>'Cap Outlay Deprec 26'!F13</f>
        <v>690071</v>
      </c>
      <c r="C2030" s="2" t="s">
        <v>573</v>
      </c>
      <c r="D2030" s="2" t="str">
        <f t="shared" si="30"/>
        <v>Error?</v>
      </c>
    </row>
    <row r="2031" spans="1:4" x14ac:dyDescent="0.2">
      <c r="A2031" s="5">
        <v>1970</v>
      </c>
      <c r="B2031" s="138">
        <f>'Cap Outlay Deprec 26'!F16</f>
        <v>5446058</v>
      </c>
      <c r="C2031" s="2" t="s">
        <v>573</v>
      </c>
      <c r="D2031" s="2" t="str">
        <f t="shared" si="30"/>
        <v>Error?</v>
      </c>
    </row>
    <row r="2032" spans="1:4" x14ac:dyDescent="0.2">
      <c r="A2032" s="10">
        <v>1971</v>
      </c>
      <c r="D2032" s="2" t="str">
        <f t="shared" si="30"/>
        <v>OK</v>
      </c>
    </row>
    <row r="2033" spans="1:4" x14ac:dyDescent="0.2">
      <c r="A2033" s="5">
        <v>1972</v>
      </c>
      <c r="B2033" s="138">
        <f>'Cap Outlay Deprec 26'!H8</f>
        <v>1185377</v>
      </c>
      <c r="D2033" s="2" t="str">
        <f t="shared" si="30"/>
        <v>Error?</v>
      </c>
    </row>
    <row r="2034" spans="1:4" x14ac:dyDescent="0.2">
      <c r="A2034" s="5">
        <v>1973</v>
      </c>
      <c r="B2034" s="138">
        <f>'Cap Outlay Deprec 26'!H10</f>
        <v>88994</v>
      </c>
      <c r="D2034" s="2" t="str">
        <f t="shared" si="30"/>
        <v>Error?</v>
      </c>
    </row>
    <row r="2035" spans="1:4" x14ac:dyDescent="0.2">
      <c r="A2035" s="5">
        <v>1974</v>
      </c>
      <c r="B2035" s="138">
        <f>'Cap Outlay Deprec 26'!H12</f>
        <v>567498</v>
      </c>
      <c r="D2035" s="2" t="str">
        <f t="shared" si="30"/>
        <v>Error?</v>
      </c>
    </row>
    <row r="2036" spans="1:4" x14ac:dyDescent="0.2">
      <c r="A2036" s="5">
        <v>1975</v>
      </c>
      <c r="B2036" s="138">
        <f>'Cap Outlay Deprec 26'!H13</f>
        <v>223263</v>
      </c>
      <c r="D2036" s="2" t="str">
        <f t="shared" si="30"/>
        <v>Error?</v>
      </c>
    </row>
    <row r="2037" spans="1:4" x14ac:dyDescent="0.2">
      <c r="A2037" s="5">
        <v>1976</v>
      </c>
      <c r="B2037" s="138">
        <f>'Cap Outlay Deprec 26'!H16</f>
        <v>2065132</v>
      </c>
      <c r="C2037" s="2" t="s">
        <v>573</v>
      </c>
      <c r="D2037" s="2" t="str">
        <f t="shared" si="30"/>
        <v>Error?</v>
      </c>
    </row>
    <row r="2038" spans="1:4" x14ac:dyDescent="0.2">
      <c r="A2038" s="10">
        <v>1977</v>
      </c>
      <c r="D2038" s="2" t="str">
        <f t="shared" si="30"/>
        <v>OK</v>
      </c>
    </row>
    <row r="2039" spans="1:4" x14ac:dyDescent="0.2">
      <c r="A2039" s="5">
        <v>1978</v>
      </c>
      <c r="B2039" s="138">
        <f>'Cap Outlay Deprec 26'!I8</f>
        <v>72874</v>
      </c>
      <c r="D2039" s="2" t="str">
        <f t="shared" si="30"/>
        <v>Error?</v>
      </c>
    </row>
    <row r="2040" spans="1:4" x14ac:dyDescent="0.2">
      <c r="A2040" s="5">
        <v>1979</v>
      </c>
      <c r="B2040" s="138">
        <f>'Cap Outlay Deprec 26'!I10</f>
        <v>7505</v>
      </c>
      <c r="D2040" s="2" t="str">
        <f t="shared" si="30"/>
        <v>Error?</v>
      </c>
    </row>
    <row r="2041" spans="1:4" x14ac:dyDescent="0.2">
      <c r="A2041" s="5">
        <v>1980</v>
      </c>
      <c r="B2041" s="138">
        <f>'Cap Outlay Deprec 26'!I12</f>
        <v>23444</v>
      </c>
      <c r="D2041" s="2" t="str">
        <f t="shared" si="30"/>
        <v>Error?</v>
      </c>
    </row>
    <row r="2042" spans="1:4" x14ac:dyDescent="0.2">
      <c r="A2042" s="5">
        <v>1981</v>
      </c>
      <c r="B2042" s="138">
        <f>'Cap Outlay Deprec 26'!I13</f>
        <v>117051</v>
      </c>
      <c r="D2042" s="2" t="str">
        <f t="shared" si="30"/>
        <v>Error?</v>
      </c>
    </row>
    <row r="2043" spans="1:4" x14ac:dyDescent="0.2">
      <c r="A2043" s="5">
        <v>1982</v>
      </c>
      <c r="B2043" s="138">
        <f>'Cap Outlay Deprec 26'!I16</f>
        <v>220874</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1258251</v>
      </c>
      <c r="C2051" s="2" t="s">
        <v>573</v>
      </c>
      <c r="D2051" s="2" t="str">
        <f t="shared" si="31"/>
        <v>Error?</v>
      </c>
    </row>
    <row r="2052" spans="1:4" x14ac:dyDescent="0.2">
      <c r="A2052" s="5">
        <v>1991</v>
      </c>
      <c r="B2052" s="138">
        <f>'Cap Outlay Deprec 26'!K10</f>
        <v>96499</v>
      </c>
      <c r="C2052" s="2" t="s">
        <v>573</v>
      </c>
      <c r="D2052" s="2" t="str">
        <f t="shared" si="31"/>
        <v>Error?</v>
      </c>
    </row>
    <row r="2053" spans="1:4" x14ac:dyDescent="0.2">
      <c r="A2053" s="5">
        <v>1992</v>
      </c>
      <c r="B2053" s="138">
        <f>'Cap Outlay Deprec 26'!K12</f>
        <v>590942</v>
      </c>
      <c r="C2053" s="2" t="s">
        <v>573</v>
      </c>
      <c r="D2053" s="2" t="str">
        <f t="shared" si="31"/>
        <v>Error?</v>
      </c>
    </row>
    <row r="2054" spans="1:4" x14ac:dyDescent="0.2">
      <c r="A2054" s="5">
        <v>1993</v>
      </c>
      <c r="B2054" s="138">
        <f>'Cap Outlay Deprec 26'!K13</f>
        <v>340314</v>
      </c>
      <c r="C2054" s="2" t="s">
        <v>573</v>
      </c>
      <c r="D2054" s="2" t="str">
        <f t="shared" si="31"/>
        <v>Error?</v>
      </c>
    </row>
    <row r="2055" spans="1:4" x14ac:dyDescent="0.2">
      <c r="A2055" s="5">
        <v>1994</v>
      </c>
      <c r="B2055" s="138">
        <f>'Cap Outlay Deprec 26'!K16</f>
        <v>2286006</v>
      </c>
      <c r="C2055" s="2" t="s">
        <v>573</v>
      </c>
      <c r="D2055" s="2" t="str">
        <f t="shared" si="31"/>
        <v>Error?</v>
      </c>
    </row>
    <row r="2056" spans="1:4" x14ac:dyDescent="0.2">
      <c r="A2056" s="5">
        <v>1995</v>
      </c>
      <c r="B2056" s="138">
        <f>'Cap Outlay Deprec 26'!L5</f>
        <v>25000</v>
      </c>
      <c r="C2056" s="2" t="s">
        <v>573</v>
      </c>
      <c r="D2056" s="2" t="str">
        <f t="shared" si="31"/>
        <v>Error?</v>
      </c>
    </row>
    <row r="2057" spans="1:4" x14ac:dyDescent="0.2">
      <c r="A2057" s="5">
        <v>1996</v>
      </c>
      <c r="B2057" s="138">
        <f>'Cap Outlay Deprec 26'!L8</f>
        <v>2544366</v>
      </c>
      <c r="C2057" s="2" t="s">
        <v>573</v>
      </c>
      <c r="D2057" s="2" t="str">
        <f t="shared" si="31"/>
        <v>Error?</v>
      </c>
    </row>
    <row r="2058" spans="1:4" x14ac:dyDescent="0.2">
      <c r="A2058" s="5">
        <v>1997</v>
      </c>
      <c r="B2058" s="138">
        <f>'Cap Outlay Deprec 26'!L10</f>
        <v>129438</v>
      </c>
      <c r="C2058" s="2" t="s">
        <v>573</v>
      </c>
      <c r="D2058" s="2" t="str">
        <f t="shared" si="31"/>
        <v>Error?</v>
      </c>
    </row>
    <row r="2059" spans="1:4" x14ac:dyDescent="0.2">
      <c r="A2059" s="5">
        <v>1998</v>
      </c>
      <c r="B2059" s="138">
        <f>'Cap Outlay Deprec 26'!L12</f>
        <v>111491</v>
      </c>
      <c r="C2059" s="2" t="s">
        <v>573</v>
      </c>
      <c r="D2059" s="2" t="str">
        <f t="shared" si="31"/>
        <v>Error?</v>
      </c>
    </row>
    <row r="2060" spans="1:4" x14ac:dyDescent="0.2">
      <c r="A2060" s="5">
        <v>1999</v>
      </c>
      <c r="B2060" s="138">
        <f>'Cap Outlay Deprec 26'!L13</f>
        <v>349757</v>
      </c>
      <c r="C2060" s="2" t="s">
        <v>573</v>
      </c>
      <c r="D2060" s="2" t="str">
        <f t="shared" si="31"/>
        <v>Error?</v>
      </c>
    </row>
    <row r="2061" spans="1:4" x14ac:dyDescent="0.2">
      <c r="A2061" s="5">
        <v>2000</v>
      </c>
      <c r="B2061" s="138">
        <f>'Cap Outlay Deprec 26'!L16</f>
        <v>3160052</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25167</v>
      </c>
      <c r="C2088" s="2" t="s">
        <v>573</v>
      </c>
      <c r="D2088" s="2" t="str">
        <f t="shared" si="31"/>
        <v>Error?</v>
      </c>
    </row>
    <row r="2089" spans="1:4" x14ac:dyDescent="0.2">
      <c r="A2089" s="5">
        <v>2028</v>
      </c>
      <c r="B2089" s="138">
        <f>'Expenditures 15-22'!K92</f>
        <v>170082</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3385748</v>
      </c>
      <c r="C2551" s="2" t="s">
        <v>573</v>
      </c>
      <c r="D2551" s="2" t="str">
        <f t="shared" si="38"/>
        <v>Error?</v>
      </c>
    </row>
    <row r="2552" spans="1:4" x14ac:dyDescent="0.2">
      <c r="A2552" s="10">
        <v>2491</v>
      </c>
      <c r="D2552" s="2" t="str">
        <f t="shared" si="38"/>
        <v>OK</v>
      </c>
    </row>
    <row r="2553" spans="1:4" x14ac:dyDescent="0.2">
      <c r="A2553" s="5">
        <v>2492</v>
      </c>
      <c r="B2553" s="138">
        <f>'Acct Summary 7-8'!C6</f>
        <v>253837</v>
      </c>
      <c r="C2553" s="2" t="s">
        <v>573</v>
      </c>
      <c r="D2553" s="2" t="str">
        <f t="shared" si="38"/>
        <v>Error?</v>
      </c>
    </row>
    <row r="2554" spans="1:4" x14ac:dyDescent="0.2">
      <c r="A2554" s="5">
        <v>2493</v>
      </c>
      <c r="B2554" s="138">
        <f>'Acct Summary 7-8'!C7</f>
        <v>212909</v>
      </c>
      <c r="C2554" s="2" t="s">
        <v>573</v>
      </c>
      <c r="D2554" s="2" t="str">
        <f t="shared" si="38"/>
        <v>Error?</v>
      </c>
    </row>
    <row r="2555" spans="1:4" x14ac:dyDescent="0.2">
      <c r="A2555" s="5">
        <v>2494</v>
      </c>
      <c r="B2555" s="138">
        <f>'Acct Summary 7-8'!C8</f>
        <v>3852494</v>
      </c>
      <c r="C2555" s="2" t="s">
        <v>573</v>
      </c>
      <c r="D2555" s="2" t="str">
        <f t="shared" si="38"/>
        <v>Error?</v>
      </c>
    </row>
    <row r="2556" spans="1:4" x14ac:dyDescent="0.2">
      <c r="A2556" s="5">
        <v>2495</v>
      </c>
      <c r="B2556" s="138">
        <f>'Acct Summary 7-8'!C12</f>
        <v>2348164</v>
      </c>
      <c r="C2556" s="2" t="s">
        <v>573</v>
      </c>
      <c r="D2556" s="2" t="str">
        <f t="shared" si="38"/>
        <v>Error?</v>
      </c>
    </row>
    <row r="2557" spans="1:4" x14ac:dyDescent="0.2">
      <c r="A2557" s="5">
        <v>2496</v>
      </c>
      <c r="B2557" s="138">
        <f>'Acct Summary 7-8'!C13</f>
        <v>567478</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195249</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3110891</v>
      </c>
      <c r="C2561" s="2" t="s">
        <v>573</v>
      </c>
      <c r="D2561" s="2" t="str">
        <f t="shared" si="39"/>
        <v>Error?</v>
      </c>
    </row>
    <row r="2562" spans="1:4" x14ac:dyDescent="0.2">
      <c r="A2562" s="5">
        <v>2501</v>
      </c>
      <c r="B2562" s="138">
        <f>'Acct Summary 7-8'!C20</f>
        <v>741603</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597632</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597632</v>
      </c>
      <c r="C2568" s="2" t="s">
        <v>573</v>
      </c>
      <c r="D2568" s="2" t="str">
        <f t="shared" si="39"/>
        <v>Error?</v>
      </c>
    </row>
    <row r="2569" spans="1:4" x14ac:dyDescent="0.2">
      <c r="A2569" s="5">
        <v>2508</v>
      </c>
      <c r="B2569" s="138">
        <f>'Acct Summary 7-8'!D13</f>
        <v>196069</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196069</v>
      </c>
      <c r="C2573" s="2" t="s">
        <v>573</v>
      </c>
      <c r="D2573" s="2" t="str">
        <f t="shared" si="39"/>
        <v>Error?</v>
      </c>
    </row>
    <row r="2574" spans="1:4" x14ac:dyDescent="0.2">
      <c r="A2574" s="5">
        <v>2513</v>
      </c>
      <c r="B2574" s="138">
        <f>'Acct Summary 7-8'!D20</f>
        <v>401563</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32066</v>
      </c>
      <c r="C2591" s="2" t="s">
        <v>573</v>
      </c>
      <c r="D2591" s="2" t="str">
        <f t="shared" si="39"/>
        <v>Error?</v>
      </c>
    </row>
    <row r="2592" spans="1:4" x14ac:dyDescent="0.2">
      <c r="A2592" s="10">
        <v>2531</v>
      </c>
      <c r="D2592" s="2" t="str">
        <f t="shared" si="39"/>
        <v>OK</v>
      </c>
    </row>
    <row r="2593" spans="1:4" x14ac:dyDescent="0.2">
      <c r="A2593" s="5">
        <v>2532</v>
      </c>
      <c r="B2593" s="138">
        <f>'Acct Summary 7-8'!F6</f>
        <v>162705</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194771</v>
      </c>
      <c r="C2595" s="2" t="s">
        <v>573</v>
      </c>
      <c r="D2595" s="2" t="str">
        <f t="shared" si="39"/>
        <v>Error?</v>
      </c>
    </row>
    <row r="2596" spans="1:4" x14ac:dyDescent="0.2">
      <c r="A2596" s="5">
        <v>2535</v>
      </c>
      <c r="B2596" s="138">
        <f>'Acct Summary 7-8'!F13</f>
        <v>285964</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285964</v>
      </c>
      <c r="C2600" s="2" t="s">
        <v>573</v>
      </c>
      <c r="D2600" s="2" t="str">
        <f t="shared" si="39"/>
        <v>Error?</v>
      </c>
    </row>
    <row r="2601" spans="1:4" x14ac:dyDescent="0.2">
      <c r="A2601" s="5">
        <v>2540</v>
      </c>
      <c r="B2601" s="138">
        <f>'Acct Summary 7-8'!F20</f>
        <v>-91193</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153338</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153338</v>
      </c>
      <c r="C2606" s="2" t="s">
        <v>573</v>
      </c>
      <c r="D2606" s="2" t="str">
        <f t="shared" si="39"/>
        <v>Error?</v>
      </c>
    </row>
    <row r="2607" spans="1:4" x14ac:dyDescent="0.2">
      <c r="A2607" s="5">
        <v>2546</v>
      </c>
      <c r="B2607" s="138">
        <f>'Acct Summary 7-8'!G12</f>
        <v>52694</v>
      </c>
      <c r="C2607" s="2" t="s">
        <v>573</v>
      </c>
      <c r="D2607" s="2" t="str">
        <f t="shared" si="39"/>
        <v>Error?</v>
      </c>
    </row>
    <row r="2608" spans="1:4" x14ac:dyDescent="0.2">
      <c r="A2608" s="5">
        <v>2547</v>
      </c>
      <c r="B2608" s="138">
        <f>'Acct Summary 7-8'!G13</f>
        <v>67877</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120571</v>
      </c>
      <c r="C2612" s="2" t="s">
        <v>573</v>
      </c>
      <c r="D2612" s="2" t="str">
        <f t="shared" si="39"/>
        <v>Error?</v>
      </c>
    </row>
    <row r="2613" spans="1:4" x14ac:dyDescent="0.2">
      <c r="A2613" s="5">
        <v>2552</v>
      </c>
      <c r="B2613" s="138">
        <f>'Acct Summary 7-8'!G20</f>
        <v>32767</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0</v>
      </c>
      <c r="C2634" s="2" t="s">
        <v>573</v>
      </c>
      <c r="D2634" s="2" t="str">
        <f t="shared" si="40"/>
        <v>Error?</v>
      </c>
    </row>
    <row r="2635" spans="1:4" x14ac:dyDescent="0.2">
      <c r="A2635" s="5">
        <v>2574</v>
      </c>
      <c r="B2635" s="138">
        <f>'Acct Summary 7-8'!E17</f>
        <v>0</v>
      </c>
      <c r="C2635" s="2" t="s">
        <v>573</v>
      </c>
      <c r="D2635" s="2" t="str">
        <f t="shared" si="40"/>
        <v>Error?</v>
      </c>
    </row>
    <row r="2636" spans="1:4" x14ac:dyDescent="0.2">
      <c r="A2636" s="5">
        <v>2575</v>
      </c>
      <c r="B2636" s="138">
        <f>'Acct Summary 7-8'!E20</f>
        <v>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3323</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3323</v>
      </c>
      <c r="C2658" s="2" t="s">
        <v>573</v>
      </c>
      <c r="D2658" s="2" t="str">
        <f t="shared" si="40"/>
        <v>Error?</v>
      </c>
    </row>
    <row r="2659" spans="1:4" x14ac:dyDescent="0.2">
      <c r="A2659" s="5">
        <v>2598</v>
      </c>
      <c r="B2659" s="138">
        <f>'Acct Summary 7-8'!H13</f>
        <v>339209</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339209</v>
      </c>
      <c r="C2661" s="2" t="s">
        <v>573</v>
      </c>
      <c r="D2661" s="2" t="str">
        <f t="shared" si="40"/>
        <v>Error?</v>
      </c>
    </row>
    <row r="2662" spans="1:4" x14ac:dyDescent="0.2">
      <c r="A2662" s="5">
        <v>2601</v>
      </c>
      <c r="B2662" s="138">
        <f>'Acct Summary 7-8'!H20</f>
        <v>-335886</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25167</v>
      </c>
      <c r="C2789" s="2" t="s">
        <v>573</v>
      </c>
      <c r="D2789" s="2" t="str">
        <f t="shared" si="42"/>
        <v>Error?</v>
      </c>
    </row>
    <row r="2790" spans="1:4" x14ac:dyDescent="0.2">
      <c r="A2790" s="5">
        <v>2729</v>
      </c>
      <c r="B2790" s="138">
        <f>'Expenditures 15-22'!E102</f>
        <v>25167</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23087</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25208</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23087</v>
      </c>
      <c r="D2912" s="2" t="str">
        <f t="shared" si="44"/>
        <v>Error?</v>
      </c>
    </row>
    <row r="2913" spans="1:4" x14ac:dyDescent="0.2">
      <c r="A2913" s="5">
        <v>2852</v>
      </c>
      <c r="B2913" s="138">
        <f>'Assets-Liab 5-6'!I41</f>
        <v>23087</v>
      </c>
      <c r="C2913" s="2" t="s">
        <v>573</v>
      </c>
      <c r="D2913" s="2" t="str">
        <f t="shared" si="44"/>
        <v>Error?</v>
      </c>
    </row>
    <row r="2914" spans="1:4" x14ac:dyDescent="0.2">
      <c r="A2914" s="5">
        <v>2853</v>
      </c>
      <c r="B2914" s="138">
        <f>'Assets-Liab 5-6'!L33</f>
        <v>25208</v>
      </c>
      <c r="D2914" s="2" t="str">
        <f t="shared" si="44"/>
        <v>Error?</v>
      </c>
    </row>
    <row r="2915" spans="1:4" x14ac:dyDescent="0.2">
      <c r="A2915" s="10">
        <v>2854</v>
      </c>
      <c r="D2915" s="2" t="str">
        <f t="shared" si="44"/>
        <v>OK</v>
      </c>
    </row>
    <row r="2916" spans="1:4" x14ac:dyDescent="0.2">
      <c r="A2916" s="5">
        <v>2855</v>
      </c>
      <c r="B2916" s="138">
        <f>'Assets-Liab 5-6'!L34</f>
        <v>25208</v>
      </c>
      <c r="C2916" s="2" t="s">
        <v>573</v>
      </c>
      <c r="D2916" s="2" t="str">
        <f t="shared" si="44"/>
        <v>Error?</v>
      </c>
    </row>
    <row r="2917" spans="1:4" x14ac:dyDescent="0.2">
      <c r="A2917" s="5">
        <v>2856</v>
      </c>
      <c r="B2917" s="138">
        <f>'Assets-Liab 5-6'!L41</f>
        <v>25208</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25167</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25167</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61378</v>
      </c>
      <c r="D3055" s="2" t="str">
        <f t="shared" si="46"/>
        <v>Error?</v>
      </c>
    </row>
    <row r="3056" spans="1:4" x14ac:dyDescent="0.2">
      <c r="A3056" s="5">
        <v>2995</v>
      </c>
      <c r="B3056" s="138">
        <f>'Expenditures 15-22'!D10</f>
        <v>10246</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71624</v>
      </c>
      <c r="C3062" s="2" t="s">
        <v>573</v>
      </c>
      <c r="D3062" s="2" t="str">
        <f t="shared" si="46"/>
        <v>Error?</v>
      </c>
    </row>
    <row r="3063" spans="1:4" x14ac:dyDescent="0.2">
      <c r="A3063" s="10">
        <v>3002</v>
      </c>
      <c r="D3063" s="2" t="str">
        <f t="shared" si="46"/>
        <v>OK</v>
      </c>
    </row>
    <row r="3064" spans="1:4" x14ac:dyDescent="0.2">
      <c r="A3064" s="5">
        <v>3003</v>
      </c>
      <c r="B3064" s="138">
        <f>'Expenditures 15-22'!D219</f>
        <v>890</v>
      </c>
      <c r="D3064" s="2" t="str">
        <f t="shared" si="46"/>
        <v>Error?</v>
      </c>
    </row>
    <row r="3065" spans="1:4" x14ac:dyDescent="0.2">
      <c r="A3065" s="5">
        <v>3004</v>
      </c>
      <c r="B3065" s="138">
        <f>'Expenditures 15-22'!K219</f>
        <v>890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16713</v>
      </c>
      <c r="C3225" s="2" t="s">
        <v>573</v>
      </c>
      <c r="D3225" s="2" t="str">
        <f t="shared" si="49"/>
        <v>Error?</v>
      </c>
    </row>
    <row r="3226" spans="1:4" x14ac:dyDescent="0.2">
      <c r="A3226" s="5">
        <v>3165</v>
      </c>
      <c r="B3226" s="138">
        <f>'Acct Summary 7-8'!I8</f>
        <v>16713</v>
      </c>
      <c r="C3226" s="2" t="s">
        <v>573</v>
      </c>
      <c r="D3226" s="2" t="str">
        <f t="shared" si="49"/>
        <v>Error?</v>
      </c>
    </row>
    <row r="3227" spans="1:4" x14ac:dyDescent="0.2">
      <c r="A3227" s="5">
        <v>3166</v>
      </c>
      <c r="B3227" s="138">
        <f>'Acct Summary 7-8'!I20</f>
        <v>16713</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741603</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360000</v>
      </c>
      <c r="C3237" s="2" t="s">
        <v>573</v>
      </c>
      <c r="D3237" s="2" t="str">
        <f t="shared" si="49"/>
        <v>Error?</v>
      </c>
    </row>
    <row r="3238" spans="1:4" x14ac:dyDescent="0.2">
      <c r="A3238" s="5">
        <v>3177</v>
      </c>
      <c r="B3238" s="138">
        <f>'Acct Summary 7-8'!D77</f>
        <v>-360000</v>
      </c>
      <c r="C3238" s="2" t="s">
        <v>573</v>
      </c>
      <c r="D3238" s="2" t="str">
        <f t="shared" si="49"/>
        <v>Error?</v>
      </c>
    </row>
    <row r="3239" spans="1:4" x14ac:dyDescent="0.2">
      <c r="A3239" s="5">
        <v>3178</v>
      </c>
      <c r="B3239" s="138">
        <f>'Acct Summary 7-8'!D78</f>
        <v>41563</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-91193</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32767</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360000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360000</v>
      </c>
      <c r="C3299" s="2" t="s">
        <v>573</v>
      </c>
      <c r="D3299" s="2" t="str">
        <f t="shared" si="50"/>
        <v>Error?</v>
      </c>
    </row>
    <row r="3300" spans="1:4" x14ac:dyDescent="0.2">
      <c r="A3300" s="5">
        <v>3239</v>
      </c>
      <c r="B3300" s="138">
        <f>'Acct Summary 7-8'!H78</f>
        <v>24114</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16713</v>
      </c>
      <c r="C3320" s="2" t="s">
        <v>573</v>
      </c>
      <c r="D3320" s="2" t="str">
        <f t="shared" si="50"/>
        <v>Error?</v>
      </c>
    </row>
    <row r="3321" spans="1:4" x14ac:dyDescent="0.2">
      <c r="A3321" s="5">
        <v>3260</v>
      </c>
      <c r="B3321" s="138">
        <f>'Acct Summary 7-8'!I79</f>
        <v>6374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23087</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140536</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15218</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155754</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48877</v>
      </c>
      <c r="D3387" s="2" t="str">
        <f t="shared" si="51"/>
        <v>Error?</v>
      </c>
    </row>
    <row r="3388" spans="1:4" x14ac:dyDescent="0.2">
      <c r="A3388" s="5">
        <v>3327</v>
      </c>
      <c r="B3388" s="138">
        <f>'Expenditures 15-22'!D217</f>
        <v>2038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48877</v>
      </c>
      <c r="C3390" s="2" t="s">
        <v>573</v>
      </c>
      <c r="D3390" s="2" t="str">
        <f t="shared" si="51"/>
        <v>Error?</v>
      </c>
    </row>
    <row r="3391" spans="1:4" x14ac:dyDescent="0.2">
      <c r="A3391" s="5">
        <v>3330</v>
      </c>
      <c r="B3391" s="138">
        <f>'Expenditures 15-22'!K217</f>
        <v>2038</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8093042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1385937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794618</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187498</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323173</v>
      </c>
      <c r="D3425" s="2" t="str">
        <f t="shared" si="52"/>
        <v>Error?</v>
      </c>
    </row>
    <row r="3426" spans="1:4" x14ac:dyDescent="0.2">
      <c r="A3426" s="10">
        <v>3365</v>
      </c>
      <c r="D3426" s="2" t="str">
        <f t="shared" si="52"/>
        <v>OK</v>
      </c>
    </row>
    <row r="3427" spans="1:4" x14ac:dyDescent="0.2">
      <c r="A3427" s="5">
        <v>3366</v>
      </c>
      <c r="B3427" s="138">
        <f>'Assets-Liab 5-6'!I4</f>
        <v>23087</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25208</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49378</v>
      </c>
      <c r="C3446" s="2" t="s">
        <v>573</v>
      </c>
      <c r="D3446" s="2" t="str">
        <f t="shared" si="52"/>
        <v>Error?</v>
      </c>
    </row>
    <row r="3447" spans="1:4" x14ac:dyDescent="0.2">
      <c r="A3447" s="5">
        <v>3386</v>
      </c>
      <c r="B3447" s="138">
        <f>'Tax Sched 23'!D16</f>
        <v>22047</v>
      </c>
      <c r="C3447" s="2" t="s">
        <v>573</v>
      </c>
      <c r="D3447" s="2" t="str">
        <f t="shared" si="52"/>
        <v>Error?</v>
      </c>
    </row>
    <row r="3448" spans="1:4" x14ac:dyDescent="0.2">
      <c r="A3448" s="5">
        <v>3387</v>
      </c>
      <c r="B3448" s="138">
        <f>'Tax Sched 23'!C16</f>
        <v>27331</v>
      </c>
      <c r="D3448" s="2" t="str">
        <f t="shared" si="52"/>
        <v>Error?</v>
      </c>
    </row>
    <row r="3449" spans="1:4" x14ac:dyDescent="0.2">
      <c r="A3449" s="5">
        <v>3388</v>
      </c>
      <c r="B3449" s="138">
        <f>'Tax Sched 23'!F16</f>
        <v>23928</v>
      </c>
      <c r="C3449" s="2" t="s">
        <v>573</v>
      </c>
      <c r="D3449" s="2" t="str">
        <f t="shared" si="52"/>
        <v>Error?</v>
      </c>
    </row>
    <row r="3450" spans="1:4" x14ac:dyDescent="0.2">
      <c r="A3450" s="5">
        <v>3389</v>
      </c>
      <c r="B3450" s="138">
        <f>'Tax Sched 23'!E16</f>
        <v>51259</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28154</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1351995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5204489</v>
      </c>
      <c r="C4122" s="2" t="s">
        <v>573</v>
      </c>
      <c r="D4122" s="2" t="str">
        <f t="shared" si="63"/>
        <v>Error?</v>
      </c>
    </row>
    <row r="4123" spans="1:4" x14ac:dyDescent="0.2">
      <c r="A4123" s="5">
        <v>4062</v>
      </c>
      <c r="B4123" s="138">
        <f>'Acct Summary 7-8'!D10</f>
        <v>597632</v>
      </c>
      <c r="C4123" s="2" t="s">
        <v>573</v>
      </c>
      <c r="D4123" s="2" t="str">
        <f t="shared" si="63"/>
        <v>Error?</v>
      </c>
    </row>
    <row r="4124" spans="1:4" x14ac:dyDescent="0.2">
      <c r="A4124" s="5">
        <v>4063</v>
      </c>
      <c r="B4124" s="138">
        <f>'Acct Summary 7-8'!E10</f>
        <v>0</v>
      </c>
      <c r="C4124" s="2" t="s">
        <v>573</v>
      </c>
      <c r="D4124" s="2" t="str">
        <f t="shared" si="63"/>
        <v>Error?</v>
      </c>
    </row>
    <row r="4125" spans="1:4" x14ac:dyDescent="0.2">
      <c r="A4125" s="5">
        <v>4064</v>
      </c>
      <c r="B4125" s="138">
        <f>'Acct Summary 7-8'!F10</f>
        <v>194771</v>
      </c>
      <c r="C4125" s="2" t="s">
        <v>573</v>
      </c>
      <c r="D4125" s="2" t="str">
        <f t="shared" si="63"/>
        <v>Error?</v>
      </c>
    </row>
    <row r="4126" spans="1:4" x14ac:dyDescent="0.2">
      <c r="A4126" s="5">
        <v>4065</v>
      </c>
      <c r="B4126" s="138">
        <f>'Acct Summary 7-8'!G10</f>
        <v>153338</v>
      </c>
      <c r="C4126" s="2" t="s">
        <v>573</v>
      </c>
      <c r="D4126" s="2" t="str">
        <f t="shared" si="63"/>
        <v>Error?</v>
      </c>
    </row>
    <row r="4127" spans="1:4" x14ac:dyDescent="0.2">
      <c r="A4127" s="5">
        <v>4066</v>
      </c>
      <c r="B4127" s="138">
        <f>'Acct Summary 7-8'!H10</f>
        <v>3323</v>
      </c>
      <c r="C4127" s="2" t="s">
        <v>573</v>
      </c>
      <c r="D4127" s="2" t="str">
        <f t="shared" si="63"/>
        <v>Error?</v>
      </c>
    </row>
    <row r="4128" spans="1:4" x14ac:dyDescent="0.2">
      <c r="A4128" s="5">
        <v>4067</v>
      </c>
      <c r="B4128" s="138">
        <f>'Acct Summary 7-8'!I10</f>
        <v>16713</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1351995</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4462886</v>
      </c>
      <c r="C4136" s="2" t="s">
        <v>573</v>
      </c>
      <c r="D4136" s="2" t="str">
        <f t="shared" si="63"/>
        <v>Error?</v>
      </c>
    </row>
    <row r="4137" spans="1:4" x14ac:dyDescent="0.2">
      <c r="A4137" s="5">
        <v>4076</v>
      </c>
      <c r="B4137" s="138">
        <f>'Acct Summary 7-8'!D19</f>
        <v>196069</v>
      </c>
      <c r="C4137" s="2" t="s">
        <v>573</v>
      </c>
      <c r="D4137" s="2" t="str">
        <f t="shared" si="63"/>
        <v>Error?</v>
      </c>
    </row>
    <row r="4138" spans="1:4" x14ac:dyDescent="0.2">
      <c r="A4138" s="5">
        <v>4077</v>
      </c>
      <c r="B4138" s="138">
        <f>'Acct Summary 7-8'!E19</f>
        <v>0</v>
      </c>
      <c r="C4138" s="2" t="s">
        <v>573</v>
      </c>
      <c r="D4138" s="2" t="str">
        <f t="shared" si="63"/>
        <v>Error?</v>
      </c>
    </row>
    <row r="4139" spans="1:4" x14ac:dyDescent="0.2">
      <c r="A4139" s="5">
        <v>4078</v>
      </c>
      <c r="B4139" s="138">
        <f>'Acct Summary 7-8'!F19</f>
        <v>285964</v>
      </c>
      <c r="C4139" s="2" t="s">
        <v>573</v>
      </c>
      <c r="D4139" s="2" t="str">
        <f t="shared" si="63"/>
        <v>Error?</v>
      </c>
    </row>
    <row r="4140" spans="1:4" x14ac:dyDescent="0.2">
      <c r="A4140" s="5">
        <v>4079</v>
      </c>
      <c r="B4140" s="138">
        <f>'Acct Summary 7-8'!G19</f>
        <v>120571</v>
      </c>
      <c r="C4140" s="2" t="s">
        <v>573</v>
      </c>
      <c r="D4140" s="2" t="str">
        <f t="shared" si="63"/>
        <v>Error?</v>
      </c>
    </row>
    <row r="4141" spans="1:4" x14ac:dyDescent="0.2">
      <c r="A4141" s="5">
        <v>4080</v>
      </c>
      <c r="B4141" s="138">
        <f>'Acct Summary 7-8'!H19</f>
        <v>339209</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1940</v>
      </c>
    </row>
    <row r="4236" spans="1:5" x14ac:dyDescent="0.2">
      <c r="A4236" s="10">
        <v>4175</v>
      </c>
      <c r="D4236" s="2" t="str">
        <f t="shared" si="65"/>
        <v>OK</v>
      </c>
      <c r="E4236" s="4" t="s">
        <v>1940</v>
      </c>
    </row>
    <row r="4237" spans="1:5" x14ac:dyDescent="0.2">
      <c r="A4237" s="10">
        <v>4176</v>
      </c>
      <c r="D4237" s="2" t="str">
        <f t="shared" si="65"/>
        <v>OK</v>
      </c>
      <c r="E4237" s="4" t="s">
        <v>1940</v>
      </c>
    </row>
    <row r="4238" spans="1:5" x14ac:dyDescent="0.2">
      <c r="A4238" s="10">
        <v>4177</v>
      </c>
      <c r="D4238" s="2" t="str">
        <f t="shared" si="65"/>
        <v>OK</v>
      </c>
      <c r="E4238" s="4" t="s">
        <v>1940</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2728.6</v>
      </c>
      <c r="C4265" s="2" t="s">
        <v>573</v>
      </c>
      <c r="D4265" s="2" t="str">
        <f t="shared" si="65"/>
        <v>Error?</v>
      </c>
      <c r="E4265" s="128"/>
    </row>
    <row r="4266" spans="1:5" x14ac:dyDescent="0.2">
      <c r="A4266" s="12">
        <v>4205</v>
      </c>
      <c r="B4266" s="138">
        <f>('FP Info 3'!F10)*100000</f>
        <v>542.19999999999993</v>
      </c>
      <c r="C4266" s="2" t="s">
        <v>573</v>
      </c>
      <c r="D4266" s="2" t="str">
        <f t="shared" si="65"/>
        <v>Error?</v>
      </c>
      <c r="E4266" s="128"/>
    </row>
    <row r="4267" spans="1:5" x14ac:dyDescent="0.2">
      <c r="A4267" s="12">
        <v>4206</v>
      </c>
      <c r="B4267" s="138">
        <f>('FP Info 3'!H10)*100000</f>
        <v>6.9999999999999991</v>
      </c>
      <c r="C4267" s="2" t="s">
        <v>573</v>
      </c>
      <c r="D4267" s="2" t="str">
        <f t="shared" si="65"/>
        <v>Error?</v>
      </c>
      <c r="E4267" s="128"/>
    </row>
    <row r="4268" spans="1:5" x14ac:dyDescent="0.2">
      <c r="A4268" s="12">
        <v>4207</v>
      </c>
      <c r="B4268" s="138">
        <f>('FP Info 3'!J10)*100000</f>
        <v>3277.9999999999995</v>
      </c>
      <c r="C4268" s="2" t="s">
        <v>573</v>
      </c>
      <c r="D4268" s="2" t="str">
        <f t="shared" si="65"/>
        <v>Error?</v>
      </c>
    </row>
    <row r="4269" spans="1:5" x14ac:dyDescent="0.2">
      <c r="A4269" s="12">
        <v>4208</v>
      </c>
      <c r="B4269" s="138">
        <f>'FP Info 3'!J16</f>
        <v>10296714</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4993</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9694</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1940</v>
      </c>
    </row>
    <row r="4400" spans="1:5" x14ac:dyDescent="0.2">
      <c r="A4400" s="10">
        <v>4339</v>
      </c>
      <c r="D4400" s="2" t="str">
        <f t="shared" si="67"/>
        <v>OK</v>
      </c>
      <c r="E4400" s="4" t="s">
        <v>1940</v>
      </c>
    </row>
    <row r="4401" spans="1:5" x14ac:dyDescent="0.2">
      <c r="A4401" s="10">
        <v>4340</v>
      </c>
      <c r="D4401" s="2" t="str">
        <f t="shared" si="67"/>
        <v>OK</v>
      </c>
      <c r="E4401" s="4" t="s">
        <v>1940</v>
      </c>
    </row>
    <row r="4402" spans="1:5" x14ac:dyDescent="0.2">
      <c r="A4402" s="10">
        <v>4341</v>
      </c>
      <c r="D4402" s="2" t="str">
        <f t="shared" si="67"/>
        <v>OK</v>
      </c>
      <c r="E4402" s="4" t="s">
        <v>1940</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10000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9430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19.2</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31457</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113157169</v>
      </c>
      <c r="D4995" s="2" t="str">
        <f t="shared" si="77"/>
        <v>Error?</v>
      </c>
    </row>
    <row r="4996" spans="1:4" x14ac:dyDescent="0.2">
      <c r="A4996" s="12">
        <v>4935</v>
      </c>
      <c r="B4996" s="138">
        <f>'FP Info 3'!H31</f>
        <v>7807844.6610000003</v>
      </c>
      <c r="D4996" s="2" t="str">
        <f t="shared" si="77"/>
        <v>Error?</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3057207</v>
      </c>
      <c r="D5061" s="2" t="str">
        <f t="shared" si="78"/>
        <v>Error?</v>
      </c>
    </row>
    <row r="5062" spans="1:4" x14ac:dyDescent="0.2">
      <c r="A5062" s="10">
        <v>5001</v>
      </c>
      <c r="D5062" s="2" t="str">
        <f t="shared" si="78"/>
        <v>OK</v>
      </c>
    </row>
    <row r="5063" spans="1:4" x14ac:dyDescent="0.2">
      <c r="A5063" s="5">
        <v>5002</v>
      </c>
      <c r="B5063" s="138">
        <f>'Revenues 9-14'!C7</f>
        <v>150679</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3207886</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29846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29846</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845</v>
      </c>
      <c r="D5094" s="2" t="str">
        <f t="shared" si="78"/>
        <v>Error?</v>
      </c>
    </row>
    <row r="5095" spans="1:4" x14ac:dyDescent="0.2">
      <c r="A5095" s="5">
        <v>5034</v>
      </c>
      <c r="B5095" s="138">
        <f>'Revenues 9-14'!C74</f>
        <v>0</v>
      </c>
      <c r="D5095" s="2" t="str">
        <f t="shared" si="78"/>
        <v>Error?</v>
      </c>
    </row>
    <row r="5096" spans="1:4" x14ac:dyDescent="0.2">
      <c r="A5096" s="5">
        <v>5035</v>
      </c>
      <c r="B5096" s="138">
        <f>'Revenues 9-14'!C75</f>
        <v>47171</v>
      </c>
      <c r="C5096" s="2" t="s">
        <v>573</v>
      </c>
      <c r="D5096" s="2" t="str">
        <f t="shared" si="78"/>
        <v>Error?</v>
      </c>
    </row>
    <row r="5097" spans="1:4" x14ac:dyDescent="0.2">
      <c r="A5097" s="5">
        <v>5036</v>
      </c>
      <c r="B5097" s="138">
        <f>'Revenues 9-14'!C77</f>
        <v>1590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12601</v>
      </c>
      <c r="D5099" s="2" t="str">
        <f t="shared" si="78"/>
        <v>Error?</v>
      </c>
    </row>
    <row r="5100" spans="1:4" x14ac:dyDescent="0.2">
      <c r="A5100" s="5">
        <v>5039</v>
      </c>
      <c r="B5100" s="138">
        <f>'Revenues 9-14'!C80</f>
        <v>0</v>
      </c>
      <c r="D5100" s="2" t="str">
        <f t="shared" si="78"/>
        <v>Error?</v>
      </c>
    </row>
    <row r="5101" spans="1:4" x14ac:dyDescent="0.2">
      <c r="A5101" s="5">
        <v>5040</v>
      </c>
      <c r="B5101" s="138">
        <f>'Revenues 9-14'!C81</f>
        <v>4352</v>
      </c>
      <c r="D5101" s="2" t="str">
        <f t="shared" si="78"/>
        <v>Error?</v>
      </c>
    </row>
    <row r="5102" spans="1:4" x14ac:dyDescent="0.2">
      <c r="A5102" s="5">
        <v>5041</v>
      </c>
      <c r="B5102" s="138">
        <f>'Revenues 9-14'!C82</f>
        <v>18543</v>
      </c>
      <c r="C5102" s="2" t="s">
        <v>573</v>
      </c>
      <c r="D5102" s="2" t="str">
        <f t="shared" si="78"/>
        <v>Error?</v>
      </c>
    </row>
    <row r="5103" spans="1:4" x14ac:dyDescent="0.2">
      <c r="A5103" s="5">
        <v>5042</v>
      </c>
      <c r="B5103" s="138">
        <f>'Revenues 9-14'!C84</f>
        <v>21574</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21574</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7278</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49599</v>
      </c>
      <c r="D5118" s="2" t="str">
        <f t="shared" si="78"/>
        <v>Error?</v>
      </c>
    </row>
    <row r="5119" spans="1:4" x14ac:dyDescent="0.2">
      <c r="A5119" s="5">
        <v>5058</v>
      </c>
      <c r="B5119" s="138">
        <f>'Revenues 9-14'!C107</f>
        <v>3851</v>
      </c>
      <c r="D5119" s="2" t="str">
        <f t="shared" ref="D5119:D5182" si="79">IF(ISBLANK(B5119),"OK",IF(A5119-B5119=0,"OK","Error?"))</f>
        <v>Error?</v>
      </c>
    </row>
    <row r="5120" spans="1:4" x14ac:dyDescent="0.2">
      <c r="A5120" s="5">
        <v>5059</v>
      </c>
      <c r="B5120" s="138">
        <f>'Revenues 9-14'!C108</f>
        <v>60728</v>
      </c>
      <c r="C5120" s="2" t="s">
        <v>573</v>
      </c>
      <c r="D5120" s="2" t="str">
        <f t="shared" si="79"/>
        <v>Error?</v>
      </c>
    </row>
    <row r="5121" spans="1:4" x14ac:dyDescent="0.2">
      <c r="A5121" s="5">
        <v>5060</v>
      </c>
      <c r="B5121" s="138">
        <f>'Revenues 9-14'!C109</f>
        <v>3385748</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231180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231180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22133</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22133</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524</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1940</v>
      </c>
    </row>
    <row r="5200" spans="1:5" x14ac:dyDescent="0.2">
      <c r="A5200" s="10">
        <v>5139</v>
      </c>
      <c r="D5200" s="2" t="str">
        <f t="shared" si="80"/>
        <v>OK</v>
      </c>
      <c r="E5200" s="4" t="s">
        <v>1940</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22657</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253837</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31457</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35133</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35133</v>
      </c>
      <c r="C5246" s="2" t="s">
        <v>573</v>
      </c>
      <c r="D5246" s="2" t="str">
        <f t="shared" si="80"/>
        <v>Error?</v>
      </c>
    </row>
    <row r="5247" spans="1:4" x14ac:dyDescent="0.2">
      <c r="A5247" s="5">
        <v>5186</v>
      </c>
      <c r="B5247" s="138">
        <f>'Revenues 9-14'!C200</f>
        <v>57940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1940</v>
      </c>
    </row>
    <row r="5255" spans="1:5" x14ac:dyDescent="0.2">
      <c r="A5255" s="5">
        <v>5194</v>
      </c>
      <c r="B5255" s="138">
        <f>'Revenues 9-14'!C202</f>
        <v>0</v>
      </c>
      <c r="D5255" s="2" t="str">
        <f t="shared" si="81"/>
        <v>Error?</v>
      </c>
    </row>
    <row r="5256" spans="1:5" x14ac:dyDescent="0.2">
      <c r="A5256" s="5">
        <v>5195</v>
      </c>
      <c r="B5256" s="138">
        <f>'Revenues 9-14'!C206</f>
        <v>10000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57940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54262</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54262</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1940</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181452</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212909</v>
      </c>
      <c r="C5326" s="2" t="s">
        <v>573</v>
      </c>
      <c r="D5326" s="2" t="str">
        <f t="shared" si="82"/>
        <v>Error?</v>
      </c>
    </row>
    <row r="5327" spans="1:5" x14ac:dyDescent="0.2">
      <c r="A5327" s="5">
        <v>5266</v>
      </c>
      <c r="B5327" s="138">
        <f>'Revenues 9-14'!C268</f>
        <v>3852494</v>
      </c>
      <c r="C5327" s="2" t="s">
        <v>573</v>
      </c>
      <c r="D5327" s="2" t="str">
        <f t="shared" si="82"/>
        <v>Error?</v>
      </c>
    </row>
    <row r="5328" spans="1:5" x14ac:dyDescent="0.2">
      <c r="A5328" s="5">
        <v>5267</v>
      </c>
      <c r="B5328" s="138">
        <f>'Revenues 9-14'!D5</f>
        <v>592102</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592102</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5530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5530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597632</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1940</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597632</v>
      </c>
      <c r="C5508" s="2" t="s">
        <v>573</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573</v>
      </c>
      <c r="D5552" s="2" t="str">
        <f t="shared" si="85"/>
        <v>Error?</v>
      </c>
    </row>
    <row r="5553" spans="1:4" x14ac:dyDescent="0.2">
      <c r="A5553" s="5">
        <v>5492</v>
      </c>
      <c r="B5553" s="138">
        <f>'Revenues 9-14'!F5</f>
        <v>7291</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7291</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24166</v>
      </c>
      <c r="D5560" s="2" t="str">
        <f t="shared" si="85"/>
        <v>Error?</v>
      </c>
    </row>
    <row r="5561" spans="1:4" x14ac:dyDescent="0.2">
      <c r="A5561" s="5">
        <v>5500</v>
      </c>
      <c r="B5561" s="138">
        <f>'Revenues 9-14'!F17</f>
        <v>0</v>
      </c>
      <c r="D5561" s="2" t="str">
        <f t="shared" si="85"/>
        <v>Error?</v>
      </c>
    </row>
    <row r="5562" spans="1:4" x14ac:dyDescent="0.2">
      <c r="A5562" s="5">
        <v>5501</v>
      </c>
      <c r="B5562" s="138">
        <f>'Revenues 9-14'!F18</f>
        <v>24166</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64</v>
      </c>
      <c r="D5580" s="2" t="str">
        <f t="shared" si="86"/>
        <v>Error?</v>
      </c>
    </row>
    <row r="5581" spans="1:4" x14ac:dyDescent="0.2">
      <c r="A5581" s="5">
        <v>5520</v>
      </c>
      <c r="B5581" s="138">
        <f>'Revenues 9-14'!F66</f>
        <v>0</v>
      </c>
      <c r="D5581" s="2" t="str">
        <f t="shared" si="86"/>
        <v>Error?</v>
      </c>
    </row>
    <row r="5582" spans="1:4" x14ac:dyDescent="0.2">
      <c r="A5582" s="5">
        <v>5521</v>
      </c>
      <c r="B5582" s="138">
        <f>'Revenues 9-14'!F67</f>
        <v>64</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545</v>
      </c>
      <c r="D5586" s="2" t="str">
        <f t="shared" si="86"/>
        <v>Error?</v>
      </c>
    </row>
    <row r="5587" spans="1:4" x14ac:dyDescent="0.2">
      <c r="A5587" s="5">
        <v>5526</v>
      </c>
      <c r="B5587" s="138">
        <f>'Revenues 9-14'!F108</f>
        <v>545</v>
      </c>
      <c r="C5587" s="2" t="s">
        <v>573</v>
      </c>
      <c r="D5587" s="2" t="str">
        <f t="shared" si="86"/>
        <v>Error?</v>
      </c>
    </row>
    <row r="5588" spans="1:4" x14ac:dyDescent="0.2">
      <c r="A5588" s="5">
        <v>5527</v>
      </c>
      <c r="B5588" s="138">
        <f>'Revenues 9-14'!F109</f>
        <v>32066</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136197</v>
      </c>
      <c r="D5615" s="2" t="str">
        <f t="shared" si="86"/>
        <v>Error?</v>
      </c>
    </row>
    <row r="5616" spans="1:4" x14ac:dyDescent="0.2">
      <c r="A5616" s="10">
        <v>5555</v>
      </c>
      <c r="D5616" s="2" t="str">
        <f t="shared" si="86"/>
        <v>OK</v>
      </c>
    </row>
    <row r="5617" spans="1:5" x14ac:dyDescent="0.2">
      <c r="A5617" s="5">
        <v>5556</v>
      </c>
      <c r="B5617" s="138">
        <f>'Revenues 9-14'!F153</f>
        <v>26508</v>
      </c>
      <c r="D5617" s="2" t="str">
        <f t="shared" si="86"/>
        <v>Error?</v>
      </c>
    </row>
    <row r="5618" spans="1:5" x14ac:dyDescent="0.2">
      <c r="A5618" s="5">
        <v>5557</v>
      </c>
      <c r="B5618" s="138">
        <f>'Revenues 9-14'!F155</f>
        <v>162705</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1940</v>
      </c>
    </row>
    <row r="5631" spans="1:5" x14ac:dyDescent="0.2">
      <c r="A5631" s="10">
        <v>5570</v>
      </c>
      <c r="D5631" s="2" t="str">
        <f t="shared" ref="D5631:D5694" si="87">IF(ISBLANK(B5631),"OK",IF(A5631-B5631=0,"OK","Error?"))</f>
        <v>OK</v>
      </c>
      <c r="E5631" s="4" t="s">
        <v>1940</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162705</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162705</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1940</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1940</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194771</v>
      </c>
      <c r="C5720" s="2" t="s">
        <v>573</v>
      </c>
      <c r="D5720" s="2" t="str">
        <f t="shared" si="88"/>
        <v>Error?</v>
      </c>
    </row>
    <row r="5721" spans="1:4" x14ac:dyDescent="0.2">
      <c r="A5721" s="5">
        <v>5660</v>
      </c>
      <c r="B5721" s="138">
        <f>'Revenues 9-14'!G5</f>
        <v>98228</v>
      </c>
      <c r="D5721" s="2" t="str">
        <f t="shared" si="88"/>
        <v>Error?</v>
      </c>
    </row>
    <row r="5722" spans="1:4" x14ac:dyDescent="0.2">
      <c r="A5722" s="5">
        <v>5661</v>
      </c>
      <c r="B5722" s="138">
        <f>'Revenues 9-14'!G7</f>
        <v>0</v>
      </c>
      <c r="D5722" s="2" t="str">
        <f t="shared" si="88"/>
        <v>Error?</v>
      </c>
    </row>
    <row r="5723" spans="1:4" x14ac:dyDescent="0.2">
      <c r="A5723" s="5">
        <v>5662</v>
      </c>
      <c r="B5723" s="138">
        <f>'Revenues 9-14'!G8</f>
        <v>49378</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147606</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4350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4350</v>
      </c>
      <c r="C5730" s="2" t="s">
        <v>573</v>
      </c>
      <c r="D5730" s="2" t="str">
        <f t="shared" si="88"/>
        <v>Error?</v>
      </c>
    </row>
    <row r="5731" spans="1:4" x14ac:dyDescent="0.2">
      <c r="A5731" s="5">
        <v>5670</v>
      </c>
      <c r="B5731" s="138">
        <f>'Revenues 9-14'!G65</f>
        <v>1382</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1382</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1940</v>
      </c>
    </row>
    <row r="5768" spans="1:5" x14ac:dyDescent="0.2">
      <c r="A5768" s="10">
        <v>5707</v>
      </c>
      <c r="D5768" s="2" t="str">
        <f t="shared" si="89"/>
        <v>OK</v>
      </c>
      <c r="E5768" s="4" t="s">
        <v>1940</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1940</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1940</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153338</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3323</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3323</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3323</v>
      </c>
      <c r="C5915" s="2" t="s">
        <v>573</v>
      </c>
      <c r="D5915" s="2" t="str">
        <f t="shared" si="91"/>
        <v>Error?</v>
      </c>
    </row>
    <row r="5916" spans="1:4" x14ac:dyDescent="0.2">
      <c r="A5916" s="5">
        <v>5855</v>
      </c>
      <c r="B5916" s="138">
        <f>'Revenues 9-14'!I5</f>
        <v>16607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16607</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106</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106</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16713</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153338</v>
      </c>
      <c r="C6024" s="2" t="s">
        <v>573</v>
      </c>
      <c r="D6024" s="2" t="str">
        <f t="shared" si="93"/>
        <v>Error?</v>
      </c>
    </row>
    <row r="6025" spans="1:5" x14ac:dyDescent="0.2">
      <c r="A6025" s="5">
        <v>5964</v>
      </c>
      <c r="B6025" s="138">
        <f>'Revenues 9-14'!H109</f>
        <v>3323</v>
      </c>
      <c r="C6025" s="2" t="s">
        <v>573</v>
      </c>
      <c r="D6025" s="2" t="str">
        <f t="shared" si="93"/>
        <v>Error?</v>
      </c>
    </row>
    <row r="6026" spans="1:5" x14ac:dyDescent="0.2">
      <c r="A6026" s="5">
        <v>5965</v>
      </c>
      <c r="B6026" s="138">
        <f>'Revenues 9-14'!I109</f>
        <v>16713</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46326</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9281</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281.89999999999998</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129482</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129482</v>
      </c>
      <c r="D6215" s="2" t="str">
        <f t="shared" si="96"/>
        <v>Error?</v>
      </c>
      <c r="E6215" s="2" t="s">
        <v>190</v>
      </c>
    </row>
    <row r="6216" spans="1:5" x14ac:dyDescent="0.2">
      <c r="A6216">
        <v>6155</v>
      </c>
      <c r="B6216" s="138">
        <f>'Assets-Liab 5-6'!J41</f>
        <v>129482</v>
      </c>
      <c r="D6216" s="2" t="str">
        <f t="shared" si="96"/>
        <v>Error?</v>
      </c>
      <c r="E6216" s="2" t="s">
        <v>190</v>
      </c>
    </row>
    <row r="6217" spans="1:5" x14ac:dyDescent="0.2">
      <c r="A6217">
        <v>6156</v>
      </c>
      <c r="B6217" s="138">
        <f>'Assets-Liab 5-6'!J4</f>
        <v>129482</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49132</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49132</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49132</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47338</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47338</v>
      </c>
      <c r="D6229" s="2" t="str">
        <f t="shared" si="96"/>
        <v>Error?</v>
      </c>
      <c r="E6229" s="2" t="s">
        <v>190</v>
      </c>
    </row>
    <row r="6230" spans="1:5" x14ac:dyDescent="0.2">
      <c r="A6230">
        <v>6169</v>
      </c>
      <c r="B6230" s="138">
        <f>'Acct Summary 7-8'!J20</f>
        <v>1794</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1794</v>
      </c>
      <c r="D6263" s="2" t="str">
        <f t="shared" si="96"/>
        <v>Error?</v>
      </c>
      <c r="E6263" s="2" t="s">
        <v>190</v>
      </c>
    </row>
    <row r="6264" spans="1:5" x14ac:dyDescent="0.2">
      <c r="A6264">
        <v>6203</v>
      </c>
      <c r="B6264" s="138">
        <f>'Acct Summary 7-8'!J79</f>
        <v>127688</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129482</v>
      </c>
      <c r="D6266" s="2" t="str">
        <f t="shared" si="96"/>
        <v>Error?</v>
      </c>
      <c r="E6266" s="2" t="s">
        <v>190</v>
      </c>
    </row>
    <row r="6267" spans="1:5" x14ac:dyDescent="0.2">
      <c r="A6267">
        <v>6206</v>
      </c>
      <c r="B6267" s="138">
        <f>'Acct Summary 7-8'!C82</f>
        <v>741603</v>
      </c>
      <c r="D6267" s="2" t="str">
        <f t="shared" si="96"/>
        <v>Error?</v>
      </c>
      <c r="E6267" s="2" t="s">
        <v>190</v>
      </c>
    </row>
    <row r="6268" spans="1:5" x14ac:dyDescent="0.2">
      <c r="A6268">
        <v>6207</v>
      </c>
      <c r="B6268" s="138">
        <f>'Acct Summary 7-8'!D82</f>
        <v>41563</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-91193</v>
      </c>
      <c r="D6270" s="2" t="str">
        <f t="shared" si="96"/>
        <v>Error?</v>
      </c>
      <c r="E6270" s="2" t="s">
        <v>190</v>
      </c>
    </row>
    <row r="6271" spans="1:5" x14ac:dyDescent="0.2">
      <c r="A6271">
        <v>6210</v>
      </c>
      <c r="B6271" s="138">
        <f>'Acct Summary 7-8'!G82</f>
        <v>32767</v>
      </c>
      <c r="D6271" s="2" t="str">
        <f t="shared" ref="D6271:D6334" si="97">IF(ISBLANK(B6271),"OK",IF(A6271-B6271=0,"OK","Error?"))</f>
        <v>Error?</v>
      </c>
      <c r="E6271" s="2" t="s">
        <v>190</v>
      </c>
    </row>
    <row r="6272" spans="1:5" x14ac:dyDescent="0.2">
      <c r="A6272">
        <v>6211</v>
      </c>
      <c r="B6272" s="138">
        <f>'Acct Summary 7-8'!H82</f>
        <v>24114</v>
      </c>
      <c r="D6272" s="2" t="str">
        <f t="shared" si="97"/>
        <v>Error?</v>
      </c>
      <c r="E6272" s="2" t="s">
        <v>190</v>
      </c>
    </row>
    <row r="6273" spans="1:5" x14ac:dyDescent="0.2">
      <c r="A6273">
        <v>6212</v>
      </c>
      <c r="B6273" s="138">
        <f>'Acct Summary 7-8'!I82</f>
        <v>16713</v>
      </c>
      <c r="D6273" s="2" t="str">
        <f t="shared" si="97"/>
        <v>Error?</v>
      </c>
      <c r="E6273" s="2" t="s">
        <v>190</v>
      </c>
    </row>
    <row r="6274" spans="1:5" x14ac:dyDescent="0.2">
      <c r="A6274">
        <v>6213</v>
      </c>
      <c r="B6274" s="138">
        <f>'Acct Summary 7-8'!J82</f>
        <v>1794</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9.1634301535930981E-2</v>
      </c>
      <c r="D6276" s="2" t="str">
        <f t="shared" si="97"/>
        <v>Error?</v>
      </c>
      <c r="E6276" s="2" t="s">
        <v>190</v>
      </c>
    </row>
    <row r="6277" spans="1:5" x14ac:dyDescent="0.2">
      <c r="A6277">
        <v>6216</v>
      </c>
      <c r="B6277" s="138">
        <f>'Acct Summary 7-8'!D83</f>
        <v>2.9989097628535785E-2</v>
      </c>
      <c r="D6277" s="2" t="str">
        <f t="shared" si="97"/>
        <v>Error?</v>
      </c>
      <c r="E6277" s="2" t="s">
        <v>190</v>
      </c>
    </row>
    <row r="6278" spans="1:5" x14ac:dyDescent="0.2">
      <c r="A6278">
        <v>6217</v>
      </c>
      <c r="B6278" s="138" t="e">
        <f>'Acct Summary 7-8'!E83</f>
        <v>#DIV/0!</v>
      </c>
      <c r="D6278" s="2" t="e">
        <f t="shared" si="97"/>
        <v>#DIV/0!</v>
      </c>
      <c r="E6278" s="2" t="s">
        <v>190</v>
      </c>
    </row>
    <row r="6279" spans="1:5" x14ac:dyDescent="0.2">
      <c r="A6279">
        <v>6218</v>
      </c>
      <c r="B6279" s="138">
        <f>'Acct Summary 7-8'!F83</f>
        <v>-0.1147633202368937</v>
      </c>
      <c r="D6279" s="2" t="str">
        <f t="shared" si="97"/>
        <v>Error?</v>
      </c>
      <c r="E6279" s="2" t="s">
        <v>190</v>
      </c>
    </row>
    <row r="6280" spans="1:5" x14ac:dyDescent="0.2">
      <c r="A6280">
        <v>6219</v>
      </c>
      <c r="B6280" s="138">
        <f>'Acct Summary 7-8'!G83</f>
        <v>0.17475919743143928</v>
      </c>
      <c r="D6280" s="2" t="str">
        <f t="shared" si="97"/>
        <v>Error?</v>
      </c>
      <c r="E6280" s="2" t="s">
        <v>190</v>
      </c>
    </row>
    <row r="6281" spans="1:5" x14ac:dyDescent="0.2">
      <c r="A6281">
        <v>6220</v>
      </c>
      <c r="B6281" s="138">
        <f>'Acct Summary 7-8'!H83</f>
        <v>7.4616381937847531E-2</v>
      </c>
      <c r="D6281" s="2" t="str">
        <f t="shared" si="97"/>
        <v>Error?</v>
      </c>
      <c r="E6281" s="2" t="s">
        <v>190</v>
      </c>
    </row>
    <row r="6282" spans="1:5" x14ac:dyDescent="0.2">
      <c r="A6282">
        <v>6221</v>
      </c>
      <c r="B6282" s="138">
        <f>'Acct Summary 7-8'!I83</f>
        <v>0.72391389093429204</v>
      </c>
      <c r="D6282" s="2" t="str">
        <f t="shared" si="97"/>
        <v>Error?</v>
      </c>
      <c r="E6282" s="2" t="s">
        <v>190</v>
      </c>
    </row>
    <row r="6283" spans="1:5" x14ac:dyDescent="0.2">
      <c r="A6283">
        <v>6222</v>
      </c>
      <c r="B6283" s="138">
        <f>'Acct Summary 7-8'!J83</f>
        <v>1.3855207673653482E-2</v>
      </c>
      <c r="D6283" s="2" t="str">
        <f t="shared" si="97"/>
        <v>Error?</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360000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45699</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45699</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459</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459</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2974</v>
      </c>
      <c r="D6350" s="2" t="str">
        <f t="shared" si="98"/>
        <v>Error?</v>
      </c>
      <c r="E6350" s="2" t="s">
        <v>190</v>
      </c>
    </row>
    <row r="6351" spans="1:5" x14ac:dyDescent="0.2">
      <c r="A6351">
        <v>6290</v>
      </c>
      <c r="B6351" s="138">
        <f>'Revenues 9-14'!J108</f>
        <v>2974</v>
      </c>
      <c r="D6351" s="2" t="str">
        <f t="shared" si="98"/>
        <v>Error?</v>
      </c>
      <c r="E6351" s="2" t="s">
        <v>190</v>
      </c>
    </row>
    <row r="6352" spans="1:5" x14ac:dyDescent="0.2">
      <c r="A6352">
        <v>6291</v>
      </c>
      <c r="B6352" s="138">
        <f>'Revenues 9-14'!J109</f>
        <v>49132</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1939</v>
      </c>
    </row>
    <row r="6383" spans="1:6" x14ac:dyDescent="0.2">
      <c r="A6383" s="129">
        <v>6322</v>
      </c>
      <c r="D6383" s="2" t="str">
        <f t="shared" si="98"/>
        <v>OK</v>
      </c>
      <c r="E6383" s="2" t="s">
        <v>190</v>
      </c>
      <c r="F6383" s="1" t="s">
        <v>1939</v>
      </c>
    </row>
    <row r="6384" spans="1:6" x14ac:dyDescent="0.2">
      <c r="A6384" s="129">
        <v>6323</v>
      </c>
      <c r="D6384" s="2" t="str">
        <f t="shared" si="98"/>
        <v>OK</v>
      </c>
      <c r="E6384" s="2" t="s">
        <v>190</v>
      </c>
      <c r="F6384" s="1" t="s">
        <v>1939</v>
      </c>
    </row>
    <row r="6385" spans="1:6" x14ac:dyDescent="0.2">
      <c r="A6385" s="129">
        <v>6324</v>
      </c>
      <c r="D6385" s="2" t="str">
        <f t="shared" si="98"/>
        <v>OK</v>
      </c>
      <c r="E6385" s="2" t="s">
        <v>190</v>
      </c>
      <c r="F6385" s="1" t="s">
        <v>1939</v>
      </c>
    </row>
    <row r="6386" spans="1:6" x14ac:dyDescent="0.2">
      <c r="A6386" s="129">
        <v>6325</v>
      </c>
      <c r="D6386" s="2" t="str">
        <f t="shared" si="98"/>
        <v>OK</v>
      </c>
      <c r="E6386" s="2" t="s">
        <v>190</v>
      </c>
      <c r="F6386" s="1" t="s">
        <v>1939</v>
      </c>
    </row>
    <row r="6387" spans="1:6" x14ac:dyDescent="0.2">
      <c r="A6387" s="129">
        <v>6326</v>
      </c>
      <c r="D6387" s="2" t="str">
        <f t="shared" si="98"/>
        <v>OK</v>
      </c>
      <c r="E6387" s="2" t="s">
        <v>190</v>
      </c>
      <c r="F6387" s="1" t="s">
        <v>1939</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1939</v>
      </c>
    </row>
    <row r="6411" spans="1:6" x14ac:dyDescent="0.2">
      <c r="A6411" s="129">
        <v>6350</v>
      </c>
      <c r="D6411" s="2" t="str">
        <f t="shared" si="99"/>
        <v>OK</v>
      </c>
      <c r="E6411" s="2" t="s">
        <v>190</v>
      </c>
      <c r="F6411" s="1" t="s">
        <v>1939</v>
      </c>
    </row>
    <row r="6412" spans="1:6" x14ac:dyDescent="0.2">
      <c r="A6412" s="129">
        <v>6351</v>
      </c>
      <c r="D6412" s="2" t="str">
        <f t="shared" si="99"/>
        <v>OK</v>
      </c>
      <c r="E6412" s="2" t="s">
        <v>190</v>
      </c>
      <c r="F6412" s="1" t="s">
        <v>1939</v>
      </c>
    </row>
    <row r="6413" spans="1:6" x14ac:dyDescent="0.2">
      <c r="A6413" s="129">
        <v>6352</v>
      </c>
      <c r="D6413" s="2" t="str">
        <f t="shared" si="99"/>
        <v>OK</v>
      </c>
      <c r="E6413" s="2" t="s">
        <v>190</v>
      </c>
      <c r="F6413" s="1" t="s">
        <v>1939</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1939</v>
      </c>
    </row>
    <row r="6842" spans="1:5" x14ac:dyDescent="0.2">
      <c r="A6842" s="129">
        <v>6781</v>
      </c>
      <c r="D6842" s="2" t="str">
        <f t="shared" si="105"/>
        <v>OK</v>
      </c>
      <c r="E6842" s="1" t="s">
        <v>1939</v>
      </c>
    </row>
    <row r="6843" spans="1:5" x14ac:dyDescent="0.2">
      <c r="A6843" s="129">
        <v>6782</v>
      </c>
      <c r="D6843" s="2" t="str">
        <f t="shared" si="105"/>
        <v>OK</v>
      </c>
      <c r="E6843" s="1" t="s">
        <v>1939</v>
      </c>
    </row>
    <row r="6844" spans="1:5" x14ac:dyDescent="0.2">
      <c r="A6844">
        <v>6783</v>
      </c>
      <c r="B6844" s="138">
        <f>'Expenditures 15-22'!I5</f>
        <v>2425</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2425</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170082</v>
      </c>
      <c r="D6983" s="2" t="str">
        <f t="shared" si="108"/>
        <v>Error?</v>
      </c>
    </row>
    <row r="6984" spans="1:4" x14ac:dyDescent="0.2">
      <c r="A6984">
        <v>6923</v>
      </c>
      <c r="B6984" s="138">
        <f>'Expenditures 15-22'!K86</f>
        <v>170082</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170082</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2425</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47338</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49132</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47338</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47338</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47338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47338</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47338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47338</v>
      </c>
      <c r="D7224" s="2" t="str">
        <f t="shared" si="111"/>
        <v>Error?</v>
      </c>
    </row>
    <row r="7225" spans="1:4" x14ac:dyDescent="0.2">
      <c r="A7225">
        <v>7164</v>
      </c>
      <c r="B7225" s="138">
        <f>'Expenditures 15-22'!K343</f>
        <v>1794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2425</v>
      </c>
      <c r="D7624" s="2" t="str">
        <f t="shared" si="124"/>
        <v>Error?</v>
      </c>
      <c r="E7624" s="2" t="s">
        <v>19</v>
      </c>
    </row>
    <row r="7625" spans="1:5" x14ac:dyDescent="0.2">
      <c r="A7625">
        <f t="shared" si="123"/>
        <v>7564</v>
      </c>
      <c r="B7625" s="138">
        <f>'Cap Outlay Deprec 26'!I17</f>
        <v>242.5</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221116.5</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360000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150679</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0</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0</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1855</v>
      </c>
    </row>
    <row r="7775" spans="1:5" x14ac:dyDescent="0.2">
      <c r="A7775">
        <v>7714</v>
      </c>
      <c r="B7775" s="138">
        <f>'Expenditures 15-22'!H133</f>
        <v>0</v>
      </c>
      <c r="D7775" s="2" t="str">
        <f t="shared" si="127"/>
        <v>Error?</v>
      </c>
      <c r="E7775" s="4" t="s">
        <v>1855</v>
      </c>
    </row>
    <row r="7776" spans="1:5" x14ac:dyDescent="0.2">
      <c r="A7776">
        <v>7715</v>
      </c>
      <c r="B7776" s="138">
        <f>'Expenditures 15-22'!K133</f>
        <v>0</v>
      </c>
      <c r="D7776" s="2" t="str">
        <f t="shared" si="127"/>
        <v>Error?</v>
      </c>
      <c r="E7776" s="4" t="s">
        <v>1855</v>
      </c>
    </row>
    <row r="7777" spans="1:5" x14ac:dyDescent="0.2">
      <c r="A7777">
        <v>7716</v>
      </c>
      <c r="B7777" s="138">
        <f>'Expenditures 15-22'!H157</f>
        <v>0</v>
      </c>
      <c r="D7777" s="2" t="str">
        <f t="shared" si="127"/>
        <v>Error?</v>
      </c>
      <c r="E7777" s="4" t="s">
        <v>1855</v>
      </c>
    </row>
    <row r="7778" spans="1:5" x14ac:dyDescent="0.2">
      <c r="A7778">
        <v>7717</v>
      </c>
      <c r="B7778" s="138">
        <f>'Expenditures 15-22'!K157</f>
        <v>0</v>
      </c>
      <c r="D7778" s="2" t="str">
        <f t="shared" si="127"/>
        <v>Error?</v>
      </c>
      <c r="E7778" s="4" t="s">
        <v>1855</v>
      </c>
    </row>
    <row r="7779" spans="1:5" x14ac:dyDescent="0.2">
      <c r="A7779">
        <v>7718</v>
      </c>
      <c r="B7779" s="138">
        <f>'Expenditures 15-22'!H158</f>
        <v>0</v>
      </c>
      <c r="D7779" s="2" t="str">
        <f t="shared" si="127"/>
        <v>Error?</v>
      </c>
      <c r="E7779" s="4" t="s">
        <v>1855</v>
      </c>
    </row>
    <row r="7780" spans="1:5" x14ac:dyDescent="0.2">
      <c r="A7780">
        <v>7719</v>
      </c>
      <c r="B7780" s="138">
        <f>'Expenditures 15-22'!K158</f>
        <v>0</v>
      </c>
      <c r="D7780" s="2" t="str">
        <f t="shared" si="127"/>
        <v>Error?</v>
      </c>
      <c r="E7780" s="4" t="s">
        <v>1855</v>
      </c>
    </row>
    <row r="7781" spans="1:5" x14ac:dyDescent="0.2">
      <c r="A7781">
        <v>7720</v>
      </c>
      <c r="B7781" s="138">
        <f>'Expenditures 15-22'!H159</f>
        <v>0</v>
      </c>
      <c r="D7781" s="2" t="str">
        <f t="shared" si="127"/>
        <v>Error?</v>
      </c>
      <c r="E7781" s="4" t="s">
        <v>1855</v>
      </c>
    </row>
    <row r="7782" spans="1:5" x14ac:dyDescent="0.2">
      <c r="A7782">
        <v>7721</v>
      </c>
      <c r="B7782" s="138">
        <f>'Expenditures 15-22'!K159</f>
        <v>0</v>
      </c>
      <c r="D7782" s="2" t="str">
        <f t="shared" si="127"/>
        <v>Error?</v>
      </c>
      <c r="E7782" s="4" t="s">
        <v>1855</v>
      </c>
    </row>
    <row r="7783" spans="1:5" x14ac:dyDescent="0.2">
      <c r="A7783">
        <v>7722</v>
      </c>
      <c r="B7783" s="138">
        <f>'Expenditures 15-22'!D282</f>
        <v>0</v>
      </c>
      <c r="D7783" s="2" t="str">
        <f t="shared" si="127"/>
        <v>Error?</v>
      </c>
      <c r="E7783" s="4" t="s">
        <v>1855</v>
      </c>
    </row>
    <row r="7784" spans="1:5" x14ac:dyDescent="0.2">
      <c r="A7784">
        <v>7723</v>
      </c>
      <c r="B7784" s="138">
        <f>'Expenditures 15-22'!K282</f>
        <v>0</v>
      </c>
      <c r="D7784" s="2" t="str">
        <f t="shared" si="127"/>
        <v>Error?</v>
      </c>
      <c r="E7784" s="4" t="s">
        <v>1855</v>
      </c>
    </row>
    <row r="7785" spans="1:5" x14ac:dyDescent="0.2">
      <c r="A7785">
        <v>7724</v>
      </c>
      <c r="B7785" s="138">
        <f>'Expenditures 15-22'!H332</f>
        <v>0</v>
      </c>
      <c r="D7785" s="2" t="str">
        <f t="shared" si="127"/>
        <v>Error?</v>
      </c>
      <c r="E7785" s="4" t="s">
        <v>1855</v>
      </c>
    </row>
    <row r="7786" spans="1:5" x14ac:dyDescent="0.2">
      <c r="A7786">
        <v>7725</v>
      </c>
      <c r="B7786" s="138">
        <f>'Expenditures 15-22'!K332</f>
        <v>0</v>
      </c>
      <c r="D7786" s="2" t="str">
        <f t="shared" si="127"/>
        <v>Error?</v>
      </c>
      <c r="E7786" s="4" t="s">
        <v>1855</v>
      </c>
    </row>
    <row r="7787" spans="1:5" x14ac:dyDescent="0.2">
      <c r="A7787">
        <v>7726</v>
      </c>
      <c r="B7787" s="138">
        <f>'Expenditures 15-22'!H333</f>
        <v>0</v>
      </c>
      <c r="D7787" s="2" t="str">
        <f t="shared" si="127"/>
        <v>Error?</v>
      </c>
      <c r="E7787" s="4" t="s">
        <v>1855</v>
      </c>
    </row>
    <row r="7788" spans="1:5" x14ac:dyDescent="0.2">
      <c r="A7788">
        <v>7727</v>
      </c>
      <c r="B7788" s="138">
        <f>'Expenditures 15-22'!K333</f>
        <v>0</v>
      </c>
      <c r="D7788" s="2" t="str">
        <f t="shared" si="127"/>
        <v>Error?</v>
      </c>
      <c r="E7788" s="4" t="s">
        <v>1855</v>
      </c>
    </row>
    <row r="7789" spans="1:5" x14ac:dyDescent="0.2">
      <c r="A7789">
        <v>7728</v>
      </c>
      <c r="B7789" s="138">
        <f>'Expenditures 15-22'!H334</f>
        <v>0</v>
      </c>
      <c r="D7789" s="2" t="str">
        <f t="shared" si="127"/>
        <v>Error?</v>
      </c>
      <c r="E7789" s="4" t="s">
        <v>1855</v>
      </c>
    </row>
    <row r="7790" spans="1:5" x14ac:dyDescent="0.2">
      <c r="A7790">
        <v>7729</v>
      </c>
      <c r="B7790" s="138">
        <f>'Expenditures 15-22'!K334</f>
        <v>0</v>
      </c>
      <c r="D7790" s="2" t="str">
        <f t="shared" si="127"/>
        <v>Error?</v>
      </c>
      <c r="E7790" s="4" t="s">
        <v>1855</v>
      </c>
    </row>
    <row r="7791" spans="1:5" x14ac:dyDescent="0.2">
      <c r="A7791">
        <v>7730</v>
      </c>
      <c r="B7791" s="138">
        <f>'Expenditures 15-22'!H354</f>
        <v>0</v>
      </c>
      <c r="D7791" s="2" t="str">
        <f t="shared" si="127"/>
        <v>Error?</v>
      </c>
      <c r="E7791" s="4" t="s">
        <v>1855</v>
      </c>
    </row>
    <row r="7792" spans="1:5" x14ac:dyDescent="0.2">
      <c r="A7792">
        <v>7731</v>
      </c>
      <c r="B7792" s="138">
        <f>'Expenditures 15-22'!K354</f>
        <v>0</v>
      </c>
      <c r="D7792" s="2" t="str">
        <f t="shared" si="127"/>
        <v>Error?</v>
      </c>
      <c r="E7792" s="4" t="s">
        <v>1855</v>
      </c>
    </row>
    <row r="7793" spans="1:5" x14ac:dyDescent="0.2">
      <c r="A7793">
        <v>7732</v>
      </c>
      <c r="B7793" s="138">
        <f>'Expenditures 15-22'!H355</f>
        <v>0</v>
      </c>
      <c r="D7793" s="2" t="str">
        <f t="shared" si="127"/>
        <v>Error?</v>
      </c>
      <c r="E7793" s="4" t="s">
        <v>1855</v>
      </c>
    </row>
    <row r="7794" spans="1:5" x14ac:dyDescent="0.2">
      <c r="A7794">
        <v>7733</v>
      </c>
      <c r="B7794" s="138">
        <f>'Expenditures 15-22'!K355</f>
        <v>0</v>
      </c>
      <c r="D7794" s="2" t="str">
        <f t="shared" si="127"/>
        <v>Error?</v>
      </c>
      <c r="E7794" s="4" t="s">
        <v>1855</v>
      </c>
    </row>
    <row r="7795" spans="1:5" x14ac:dyDescent="0.2">
      <c r="A7795">
        <v>7734</v>
      </c>
      <c r="B7795" s="138">
        <f>'Expenditures 15-22'!E138</f>
        <v>0</v>
      </c>
      <c r="D7795" s="2" t="str">
        <f t="shared" si="127"/>
        <v>Error?</v>
      </c>
      <c r="E7795" s="4" t="s">
        <v>1855</v>
      </c>
    </row>
    <row r="7796" spans="1:5" x14ac:dyDescent="0.2">
      <c r="A7796">
        <v>7735</v>
      </c>
      <c r="B7796" s="138">
        <f>'Acct Summary 7-8'!J15</f>
        <v>0</v>
      </c>
      <c r="D7796" s="2" t="str">
        <f t="shared" si="127"/>
        <v>Error?</v>
      </c>
      <c r="E7796" s="4" t="s">
        <v>1855</v>
      </c>
    </row>
    <row r="7797" spans="1:5" x14ac:dyDescent="0.2">
      <c r="A7797">
        <v>7736</v>
      </c>
      <c r="B7797" s="138">
        <f>'Contracts Paid in CY 29'!D141</f>
        <v>582808</v>
      </c>
      <c r="D7797" s="2" t="str">
        <f t="shared" si="127"/>
        <v>Error?</v>
      </c>
      <c r="E7797" s="4" t="s">
        <v>1904</v>
      </c>
    </row>
    <row r="7798" spans="1:5" x14ac:dyDescent="0.2">
      <c r="A7798">
        <v>7737</v>
      </c>
      <c r="B7798" s="138">
        <f>'Contracts Paid in CY 29'!F141</f>
        <v>100000</v>
      </c>
      <c r="D7798" s="2" t="str">
        <f t="shared" si="127"/>
        <v>Error?</v>
      </c>
      <c r="E7798" s="4" t="s">
        <v>1904</v>
      </c>
    </row>
    <row r="7799" spans="1:5" x14ac:dyDescent="0.2">
      <c r="A7799">
        <v>7738</v>
      </c>
      <c r="B7799" s="138">
        <f>'Contracts Paid in CY 29'!G141</f>
        <v>314263</v>
      </c>
      <c r="D7799" s="2" t="str">
        <f t="shared" si="127"/>
        <v>Error?</v>
      </c>
      <c r="E7799" s="4" t="s">
        <v>1904</v>
      </c>
    </row>
    <row r="7800" spans="1:5" x14ac:dyDescent="0.2">
      <c r="A7800">
        <v>7739</v>
      </c>
      <c r="D7800" s="2" t="str">
        <f t="shared" si="127"/>
        <v>OK</v>
      </c>
    </row>
    <row r="7801" spans="1:5" x14ac:dyDescent="0.2">
      <c r="A7801">
        <v>7740</v>
      </c>
      <c r="B7801" s="138">
        <f>'Revenues 9-14'!C120</f>
        <v>0</v>
      </c>
      <c r="D7801" s="2" t="str">
        <f t="shared" si="127"/>
        <v>Error?</v>
      </c>
      <c r="E7801" s="4" t="s">
        <v>1941</v>
      </c>
    </row>
    <row r="7802" spans="1:5" x14ac:dyDescent="0.2">
      <c r="A7802">
        <v>7741</v>
      </c>
      <c r="B7802" s="138">
        <f>'Revenues 9-14'!D120</f>
        <v>0</v>
      </c>
      <c r="D7802" s="2" t="str">
        <f t="shared" si="127"/>
        <v>Error?</v>
      </c>
      <c r="E7802" s="4" t="s">
        <v>1941</v>
      </c>
    </row>
    <row r="7803" spans="1:5" x14ac:dyDescent="0.2">
      <c r="A7803">
        <v>7742</v>
      </c>
      <c r="B7803" s="138">
        <f>'Revenues 9-14'!E120</f>
        <v>0</v>
      </c>
      <c r="D7803" s="2" t="str">
        <f t="shared" si="127"/>
        <v>Error?</v>
      </c>
      <c r="E7803" s="4" t="s">
        <v>1941</v>
      </c>
    </row>
    <row r="7804" spans="1:5" x14ac:dyDescent="0.2">
      <c r="A7804">
        <v>7743</v>
      </c>
      <c r="B7804" s="138">
        <f>'Revenues 9-14'!F120</f>
        <v>0</v>
      </c>
      <c r="D7804" s="2" t="str">
        <f t="shared" si="127"/>
        <v>Error?</v>
      </c>
      <c r="E7804" s="4" t="s">
        <v>1941</v>
      </c>
    </row>
    <row r="7805" spans="1:5" x14ac:dyDescent="0.2">
      <c r="A7805">
        <v>7744</v>
      </c>
      <c r="B7805" s="138">
        <f>'Revenues 9-14'!G120</f>
        <v>0</v>
      </c>
      <c r="D7805" s="2" t="str">
        <f t="shared" si="127"/>
        <v>Error?</v>
      </c>
      <c r="E7805" s="4" t="s">
        <v>1941</v>
      </c>
    </row>
    <row r="7806" spans="1:5" x14ac:dyDescent="0.2">
      <c r="A7806">
        <v>7745</v>
      </c>
      <c r="B7806" s="138">
        <f>'Revenues 9-14'!H120</f>
        <v>0</v>
      </c>
      <c r="D7806" s="2" t="str">
        <f t="shared" si="127"/>
        <v>Error?</v>
      </c>
      <c r="E7806" s="4" t="s">
        <v>1941</v>
      </c>
    </row>
    <row r="7807" spans="1:5" x14ac:dyDescent="0.2">
      <c r="A7807">
        <v>7746</v>
      </c>
      <c r="B7807" s="138">
        <f>'Revenues 9-14'!J120</f>
        <v>0</v>
      </c>
      <c r="D7807" s="2" t="str">
        <f t="shared" ref="D7807:D7816" si="128">IF(ISBLANK(B7807),"OK",IF(A7807-B7807=0,"OK","Error?"))</f>
        <v>Error?</v>
      </c>
      <c r="E7807" s="4" t="s">
        <v>1941</v>
      </c>
    </row>
    <row r="7808" spans="1:5" x14ac:dyDescent="0.2">
      <c r="A7808">
        <v>7747</v>
      </c>
      <c r="B7808" s="138">
        <f>'Revenues 9-14'!K120</f>
        <v>0</v>
      </c>
      <c r="D7808" s="2" t="str">
        <f t="shared" si="128"/>
        <v>Error?</v>
      </c>
      <c r="E7808" s="4" t="s">
        <v>1941</v>
      </c>
    </row>
    <row r="7809" spans="1:5" x14ac:dyDescent="0.2">
      <c r="A7809">
        <v>7748</v>
      </c>
      <c r="B7809" s="138">
        <f>'Revenues 9-14'!C261</f>
        <v>0</v>
      </c>
      <c r="D7809" s="2" t="str">
        <f t="shared" si="128"/>
        <v>Error?</v>
      </c>
      <c r="E7809" s="4" t="s">
        <v>1942</v>
      </c>
    </row>
    <row r="7810" spans="1:5" x14ac:dyDescent="0.2">
      <c r="A7810">
        <v>7749</v>
      </c>
      <c r="B7810" s="138">
        <f>'Revenues 9-14'!D261</f>
        <v>0</v>
      </c>
      <c r="D7810" s="2" t="str">
        <f t="shared" si="128"/>
        <v>Error?</v>
      </c>
      <c r="E7810" s="4" t="s">
        <v>1942</v>
      </c>
    </row>
    <row r="7811" spans="1:5" x14ac:dyDescent="0.2">
      <c r="A7811">
        <v>7750</v>
      </c>
      <c r="B7811" s="138">
        <f>'Revenues 9-14'!F261</f>
        <v>0</v>
      </c>
      <c r="D7811" s="2" t="str">
        <f t="shared" si="128"/>
        <v>Error?</v>
      </c>
      <c r="E7811" s="4" t="s">
        <v>1942</v>
      </c>
    </row>
    <row r="7812" spans="1:5" x14ac:dyDescent="0.2">
      <c r="A7812">
        <v>7751</v>
      </c>
      <c r="B7812" s="138">
        <f>'Revenues 9-14'!G261</f>
        <v>0</v>
      </c>
      <c r="D7812" s="2" t="str">
        <f t="shared" si="128"/>
        <v>Error?</v>
      </c>
      <c r="E7812" s="4" t="s">
        <v>1942</v>
      </c>
    </row>
    <row r="7813" spans="1:5" x14ac:dyDescent="0.2">
      <c r="A7813">
        <v>7752</v>
      </c>
      <c r="B7813" s="138">
        <f>'Revenues 9-14'!C262</f>
        <v>0</v>
      </c>
      <c r="D7813" s="2" t="str">
        <f t="shared" si="128"/>
        <v>Error?</v>
      </c>
      <c r="E7813" s="4" t="s">
        <v>1943</v>
      </c>
    </row>
    <row r="7814" spans="1:5" x14ac:dyDescent="0.2">
      <c r="A7814">
        <v>7753</v>
      </c>
      <c r="B7814" s="138">
        <f>'Revenues 9-14'!D262</f>
        <v>0</v>
      </c>
      <c r="D7814" s="2" t="str">
        <f t="shared" si="128"/>
        <v>Error?</v>
      </c>
      <c r="E7814" s="4" t="s">
        <v>1943</v>
      </c>
    </row>
    <row r="7815" spans="1:5" x14ac:dyDescent="0.2">
      <c r="A7815">
        <v>7754</v>
      </c>
      <c r="B7815" s="138">
        <f>'Revenues 9-14'!F262</f>
        <v>0</v>
      </c>
      <c r="D7815" s="2" t="str">
        <f t="shared" si="128"/>
        <v>Error?</v>
      </c>
      <c r="E7815" s="4" t="s">
        <v>1943</v>
      </c>
    </row>
    <row r="7816" spans="1:5" x14ac:dyDescent="0.2">
      <c r="A7816">
        <v>7755</v>
      </c>
      <c r="B7816" s="138">
        <f>'Revenues 9-14'!G262</f>
        <v>0</v>
      </c>
      <c r="D7816" s="2" t="str">
        <f t="shared" si="128"/>
        <v>Error?</v>
      </c>
      <c r="E7816" s="4" t="s">
        <v>1943</v>
      </c>
    </row>
  </sheetData>
  <sheetProtection password="F60E" sheet="1" objects="1" scenarios="1"/>
  <phoneticPr fontId="20"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pageSetUpPr fitToPage="1"/>
  </sheetPr>
  <dimension ref="A1:AC59"/>
  <sheetViews>
    <sheetView showGridLines="0" showZeros="0" view="pageBreakPreview" zoomScaleNormal="110" zoomScaleSheetLayoutView="100" workbookViewId="0">
      <selection activeCell="AF22" sqref="AF22"/>
    </sheetView>
  </sheetViews>
  <sheetFormatPr defaultColWidth="9.140625" defaultRowHeight="12.75" x14ac:dyDescent="0.2"/>
  <cols>
    <col min="1" max="1" width="7.85546875" style="1153" customWidth="1"/>
    <col min="2" max="2" width="2.28515625" style="1149" customWidth="1"/>
    <col min="3" max="3" width="9.140625" style="1153"/>
    <col min="4" max="4" width="13" style="1153" customWidth="1"/>
    <col min="5" max="5" width="16" style="1153" customWidth="1"/>
    <col min="6" max="6" width="4.140625" style="1153" customWidth="1"/>
    <col min="7" max="7" width="3.7109375" style="1153" customWidth="1"/>
    <col min="8" max="8" width="9.7109375" style="1153" customWidth="1"/>
    <col min="9" max="9" width="10.7109375" style="1153" customWidth="1"/>
    <col min="10" max="10" width="5" style="1153" customWidth="1"/>
    <col min="11" max="11" width="6.5703125" style="1153" customWidth="1"/>
    <col min="12" max="12" width="12.85546875" style="1153" customWidth="1"/>
    <col min="13" max="13" width="2.7109375" style="1153" customWidth="1"/>
    <col min="14" max="14" width="13.140625" style="1153" customWidth="1"/>
    <col min="15" max="15" width="7.140625" style="1153" customWidth="1"/>
    <col min="16" max="16" width="7" style="1153" customWidth="1"/>
    <col min="17" max="17" width="9.7109375" style="1153" customWidth="1"/>
    <col min="18" max="19" width="9.85546875" style="1153" customWidth="1"/>
    <col min="20" max="16384" width="9.140625" style="1153"/>
  </cols>
  <sheetData>
    <row r="1" spans="1:29" x14ac:dyDescent="0.2">
      <c r="A1" s="1148"/>
      <c r="C1" s="1148"/>
      <c r="D1" s="1148"/>
      <c r="E1" s="1148"/>
      <c r="F1" s="1150"/>
      <c r="G1" s="1150"/>
      <c r="H1" s="1148"/>
      <c r="I1" s="1148"/>
      <c r="J1" s="1148"/>
      <c r="K1" s="1148"/>
      <c r="L1" s="1151"/>
      <c r="M1" s="1152"/>
    </row>
    <row r="2" spans="1:29" ht="13.5" customHeight="1" x14ac:dyDescent="0.2">
      <c r="A2" s="2476" t="s">
        <v>1191</v>
      </c>
      <c r="B2" s="2476"/>
      <c r="C2" s="2476"/>
      <c r="D2" s="2476"/>
      <c r="E2" s="2476"/>
      <c r="F2" s="2476"/>
      <c r="G2" s="2476"/>
      <c r="H2" s="2476"/>
      <c r="I2" s="2476"/>
      <c r="J2" s="2476"/>
      <c r="K2" s="2476"/>
      <c r="L2" s="2476"/>
    </row>
    <row r="3" spans="1:29" ht="13.5" customHeight="1" x14ac:dyDescent="0.2">
      <c r="A3" s="2462" t="s">
        <v>1190</v>
      </c>
      <c r="B3" s="2462"/>
      <c r="C3" s="2462"/>
      <c r="D3" s="2462"/>
      <c r="E3" s="2462"/>
      <c r="F3" s="2462"/>
      <c r="G3" s="2462"/>
      <c r="H3" s="2462"/>
      <c r="I3" s="2462"/>
      <c r="J3" s="2462"/>
      <c r="K3" s="2462"/>
      <c r="L3" s="2462"/>
    </row>
    <row r="4" spans="1:29" ht="13.5" customHeight="1" x14ac:dyDescent="0.2">
      <c r="A4" s="2476" t="s">
        <v>1989</v>
      </c>
      <c r="B4" s="2493"/>
      <c r="C4" s="2493"/>
      <c r="D4" s="2493"/>
      <c r="E4" s="2493"/>
      <c r="F4" s="2493"/>
      <c r="G4" s="2493"/>
      <c r="H4" s="2493"/>
      <c r="I4" s="2493"/>
      <c r="J4" s="2493"/>
      <c r="K4" s="2493"/>
      <c r="L4" s="2493"/>
    </row>
    <row r="5" spans="1:29" ht="29.85" customHeight="1" x14ac:dyDescent="0.2">
      <c r="A5" s="1154"/>
      <c r="B5" s="1155"/>
      <c r="C5" s="1154"/>
      <c r="D5" s="1154"/>
      <c r="E5" s="1154"/>
      <c r="F5" s="1154"/>
      <c r="G5" s="1154"/>
      <c r="H5" s="1154"/>
      <c r="I5" s="1154"/>
      <c r="J5" s="1154"/>
      <c r="K5" s="1154"/>
      <c r="L5" s="1154"/>
      <c r="V5" s="1156"/>
      <c r="W5" s="1156"/>
      <c r="X5" s="1156"/>
      <c r="Y5" s="1156"/>
      <c r="Z5" s="1156"/>
      <c r="AA5" s="1156"/>
      <c r="AB5" s="1156"/>
      <c r="AC5" s="1156"/>
    </row>
    <row r="6" spans="1:29" ht="13.5" customHeight="1" x14ac:dyDescent="0.2">
      <c r="A6" s="1157" t="s">
        <v>1189</v>
      </c>
      <c r="B6" s="1158"/>
      <c r="C6" s="1159"/>
      <c r="D6" s="1159"/>
      <c r="E6" s="1160" t="s">
        <v>1188</v>
      </c>
      <c r="F6" s="1161"/>
      <c r="G6" s="1162" t="s">
        <v>1187</v>
      </c>
      <c r="H6" s="1159"/>
      <c r="I6" s="1159"/>
      <c r="J6" s="1159"/>
      <c r="K6" s="1159"/>
      <c r="L6" s="1163"/>
      <c r="V6" s="1156"/>
      <c r="W6" s="1156"/>
      <c r="X6" s="1156"/>
      <c r="Y6" s="1156"/>
      <c r="Z6" s="1156"/>
      <c r="AA6" s="1156"/>
      <c r="AB6" s="1156"/>
      <c r="AC6" s="1156"/>
    </row>
    <row r="7" spans="1:29" ht="16.5" customHeight="1" x14ac:dyDescent="0.2">
      <c r="A7" s="2456" t="str">
        <f>COVER!A17</f>
        <v>RILEY CCSD 18</v>
      </c>
      <c r="B7" s="2457"/>
      <c r="C7" s="2457"/>
      <c r="D7" s="2494"/>
      <c r="E7" s="2495">
        <f>COVER!A13</f>
        <v>44063018004</v>
      </c>
      <c r="F7" s="2496"/>
      <c r="G7" s="2463" t="str">
        <f>COVER!T23</f>
        <v>066-005142</v>
      </c>
      <c r="H7" s="2464"/>
      <c r="I7" s="2464"/>
      <c r="J7" s="2464"/>
      <c r="K7" s="2464"/>
      <c r="L7" s="2465"/>
    </row>
    <row r="8" spans="1:29" ht="13.5" customHeight="1" x14ac:dyDescent="0.2">
      <c r="A8" s="1157" t="s">
        <v>1517</v>
      </c>
      <c r="B8" s="1158"/>
      <c r="C8" s="1159"/>
      <c r="D8" s="1159"/>
      <c r="E8" s="1164"/>
      <c r="F8" s="1163"/>
      <c r="G8" s="1165" t="s">
        <v>1186</v>
      </c>
      <c r="H8" s="1166"/>
      <c r="I8" s="1166"/>
      <c r="J8" s="1166"/>
      <c r="K8" s="1166"/>
      <c r="L8" s="1167"/>
    </row>
    <row r="9" spans="1:29" ht="13.5" customHeight="1" x14ac:dyDescent="0.2">
      <c r="A9" s="2466"/>
      <c r="B9" s="2467"/>
      <c r="C9" s="2467"/>
      <c r="D9" s="2467"/>
      <c r="E9" s="2467"/>
      <c r="F9" s="2468"/>
      <c r="G9" s="2469" t="str">
        <f>COVER!T13</f>
        <v>EDER, CASELLA &amp; CO.</v>
      </c>
      <c r="H9" s="2470"/>
      <c r="I9" s="2470"/>
      <c r="J9" s="2470"/>
      <c r="K9" s="2470"/>
      <c r="L9" s="2471"/>
    </row>
    <row r="10" spans="1:29" ht="13.5" customHeight="1" x14ac:dyDescent="0.2">
      <c r="A10" s="2453" t="str">
        <f>COVER!A38</f>
        <v>CHRISTINE CONKLING</v>
      </c>
      <c r="B10" s="2454"/>
      <c r="C10" s="2454"/>
      <c r="D10" s="2454"/>
      <c r="E10" s="2454"/>
      <c r="F10" s="2455"/>
      <c r="G10" s="2469" t="str">
        <f>COVER!T17</f>
        <v>5400 WEST ELM STREET, SUITE 203</v>
      </c>
      <c r="H10" s="2482"/>
      <c r="I10" s="2482"/>
      <c r="J10" s="2482"/>
      <c r="K10" s="2482"/>
      <c r="L10" s="2483"/>
    </row>
    <row r="11" spans="1:29" ht="13.5" customHeight="1" x14ac:dyDescent="0.2">
      <c r="A11" s="1157" t="s">
        <v>1519</v>
      </c>
      <c r="B11" s="1158"/>
      <c r="C11" s="1159"/>
      <c r="D11" s="1164"/>
      <c r="E11" s="1159"/>
      <c r="F11" s="1163"/>
      <c r="G11" s="2469" t="str">
        <f>COVER!T19</f>
        <v>MCHENRY</v>
      </c>
      <c r="H11" s="2482"/>
      <c r="I11" s="2482"/>
      <c r="J11" s="2482"/>
      <c r="K11" s="2482"/>
      <c r="L11" s="2483"/>
    </row>
    <row r="12" spans="1:29" ht="13.5" customHeight="1" x14ac:dyDescent="0.2">
      <c r="A12" s="2487" t="s">
        <v>1518</v>
      </c>
      <c r="B12" s="2488"/>
      <c r="C12" s="2488"/>
      <c r="D12" s="2488"/>
      <c r="E12" s="2488"/>
      <c r="F12" s="2489"/>
      <c r="G12" s="2484"/>
      <c r="H12" s="2485"/>
      <c r="I12" s="2485"/>
      <c r="J12" s="2485"/>
      <c r="K12" s="2485"/>
      <c r="L12" s="2486"/>
    </row>
    <row r="13" spans="1:29" ht="13.5" customHeight="1" x14ac:dyDescent="0.2">
      <c r="A13" s="2469"/>
      <c r="B13" s="2482"/>
      <c r="C13" s="2482"/>
      <c r="D13" s="2482"/>
      <c r="E13" s="2482"/>
      <c r="F13" s="2483"/>
      <c r="G13" s="2477" t="s">
        <v>1520</v>
      </c>
      <c r="H13" s="2478"/>
      <c r="I13" s="2490" t="str">
        <f>COVER!T25</f>
        <v>CPAS@EDERCASELLA.COM</v>
      </c>
      <c r="J13" s="2491"/>
      <c r="K13" s="2491"/>
      <c r="L13" s="2492"/>
    </row>
    <row r="14" spans="1:29" ht="13.5" customHeight="1" x14ac:dyDescent="0.2">
      <c r="A14" s="2469" t="str">
        <f>COVER!A19</f>
        <v>9406 RILEY ROAD</v>
      </c>
      <c r="B14" s="2482"/>
      <c r="C14" s="2482"/>
      <c r="D14" s="2482"/>
      <c r="E14" s="2482"/>
      <c r="F14" s="2483"/>
      <c r="G14" s="1168" t="s">
        <v>1185</v>
      </c>
      <c r="H14" s="1166"/>
      <c r="I14" s="1166"/>
      <c r="J14" s="1166"/>
      <c r="K14" s="1166"/>
      <c r="L14" s="1167"/>
    </row>
    <row r="15" spans="1:29" ht="13.5" customHeight="1" x14ac:dyDescent="0.2">
      <c r="A15" s="2469" t="str">
        <f>COVER!A21</f>
        <v>MARENGO</v>
      </c>
      <c r="B15" s="2482"/>
      <c r="C15" s="2482"/>
      <c r="D15" s="2482"/>
      <c r="E15" s="2482"/>
      <c r="F15" s="2483"/>
      <c r="G15" s="2479" t="str">
        <f>COVER!T15</f>
        <v>Cheryden Juergensen</v>
      </c>
      <c r="H15" s="2480"/>
      <c r="I15" s="2480"/>
      <c r="J15" s="2480"/>
      <c r="K15" s="2480"/>
      <c r="L15" s="2481"/>
    </row>
    <row r="16" spans="1:29" ht="12.2" customHeight="1" x14ac:dyDescent="0.2">
      <c r="A16" s="2459">
        <f>COVER!A25</f>
        <v>60152</v>
      </c>
      <c r="B16" s="2460"/>
      <c r="C16" s="2460"/>
      <c r="D16" s="2460"/>
      <c r="E16" s="2460"/>
      <c r="F16" s="2461"/>
      <c r="G16" s="2472"/>
      <c r="H16" s="2473"/>
      <c r="I16" s="2473"/>
      <c r="J16" s="2473"/>
      <c r="K16" s="2473"/>
      <c r="L16" s="2474"/>
    </row>
    <row r="17" spans="1:13" ht="12.2" customHeight="1" x14ac:dyDescent="0.2">
      <c r="A17" s="2475"/>
      <c r="B17" s="2460"/>
      <c r="C17" s="2460"/>
      <c r="D17" s="2460"/>
      <c r="E17" s="2460"/>
      <c r="F17" s="2461"/>
      <c r="G17" s="1168" t="s">
        <v>1184</v>
      </c>
      <c r="H17" s="1166"/>
      <c r="I17" s="1166"/>
      <c r="J17" s="1166"/>
      <c r="K17" s="1170" t="s">
        <v>1183</v>
      </c>
      <c r="L17" s="1163"/>
      <c r="M17" s="1156"/>
    </row>
    <row r="18" spans="1:13" ht="12.2" customHeight="1" x14ac:dyDescent="0.2">
      <c r="A18" s="2453"/>
      <c r="B18" s="2454"/>
      <c r="C18" s="2454"/>
      <c r="D18" s="2454"/>
      <c r="E18" s="2454"/>
      <c r="F18" s="2455"/>
      <c r="G18" s="2456" t="str">
        <f>COVER!T21</f>
        <v>815-344-1300</v>
      </c>
      <c r="H18" s="2457"/>
      <c r="I18" s="2457"/>
      <c r="J18" s="2457"/>
      <c r="K18" s="2456" t="str">
        <f>COVER!X21</f>
        <v>815-344-1320</v>
      </c>
      <c r="L18" s="2458"/>
    </row>
    <row r="19" spans="1:13" ht="12.2" customHeight="1" x14ac:dyDescent="0.2">
      <c r="A19" s="1171"/>
      <c r="C19" s="1171"/>
      <c r="D19" s="1171"/>
      <c r="E19" s="1171"/>
      <c r="F19" s="1171"/>
      <c r="G19" s="1171"/>
      <c r="H19" s="1171"/>
      <c r="I19" s="1171"/>
      <c r="J19" s="1171"/>
      <c r="K19" s="1171"/>
      <c r="L19" s="1171"/>
    </row>
    <row r="20" spans="1:13" ht="12.2" customHeight="1" x14ac:dyDescent="0.2">
      <c r="A20" s="1171"/>
      <c r="C20" s="1171"/>
      <c r="D20" s="1171"/>
      <c r="E20" s="1171"/>
      <c r="F20" s="1171"/>
      <c r="G20" s="1171"/>
      <c r="H20" s="1171"/>
      <c r="I20" s="1171"/>
      <c r="J20" s="1171" t="s">
        <v>1169</v>
      </c>
      <c r="K20" s="1149" t="s">
        <v>1169</v>
      </c>
    </row>
    <row r="21" spans="1:13" ht="12.2" customHeight="1" x14ac:dyDescent="0.2">
      <c r="A21" s="1172" t="s">
        <v>1698</v>
      </c>
    </row>
    <row r="22" spans="1:13" ht="12.2" customHeight="1" x14ac:dyDescent="0.2">
      <c r="A22" s="1173"/>
    </row>
    <row r="23" spans="1:13" ht="12.2" customHeight="1" x14ac:dyDescent="0.2">
      <c r="A23" s="1173"/>
      <c r="B23" s="1174"/>
      <c r="C23" s="1175" t="s">
        <v>1182</v>
      </c>
    </row>
    <row r="24" spans="1:13" ht="10.15" customHeight="1" x14ac:dyDescent="0.2">
      <c r="A24" s="1173"/>
      <c r="C24" s="1175" t="s">
        <v>1181</v>
      </c>
    </row>
    <row r="25" spans="1:13" ht="9" customHeight="1" x14ac:dyDescent="0.2">
      <c r="B25" s="1176" t="s">
        <v>1169</v>
      </c>
      <c r="C25" s="1177"/>
    </row>
    <row r="26" spans="1:13" s="1171" customFormat="1" ht="12.2" customHeight="1" x14ac:dyDescent="0.2">
      <c r="B26" s="1174"/>
      <c r="C26" s="1175" t="s">
        <v>1699</v>
      </c>
    </row>
    <row r="27" spans="1:13" s="1171" customFormat="1" ht="9" customHeight="1" x14ac:dyDescent="0.2">
      <c r="B27" s="1176"/>
      <c r="C27" s="1175"/>
    </row>
    <row r="28" spans="1:13" s="1171" customFormat="1" ht="12.2" customHeight="1" x14ac:dyDescent="0.2">
      <c r="A28" s="1178"/>
      <c r="B28" s="1174"/>
      <c r="C28" s="1175" t="s">
        <v>1700</v>
      </c>
    </row>
    <row r="29" spans="1:13" s="1171" customFormat="1" ht="9" customHeight="1" x14ac:dyDescent="0.2">
      <c r="A29" s="1178"/>
      <c r="B29" s="1176"/>
      <c r="C29" s="1175"/>
    </row>
    <row r="30" spans="1:13" s="1171" customFormat="1" ht="12.2" customHeight="1" x14ac:dyDescent="0.2">
      <c r="B30" s="1174"/>
      <c r="C30" s="1175" t="s">
        <v>1562</v>
      </c>
      <c r="D30" s="1169"/>
      <c r="E30" s="1169"/>
    </row>
    <row r="31" spans="1:13" s="1171" customFormat="1" ht="9" customHeight="1" x14ac:dyDescent="0.2">
      <c r="B31" s="1176"/>
      <c r="C31" s="1175"/>
      <c r="D31" s="1169"/>
      <c r="E31" s="1169"/>
    </row>
    <row r="32" spans="1:13" s="1171" customFormat="1" ht="12.2" customHeight="1" x14ac:dyDescent="0.2">
      <c r="B32" s="1174"/>
      <c r="C32" s="1175" t="s">
        <v>1563</v>
      </c>
      <c r="D32" s="1169"/>
      <c r="E32" s="1169"/>
    </row>
    <row r="33" spans="1:8" s="1171" customFormat="1" ht="10.9" customHeight="1" x14ac:dyDescent="0.2">
      <c r="B33" s="1176"/>
      <c r="C33" s="1179" t="s">
        <v>1701</v>
      </c>
      <c r="D33" s="1169"/>
      <c r="E33" s="1169"/>
    </row>
    <row r="34" spans="1:8" ht="9" customHeight="1" x14ac:dyDescent="0.2">
      <c r="B34" s="1176"/>
      <c r="C34" s="1179"/>
    </row>
    <row r="35" spans="1:8" s="1171" customFormat="1" ht="13.5" customHeight="1" x14ac:dyDescent="0.2">
      <c r="B35" s="1174"/>
      <c r="C35" s="1175" t="s">
        <v>1564</v>
      </c>
    </row>
    <row r="36" spans="1:8" s="1171" customFormat="1" ht="10.9" customHeight="1" x14ac:dyDescent="0.2">
      <c r="B36" s="1176"/>
      <c r="C36" s="1179" t="s">
        <v>1565</v>
      </c>
    </row>
    <row r="37" spans="1:8" ht="9" customHeight="1" x14ac:dyDescent="0.2">
      <c r="B37" s="1176"/>
      <c r="C37" s="1179"/>
    </row>
    <row r="38" spans="1:8" s="1171" customFormat="1" ht="12.2" customHeight="1" x14ac:dyDescent="0.2">
      <c r="B38" s="1174"/>
      <c r="C38" s="1175" t="s">
        <v>1566</v>
      </c>
    </row>
    <row r="39" spans="1:8" ht="9" customHeight="1" x14ac:dyDescent="0.2">
      <c r="B39" s="1176"/>
      <c r="C39" s="1179"/>
    </row>
    <row r="40" spans="1:8" s="1171" customFormat="1" ht="13.5" customHeight="1" x14ac:dyDescent="0.2">
      <c r="B40" s="1174"/>
      <c r="C40" s="1175" t="s">
        <v>1567</v>
      </c>
    </row>
    <row r="41" spans="1:8" ht="9" customHeight="1" x14ac:dyDescent="0.2">
      <c r="A41" s="1180"/>
      <c r="B41" s="1176"/>
      <c r="C41" s="1179"/>
    </row>
    <row r="42" spans="1:8" s="1171" customFormat="1" ht="13.5" customHeight="1" x14ac:dyDescent="0.2">
      <c r="B42" s="1174"/>
      <c r="C42" s="1175" t="s">
        <v>1836</v>
      </c>
      <c r="D42" s="1169"/>
      <c r="E42" s="1169"/>
      <c r="F42" s="1169"/>
      <c r="G42" s="1169"/>
      <c r="H42" s="1169"/>
    </row>
    <row r="43" spans="1:8" s="1171" customFormat="1" ht="12.95" customHeight="1" x14ac:dyDescent="0.2">
      <c r="B43" s="1176"/>
      <c r="C43" s="1166"/>
      <c r="D43" s="1169"/>
      <c r="E43" s="1169"/>
      <c r="F43" s="1169"/>
      <c r="G43" s="1169"/>
      <c r="H43" s="1169"/>
    </row>
    <row r="44" spans="1:8" s="1171" customFormat="1" ht="13.5" customHeight="1" x14ac:dyDescent="0.2">
      <c r="A44" s="1172" t="s">
        <v>1180</v>
      </c>
      <c r="B44" s="1176"/>
      <c r="D44" s="1169"/>
      <c r="E44" s="1169"/>
      <c r="F44" s="1169"/>
      <c r="G44" s="1169"/>
      <c r="H44" s="1169"/>
    </row>
    <row r="45" spans="1:8" ht="12" customHeight="1" x14ac:dyDescent="0.2">
      <c r="B45" s="1176"/>
      <c r="D45" s="1181"/>
      <c r="E45" s="1181"/>
      <c r="F45" s="1181"/>
      <c r="G45" s="1181"/>
      <c r="H45" s="1181"/>
    </row>
    <row r="46" spans="1:8" s="1171" customFormat="1" ht="12.2" customHeight="1" x14ac:dyDescent="0.2">
      <c r="B46" s="1174"/>
      <c r="C46" s="1182" t="s">
        <v>1568</v>
      </c>
      <c r="D46" s="1169"/>
      <c r="E46" s="1169"/>
      <c r="F46" s="1169"/>
      <c r="G46" s="1169"/>
      <c r="H46" s="1169"/>
    </row>
    <row r="47" spans="1:8" ht="9" customHeight="1" x14ac:dyDescent="0.2"/>
    <row r="48" spans="1:8" ht="12.2" customHeight="1" x14ac:dyDescent="0.2">
      <c r="B48" s="1909"/>
      <c r="C48" s="1183" t="s">
        <v>1569</v>
      </c>
    </row>
    <row r="49" spans="1:12" ht="9" customHeight="1" x14ac:dyDescent="0.2"/>
    <row r="50" spans="1:12" ht="6" customHeight="1" x14ac:dyDescent="0.2">
      <c r="C50" s="1183"/>
    </row>
    <row r="51" spans="1:12" ht="12.2" customHeight="1" x14ac:dyDescent="0.2">
      <c r="A51" s="1181"/>
    </row>
    <row r="52" spans="1:12" ht="12.2" customHeight="1" x14ac:dyDescent="0.2"/>
    <row r="53" spans="1:12" ht="12.2" customHeight="1" x14ac:dyDescent="0.2"/>
    <row r="54" spans="1:12" ht="12.2" customHeight="1" x14ac:dyDescent="0.2"/>
    <row r="55" spans="1:12" ht="12.2" customHeight="1" x14ac:dyDescent="0.2">
      <c r="A55" s="1184"/>
    </row>
    <row r="58" spans="1:12" ht="12.75" customHeight="1" x14ac:dyDescent="0.2"/>
    <row r="59" spans="1:12" ht="36" customHeight="1" x14ac:dyDescent="0.2">
      <c r="L59" s="1151"/>
    </row>
  </sheetData>
  <sheetProtection password="F60E"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A1:K127"/>
  <sheetViews>
    <sheetView showGridLines="0" view="pageBreakPreview" topLeftCell="A22" zoomScaleNormal="125" zoomScaleSheetLayoutView="100" workbookViewId="0">
      <selection activeCell="D24" sqref="D24"/>
    </sheetView>
  </sheetViews>
  <sheetFormatPr defaultColWidth="10.7109375" defaultRowHeight="11.25" x14ac:dyDescent="0.2"/>
  <cols>
    <col min="1" max="1" width="1.7109375" style="1188" customWidth="1"/>
    <col min="2" max="2" width="2.7109375" style="1192" customWidth="1"/>
    <col min="3" max="3" width="3.28515625" style="1202" customWidth="1"/>
    <col min="4" max="4" width="97.7109375" style="1192" customWidth="1"/>
    <col min="5" max="5" width="4.140625" style="1192" customWidth="1"/>
    <col min="6" max="16384" width="10.7109375" style="1192"/>
  </cols>
  <sheetData>
    <row r="1" spans="1:11" s="1185" customFormat="1" ht="12.75" x14ac:dyDescent="0.2">
      <c r="A1" s="2497" t="str">
        <f>'Single Audit Cover'!A7</f>
        <v>RILEY CCSD 18</v>
      </c>
      <c r="B1" s="2493"/>
      <c r="C1" s="2493"/>
      <c r="D1" s="2493"/>
    </row>
    <row r="2" spans="1:11" s="1185" customFormat="1" ht="12.75" x14ac:dyDescent="0.2">
      <c r="A2" s="2498">
        <f>'Single Audit Cover'!E7</f>
        <v>44063018004</v>
      </c>
      <c r="B2" s="2499"/>
      <c r="C2" s="2499"/>
      <c r="D2" s="2499"/>
    </row>
    <row r="3" spans="1:11" s="1185" customFormat="1" ht="12.75" x14ac:dyDescent="0.2">
      <c r="A3" s="2497" t="s">
        <v>1513</v>
      </c>
      <c r="B3" s="2493"/>
      <c r="C3" s="2493"/>
      <c r="D3" s="2493"/>
    </row>
    <row r="4" spans="1:11" s="1185" customFormat="1" ht="4.5" customHeight="1" x14ac:dyDescent="0.2">
      <c r="A4" s="1186"/>
      <c r="B4" s="1187"/>
      <c r="C4" s="1187"/>
      <c r="D4" s="1187"/>
    </row>
    <row r="5" spans="1:11" x14ac:dyDescent="0.2">
      <c r="B5" s="1189" t="s">
        <v>1514</v>
      </c>
      <c r="C5" s="1190"/>
      <c r="D5" s="1191"/>
    </row>
    <row r="6" spans="1:11" x14ac:dyDescent="0.2">
      <c r="B6" s="1189" t="s">
        <v>1225</v>
      </c>
      <c r="C6" s="1190"/>
      <c r="D6" s="1191"/>
    </row>
    <row r="7" spans="1:11" x14ac:dyDescent="0.2">
      <c r="B7" s="1189" t="s">
        <v>1515</v>
      </c>
      <c r="C7" s="1190"/>
      <c r="D7" s="1191"/>
    </row>
    <row r="8" spans="1:11" ht="4.5" customHeight="1" x14ac:dyDescent="0.2">
      <c r="B8" s="1189"/>
      <c r="C8" s="1190"/>
      <c r="D8" s="1191"/>
    </row>
    <row r="9" spans="1:11" x14ac:dyDescent="0.2">
      <c r="B9" s="1193" t="s">
        <v>1224</v>
      </c>
      <c r="C9" s="1194"/>
      <c r="D9" s="1191"/>
    </row>
    <row r="10" spans="1:11" ht="4.5" customHeight="1" x14ac:dyDescent="0.2">
      <c r="B10" s="1193"/>
      <c r="C10" s="1194"/>
      <c r="D10" s="1191"/>
    </row>
    <row r="11" spans="1:11" x14ac:dyDescent="0.2">
      <c r="B11" s="1195"/>
      <c r="C11" s="1196">
        <v>1</v>
      </c>
      <c r="D11" s="1197" t="s">
        <v>1702</v>
      </c>
      <c r="E11" s="1198"/>
      <c r="F11" s="1198"/>
      <c r="G11" s="1198"/>
      <c r="H11" s="1198"/>
      <c r="I11" s="1198"/>
      <c r="J11" s="1198"/>
      <c r="K11" s="1198"/>
    </row>
    <row r="12" spans="1:11" ht="3" customHeight="1" x14ac:dyDescent="0.2">
      <c r="B12" s="1199"/>
      <c r="C12" s="1196"/>
      <c r="D12" s="1197"/>
      <c r="E12" s="1198"/>
      <c r="F12" s="1198"/>
      <c r="G12" s="1198"/>
      <c r="H12" s="1198"/>
      <c r="I12" s="1198"/>
      <c r="J12" s="1198"/>
      <c r="K12" s="1198"/>
    </row>
    <row r="13" spans="1:11" x14ac:dyDescent="0.2">
      <c r="B13" s="1195"/>
      <c r="C13" s="1196">
        <f>C11+1</f>
        <v>2</v>
      </c>
      <c r="D13" s="1200" t="s">
        <v>1703</v>
      </c>
      <c r="E13" s="1198"/>
      <c r="F13" s="1198"/>
      <c r="G13" s="1198"/>
      <c r="H13" s="1198"/>
      <c r="I13" s="1198"/>
      <c r="J13" s="1198"/>
      <c r="K13" s="1198"/>
    </row>
    <row r="14" spans="1:11" ht="3" customHeight="1" x14ac:dyDescent="0.2">
      <c r="B14" s="1199"/>
      <c r="C14" s="1196"/>
      <c r="D14" s="1200"/>
      <c r="E14" s="1198"/>
      <c r="F14" s="1198"/>
      <c r="G14" s="1198"/>
      <c r="H14" s="1198"/>
      <c r="I14" s="1198"/>
      <c r="J14" s="1198"/>
      <c r="K14" s="1198"/>
    </row>
    <row r="15" spans="1:11" x14ac:dyDescent="0.2">
      <c r="B15" s="1195"/>
      <c r="C15" s="1196">
        <f>C13+1</f>
        <v>3</v>
      </c>
      <c r="D15" s="1197" t="s">
        <v>1704</v>
      </c>
      <c r="E15" s="1198"/>
      <c r="F15" s="1198"/>
      <c r="G15" s="1198"/>
      <c r="H15" s="1198"/>
      <c r="I15" s="1198"/>
      <c r="J15" s="1198"/>
      <c r="K15" s="1198"/>
    </row>
    <row r="16" spans="1:11" ht="10.5" customHeight="1" x14ac:dyDescent="0.2">
      <c r="B16" s="1201"/>
      <c r="D16" s="1200" t="s">
        <v>1223</v>
      </c>
      <c r="E16" s="1198"/>
      <c r="F16" s="1198"/>
      <c r="G16" s="1198"/>
      <c r="H16" s="1198"/>
      <c r="I16" s="1198"/>
      <c r="J16" s="1198"/>
      <c r="K16" s="1198"/>
    </row>
    <row r="17" spans="1:11" ht="3" customHeight="1" x14ac:dyDescent="0.2">
      <c r="B17" s="1201"/>
      <c r="D17" s="1200"/>
      <c r="E17" s="1198"/>
      <c r="F17" s="1198"/>
      <c r="G17" s="1198"/>
      <c r="H17" s="1198"/>
      <c r="I17" s="1198"/>
      <c r="J17" s="1198"/>
      <c r="K17" s="1198"/>
    </row>
    <row r="18" spans="1:11" x14ac:dyDescent="0.2">
      <c r="B18" s="1195"/>
      <c r="C18" s="1196">
        <f>C15+1</f>
        <v>4</v>
      </c>
      <c r="D18" s="1203" t="s">
        <v>1705</v>
      </c>
      <c r="E18" s="1198"/>
      <c r="F18" s="1198"/>
      <c r="G18" s="1198"/>
      <c r="H18" s="1198"/>
      <c r="I18" s="1198"/>
      <c r="J18" s="1198"/>
      <c r="K18" s="1198"/>
    </row>
    <row r="19" spans="1:11" ht="9.75" customHeight="1" x14ac:dyDescent="0.2">
      <c r="A19" s="1192"/>
      <c r="B19" s="1201"/>
      <c r="D19" s="1200" t="s">
        <v>1222</v>
      </c>
      <c r="E19" s="1198"/>
      <c r="F19" s="1198"/>
      <c r="G19" s="1198"/>
      <c r="H19" s="1198"/>
      <c r="I19" s="1198"/>
      <c r="J19" s="1198"/>
      <c r="K19" s="1198"/>
    </row>
    <row r="20" spans="1:11" ht="3" customHeight="1" x14ac:dyDescent="0.2">
      <c r="A20" s="1192"/>
      <c r="B20" s="1201"/>
      <c r="D20" s="1200"/>
      <c r="E20" s="1198"/>
      <c r="F20" s="1198"/>
      <c r="G20" s="1198"/>
      <c r="H20" s="1198"/>
      <c r="I20" s="1198"/>
      <c r="J20" s="1198"/>
      <c r="K20" s="1198"/>
    </row>
    <row r="21" spans="1:11" x14ac:dyDescent="0.2">
      <c r="A21" s="1192"/>
      <c r="B21" s="1195"/>
      <c r="C21" s="1196">
        <f>C18+1</f>
        <v>5</v>
      </c>
      <c r="D21" s="1200" t="s">
        <v>1221</v>
      </c>
      <c r="E21" s="1198"/>
      <c r="F21" s="1198"/>
      <c r="G21" s="1198"/>
      <c r="H21" s="1198"/>
      <c r="I21" s="1198"/>
      <c r="J21" s="1198"/>
      <c r="K21" s="1198"/>
    </row>
    <row r="22" spans="1:11" ht="10.5" customHeight="1" x14ac:dyDescent="0.2">
      <c r="A22" s="1192"/>
      <c r="B22" s="1201"/>
      <c r="D22" s="1200" t="s">
        <v>1220</v>
      </c>
      <c r="E22" s="1198"/>
      <c r="F22" s="1198"/>
      <c r="G22" s="1198"/>
      <c r="H22" s="1198"/>
      <c r="I22" s="1198"/>
      <c r="J22" s="1198"/>
      <c r="K22" s="1198"/>
    </row>
    <row r="23" spans="1:11" ht="3" customHeight="1" x14ac:dyDescent="0.2">
      <c r="A23" s="1192"/>
      <c r="B23" s="1201"/>
      <c r="D23" s="1200"/>
      <c r="E23" s="1198"/>
      <c r="F23" s="1198"/>
      <c r="G23" s="1198"/>
      <c r="H23" s="1198"/>
      <c r="I23" s="1198"/>
      <c r="J23" s="1198"/>
      <c r="K23" s="1198"/>
    </row>
    <row r="24" spans="1:11" x14ac:dyDescent="0.2">
      <c r="A24" s="1192"/>
      <c r="B24" s="1195"/>
      <c r="C24" s="1196">
        <f>C21+1</f>
        <v>6</v>
      </c>
      <c r="D24" s="1204" t="s">
        <v>1726</v>
      </c>
      <c r="E24" s="1198"/>
      <c r="F24" s="1198"/>
      <c r="G24" s="1198"/>
      <c r="H24" s="1198"/>
      <c r="I24" s="1198"/>
      <c r="J24" s="1198"/>
      <c r="K24" s="1198"/>
    </row>
    <row r="25" spans="1:11" x14ac:dyDescent="0.2">
      <c r="A25" s="1192"/>
      <c r="B25" s="1201"/>
      <c r="D25" s="1200" t="s">
        <v>1706</v>
      </c>
      <c r="E25" s="1198"/>
      <c r="F25" s="1198"/>
      <c r="G25" s="1198"/>
      <c r="H25" s="1198"/>
      <c r="I25" s="1198"/>
      <c r="J25" s="1198"/>
      <c r="K25" s="1198"/>
    </row>
    <row r="26" spans="1:11" x14ac:dyDescent="0.2">
      <c r="A26" s="1192"/>
      <c r="B26" s="1201"/>
      <c r="D26" s="1205" t="s">
        <v>1707</v>
      </c>
      <c r="E26" s="1198"/>
      <c r="F26" s="1198"/>
      <c r="G26" s="1198"/>
      <c r="H26" s="1198"/>
      <c r="I26" s="1198"/>
      <c r="J26" s="1198"/>
      <c r="K26" s="1198"/>
    </row>
    <row r="27" spans="1:11" ht="3" customHeight="1" x14ac:dyDescent="0.2">
      <c r="A27" s="1192"/>
      <c r="B27" s="1201"/>
      <c r="D27" s="1205"/>
      <c r="E27" s="1198"/>
      <c r="F27" s="1198"/>
      <c r="G27" s="1198"/>
      <c r="H27" s="1198"/>
      <c r="I27" s="1198"/>
      <c r="J27" s="1198"/>
      <c r="K27" s="1198"/>
    </row>
    <row r="28" spans="1:11" x14ac:dyDescent="0.2">
      <c r="A28" s="1192"/>
      <c r="B28" s="1195"/>
      <c r="C28" s="1202">
        <f>C24+1</f>
        <v>7</v>
      </c>
      <c r="D28" s="1205" t="s">
        <v>1570</v>
      </c>
      <c r="E28" s="1198"/>
      <c r="F28" s="1198"/>
      <c r="G28" s="1198"/>
      <c r="H28" s="1198"/>
      <c r="I28" s="1198"/>
      <c r="J28" s="1198"/>
      <c r="K28" s="1198"/>
    </row>
    <row r="29" spans="1:11" ht="10.5" customHeight="1" x14ac:dyDescent="0.2">
      <c r="A29" s="1192"/>
      <c r="D29" s="1206" t="s">
        <v>1571</v>
      </c>
    </row>
    <row r="30" spans="1:11" ht="6" customHeight="1" x14ac:dyDescent="0.2">
      <c r="A30" s="1192"/>
      <c r="D30" s="1191"/>
    </row>
    <row r="31" spans="1:11" x14ac:dyDescent="0.2">
      <c r="A31" s="1192"/>
      <c r="B31" s="1193" t="s">
        <v>1219</v>
      </c>
      <c r="C31" s="1194"/>
      <c r="D31" s="1191"/>
    </row>
    <row r="32" spans="1:11" ht="4.5" customHeight="1" x14ac:dyDescent="0.2">
      <c r="A32" s="1192"/>
      <c r="B32" s="1193"/>
      <c r="C32" s="1194"/>
      <c r="D32" s="1191"/>
    </row>
    <row r="33" spans="1:5" x14ac:dyDescent="0.2">
      <c r="A33" s="1192"/>
      <c r="B33" s="1195"/>
      <c r="C33" s="1196">
        <v>8</v>
      </c>
      <c r="D33" s="1207" t="s">
        <v>1218</v>
      </c>
    </row>
    <row r="34" spans="1:5" ht="10.5" customHeight="1" x14ac:dyDescent="0.2">
      <c r="A34" s="1192"/>
      <c r="B34" s="1208"/>
      <c r="C34" s="1196"/>
      <c r="D34" s="1207" t="s">
        <v>1572</v>
      </c>
    </row>
    <row r="35" spans="1:5" ht="3" customHeight="1" x14ac:dyDescent="0.2">
      <c r="A35" s="1192"/>
      <c r="B35" s="1201"/>
      <c r="D35" s="1191"/>
    </row>
    <row r="36" spans="1:5" x14ac:dyDescent="0.2">
      <c r="A36" s="1192"/>
      <c r="B36" s="1195"/>
      <c r="C36" s="1196">
        <f>C33+1</f>
        <v>9</v>
      </c>
      <c r="D36" s="1207" t="s">
        <v>1217</v>
      </c>
    </row>
    <row r="37" spans="1:5" ht="10.5" customHeight="1" x14ac:dyDescent="0.2">
      <c r="A37" s="1192"/>
      <c r="B37" s="1201"/>
      <c r="D37" s="1207" t="s">
        <v>1572</v>
      </c>
    </row>
    <row r="38" spans="1:5" ht="3" customHeight="1" x14ac:dyDescent="0.2">
      <c r="A38" s="1192"/>
      <c r="B38" s="1209"/>
      <c r="C38" s="1210"/>
      <c r="D38" s="1191"/>
    </row>
    <row r="39" spans="1:5" x14ac:dyDescent="0.2">
      <c r="A39" s="1192"/>
      <c r="B39" s="1211"/>
      <c r="C39" s="1202">
        <f>C36+1</f>
        <v>10</v>
      </c>
      <c r="D39" s="1191" t="s">
        <v>1216</v>
      </c>
    </row>
    <row r="40" spans="1:5" ht="10.5" customHeight="1" x14ac:dyDescent="0.2">
      <c r="A40" s="1192"/>
      <c r="B40" s="1212"/>
      <c r="C40" s="1210"/>
      <c r="D40" s="1191" t="s">
        <v>1573</v>
      </c>
    </row>
    <row r="41" spans="1:5" ht="3" customHeight="1" x14ac:dyDescent="0.2">
      <c r="A41" s="1192"/>
      <c r="B41" s="1209"/>
      <c r="C41" s="1210"/>
      <c r="D41" s="1191"/>
    </row>
    <row r="42" spans="1:5" ht="10.5" customHeight="1" x14ac:dyDescent="0.2">
      <c r="A42" s="1192"/>
      <c r="B42" s="1211"/>
      <c r="C42" s="1202">
        <v>11</v>
      </c>
      <c r="D42" s="1213" t="s">
        <v>1574</v>
      </c>
      <c r="E42" s="312"/>
    </row>
    <row r="43" spans="1:5" ht="3" customHeight="1" x14ac:dyDescent="0.2">
      <c r="A43" s="1192"/>
      <c r="B43" s="1209"/>
      <c r="C43" s="1210"/>
      <c r="D43" s="1191"/>
    </row>
    <row r="44" spans="1:5" x14ac:dyDescent="0.2">
      <c r="A44" s="1192"/>
      <c r="B44" s="1195"/>
      <c r="C44" s="1196">
        <f>C42+1</f>
        <v>12</v>
      </c>
      <c r="D44" s="1207" t="s">
        <v>1215</v>
      </c>
    </row>
    <row r="45" spans="1:5" ht="10.5" customHeight="1" x14ac:dyDescent="0.2">
      <c r="A45" s="1192"/>
      <c r="B45" s="1208"/>
      <c r="C45" s="1196"/>
      <c r="D45" s="1207" t="s">
        <v>1214</v>
      </c>
    </row>
    <row r="46" spans="1:5" ht="10.5" customHeight="1" x14ac:dyDescent="0.2">
      <c r="A46" s="1192"/>
      <c r="B46" s="1209"/>
      <c r="C46" s="1210"/>
      <c r="D46" s="1207" t="s">
        <v>1213</v>
      </c>
    </row>
    <row r="47" spans="1:5" ht="3" customHeight="1" x14ac:dyDescent="0.2">
      <c r="A47" s="1192"/>
      <c r="B47" s="1209"/>
      <c r="C47" s="1210"/>
      <c r="D47" s="1207"/>
    </row>
    <row r="48" spans="1:5" x14ac:dyDescent="0.2">
      <c r="A48" s="1192"/>
      <c r="B48" s="1195"/>
      <c r="C48" s="1196">
        <f>C44+1</f>
        <v>13</v>
      </c>
      <c r="D48" s="1207" t="s">
        <v>1575</v>
      </c>
    </row>
    <row r="49" spans="1:4" ht="3" customHeight="1" x14ac:dyDescent="0.2">
      <c r="A49" s="1192"/>
      <c r="B49" s="1199"/>
      <c r="C49" s="1196"/>
      <c r="D49" s="1207"/>
    </row>
    <row r="50" spans="1:4" x14ac:dyDescent="0.2">
      <c r="A50" s="1192"/>
      <c r="B50" s="1195"/>
      <c r="C50" s="1196">
        <f>C48+1</f>
        <v>14</v>
      </c>
      <c r="D50" s="1207" t="s">
        <v>1212</v>
      </c>
    </row>
    <row r="51" spans="1:4" ht="3" customHeight="1" x14ac:dyDescent="0.2">
      <c r="A51" s="1192"/>
      <c r="B51" s="1199"/>
      <c r="C51" s="1196"/>
      <c r="D51" s="1207"/>
    </row>
    <row r="52" spans="1:4" x14ac:dyDescent="0.2">
      <c r="A52" s="1192"/>
      <c r="B52" s="1195"/>
      <c r="C52" s="1196">
        <f>C50+1</f>
        <v>15</v>
      </c>
      <c r="D52" s="1207" t="s">
        <v>1211</v>
      </c>
    </row>
    <row r="53" spans="1:4" ht="3" customHeight="1" x14ac:dyDescent="0.2">
      <c r="A53" s="1192"/>
      <c r="B53" s="1199"/>
      <c r="C53" s="1196"/>
      <c r="D53" s="1207"/>
    </row>
    <row r="54" spans="1:4" x14ac:dyDescent="0.2">
      <c r="A54" s="1192"/>
      <c r="B54" s="1195"/>
      <c r="C54" s="1196">
        <f>C52+1</f>
        <v>16</v>
      </c>
      <c r="D54" s="1207" t="s">
        <v>1210</v>
      </c>
    </row>
    <row r="55" spans="1:4" ht="3" customHeight="1" x14ac:dyDescent="0.2">
      <c r="A55" s="1192"/>
      <c r="B55" s="1199"/>
      <c r="C55" s="1196"/>
      <c r="D55" s="1207"/>
    </row>
    <row r="56" spans="1:4" x14ac:dyDescent="0.2">
      <c r="A56" s="1192"/>
      <c r="B56" s="1195"/>
      <c r="C56" s="1196">
        <f>C54+1</f>
        <v>17</v>
      </c>
      <c r="D56" s="1191" t="s">
        <v>1708</v>
      </c>
    </row>
    <row r="57" spans="1:4" ht="10.5" customHeight="1" x14ac:dyDescent="0.2">
      <c r="A57" s="1192"/>
      <c r="D57" s="1207" t="s">
        <v>1709</v>
      </c>
    </row>
    <row r="58" spans="1:4" x14ac:dyDescent="0.2">
      <c r="A58" s="1192"/>
      <c r="C58" s="1214"/>
      <c r="D58" s="1207" t="s">
        <v>1710</v>
      </c>
    </row>
    <row r="59" spans="1:4" ht="10.5" customHeight="1" x14ac:dyDescent="0.2">
      <c r="A59" s="1192"/>
      <c r="D59" s="1191" t="s">
        <v>1209</v>
      </c>
    </row>
    <row r="60" spans="1:4" ht="10.5" customHeight="1" x14ac:dyDescent="0.2">
      <c r="A60" s="1192"/>
      <c r="D60" s="1215" t="s">
        <v>1599</v>
      </c>
    </row>
    <row r="61" spans="1:4" ht="10.5" customHeight="1" x14ac:dyDescent="0.2">
      <c r="A61" s="1192"/>
      <c r="C61" s="1214"/>
      <c r="D61" s="1207" t="s">
        <v>1711</v>
      </c>
    </row>
    <row r="62" spans="1:4" ht="10.5" customHeight="1" x14ac:dyDescent="0.2">
      <c r="A62" s="1192"/>
      <c r="D62" s="1216" t="s">
        <v>1208</v>
      </c>
    </row>
    <row r="63" spans="1:4" ht="10.5" customHeight="1" x14ac:dyDescent="0.2">
      <c r="A63" s="1192"/>
      <c r="D63" s="1191" t="s">
        <v>1576</v>
      </c>
    </row>
    <row r="64" spans="1:4" ht="10.5" customHeight="1" x14ac:dyDescent="0.2">
      <c r="A64" s="1192"/>
      <c r="D64" s="1215" t="s">
        <v>1598</v>
      </c>
    </row>
    <row r="65" spans="1:4" x14ac:dyDescent="0.2">
      <c r="A65" s="1192"/>
      <c r="C65" s="1214"/>
      <c r="D65" s="1207" t="s">
        <v>1712</v>
      </c>
    </row>
    <row r="66" spans="1:4" ht="10.5" customHeight="1" x14ac:dyDescent="0.2">
      <c r="A66" s="1192"/>
      <c r="D66" s="1217" t="s">
        <v>1207</v>
      </c>
    </row>
    <row r="67" spans="1:4" ht="10.5" customHeight="1" x14ac:dyDescent="0.2">
      <c r="A67" s="1192"/>
      <c r="D67" s="1191" t="s">
        <v>1577</v>
      </c>
    </row>
    <row r="68" spans="1:4" ht="10.5" customHeight="1" x14ac:dyDescent="0.2">
      <c r="A68" s="1192"/>
      <c r="D68" s="1215" t="s">
        <v>1598</v>
      </c>
    </row>
    <row r="69" spans="1:4" ht="10.5" customHeight="1" x14ac:dyDescent="0.2">
      <c r="A69" s="1192"/>
      <c r="C69" s="1214"/>
      <c r="D69" s="1207" t="s">
        <v>1713</v>
      </c>
    </row>
    <row r="70" spans="1:4" x14ac:dyDescent="0.2">
      <c r="A70" s="1192"/>
      <c r="D70" s="1216" t="s">
        <v>1206</v>
      </c>
    </row>
    <row r="71" spans="1:4" ht="3" customHeight="1" x14ac:dyDescent="0.2">
      <c r="A71" s="1192"/>
      <c r="D71" s="1191"/>
    </row>
    <row r="72" spans="1:4" x14ac:dyDescent="0.2">
      <c r="A72" s="1192"/>
      <c r="B72" s="1195"/>
      <c r="C72" s="1196">
        <f>C56+1</f>
        <v>18</v>
      </c>
      <c r="D72" s="1217" t="s">
        <v>1714</v>
      </c>
    </row>
    <row r="73" spans="1:4" ht="3" customHeight="1" x14ac:dyDescent="0.2">
      <c r="A73" s="1192"/>
      <c r="B73" s="1199"/>
      <c r="C73" s="1196"/>
      <c r="D73" s="1217"/>
    </row>
    <row r="74" spans="1:4" x14ac:dyDescent="0.2">
      <c r="A74" s="1192"/>
      <c r="B74" s="1195"/>
      <c r="C74" s="1196">
        <f>C72+1</f>
        <v>19</v>
      </c>
      <c r="D74" s="1207" t="s">
        <v>1205</v>
      </c>
    </row>
    <row r="75" spans="1:4" ht="3" customHeight="1" x14ac:dyDescent="0.2">
      <c r="A75" s="1192"/>
      <c r="B75" s="1199"/>
      <c r="C75" s="1196"/>
      <c r="D75" s="1207"/>
    </row>
    <row r="76" spans="1:4" x14ac:dyDescent="0.2">
      <c r="A76" s="1192"/>
      <c r="B76" s="1195"/>
      <c r="C76" s="1196">
        <f>C74+1</f>
        <v>20</v>
      </c>
      <c r="D76" s="1218" t="s">
        <v>1715</v>
      </c>
    </row>
    <row r="77" spans="1:4" ht="3" customHeight="1" x14ac:dyDescent="0.2">
      <c r="A77" s="1192"/>
      <c r="B77" s="1199"/>
      <c r="C77" s="1196"/>
      <c r="D77" s="1218"/>
    </row>
    <row r="78" spans="1:4" x14ac:dyDescent="0.2">
      <c r="A78" s="1192"/>
      <c r="B78" s="1195"/>
      <c r="C78" s="1196">
        <f>C76+1</f>
        <v>21</v>
      </c>
      <c r="D78" s="1191" t="s">
        <v>1716</v>
      </c>
    </row>
    <row r="79" spans="1:4" ht="3" customHeight="1" x14ac:dyDescent="0.2">
      <c r="A79" s="1192"/>
      <c r="B79" s="1199"/>
      <c r="C79" s="1196"/>
      <c r="D79" s="1191"/>
    </row>
    <row r="80" spans="1:4" x14ac:dyDescent="0.2">
      <c r="A80" s="1192"/>
      <c r="B80" s="1195"/>
      <c r="C80" s="1196">
        <f>C78+1</f>
        <v>22</v>
      </c>
      <c r="D80" s="1219" t="s">
        <v>1717</v>
      </c>
    </row>
    <row r="81" spans="1:4" ht="3" customHeight="1" x14ac:dyDescent="0.2">
      <c r="A81" s="1192"/>
      <c r="B81" s="1199"/>
      <c r="C81" s="1196"/>
      <c r="D81" s="1219"/>
    </row>
    <row r="82" spans="1:4" x14ac:dyDescent="0.2">
      <c r="A82" s="1192"/>
      <c r="B82" s="1195"/>
      <c r="C82" s="1196">
        <f>C80+1</f>
        <v>23</v>
      </c>
      <c r="D82" s="1218" t="s">
        <v>1718</v>
      </c>
    </row>
    <row r="83" spans="1:4" ht="10.5" customHeight="1" x14ac:dyDescent="0.2">
      <c r="A83" s="1192"/>
      <c r="B83" s="1201"/>
      <c r="D83" s="1207" t="s">
        <v>1204</v>
      </c>
    </row>
    <row r="84" spans="1:4" ht="3" customHeight="1" x14ac:dyDescent="0.2">
      <c r="A84" s="1192"/>
      <c r="B84" s="1201"/>
      <c r="D84" s="1207"/>
    </row>
    <row r="85" spans="1:4" x14ac:dyDescent="0.2">
      <c r="A85" s="1192"/>
      <c r="B85" s="1195"/>
      <c r="C85" s="1196">
        <f>C82+1</f>
        <v>24</v>
      </c>
      <c r="D85" s="1207" t="s">
        <v>1203</v>
      </c>
    </row>
    <row r="86" spans="1:4" ht="3" customHeight="1" x14ac:dyDescent="0.2">
      <c r="A86" s="1192"/>
      <c r="B86" s="1199"/>
      <c r="C86" s="1196"/>
      <c r="D86" s="1207"/>
    </row>
    <row r="87" spans="1:4" x14ac:dyDescent="0.2">
      <c r="A87" s="1192"/>
      <c r="B87" s="1195"/>
      <c r="C87" s="1196">
        <f>C85+1</f>
        <v>25</v>
      </c>
      <c r="D87" s="1207" t="s">
        <v>1202</v>
      </c>
    </row>
    <row r="88" spans="1:4" ht="3" customHeight="1" x14ac:dyDescent="0.2">
      <c r="A88" s="1192"/>
      <c r="B88" s="1199"/>
      <c r="C88" s="1196"/>
      <c r="D88" s="1207"/>
    </row>
    <row r="89" spans="1:4" x14ac:dyDescent="0.2">
      <c r="A89" s="1192"/>
      <c r="B89" s="1195"/>
      <c r="C89" s="1196">
        <f>C87+1</f>
        <v>26</v>
      </c>
      <c r="D89" s="1207" t="s">
        <v>1201</v>
      </c>
    </row>
    <row r="90" spans="1:4" ht="3" customHeight="1" x14ac:dyDescent="0.2">
      <c r="A90" s="1192"/>
      <c r="B90" s="1199"/>
      <c r="C90" s="1196"/>
      <c r="D90" s="1207"/>
    </row>
    <row r="91" spans="1:4" x14ac:dyDescent="0.2">
      <c r="A91" s="1192"/>
      <c r="B91" s="1195"/>
      <c r="C91" s="1196">
        <f>C89+1</f>
        <v>27</v>
      </c>
      <c r="D91" s="1207" t="s">
        <v>1719</v>
      </c>
    </row>
    <row r="92" spans="1:4" x14ac:dyDescent="0.2">
      <c r="A92" s="1192"/>
      <c r="B92" s="1220"/>
      <c r="C92" s="1214"/>
      <c r="D92" s="1207" t="s">
        <v>1200</v>
      </c>
    </row>
    <row r="93" spans="1:4" ht="4.5" customHeight="1" x14ac:dyDescent="0.2">
      <c r="A93" s="1192"/>
      <c r="D93" s="1191"/>
    </row>
    <row r="94" spans="1:4" x14ac:dyDescent="0.2">
      <c r="A94" s="1192"/>
      <c r="B94" s="1193" t="s">
        <v>1578</v>
      </c>
      <c r="C94" s="1194"/>
      <c r="D94" s="1191"/>
    </row>
    <row r="95" spans="1:4" ht="4.5" customHeight="1" x14ac:dyDescent="0.2">
      <c r="A95" s="1192"/>
      <c r="B95" s="1193"/>
      <c r="C95" s="1194"/>
      <c r="D95" s="1191"/>
    </row>
    <row r="96" spans="1:4" x14ac:dyDescent="0.2">
      <c r="A96" s="1192"/>
      <c r="B96" s="1195"/>
      <c r="C96" s="1196">
        <f>C91+1</f>
        <v>28</v>
      </c>
      <c r="D96" s="1207" t="s">
        <v>1720</v>
      </c>
    </row>
    <row r="97" spans="1:4" ht="3" customHeight="1" x14ac:dyDescent="0.2">
      <c r="A97" s="1192"/>
      <c r="B97" s="1199"/>
      <c r="C97" s="1196"/>
      <c r="D97" s="1207"/>
    </row>
    <row r="98" spans="1:4" x14ac:dyDescent="0.2">
      <c r="A98" s="1192"/>
      <c r="B98" s="1195"/>
      <c r="C98" s="1196">
        <f>C96+1</f>
        <v>29</v>
      </c>
      <c r="D98" s="1221" t="s">
        <v>1721</v>
      </c>
    </row>
    <row r="99" spans="1:4" ht="3" customHeight="1" x14ac:dyDescent="0.2">
      <c r="A99" s="1192"/>
      <c r="B99" s="1199"/>
      <c r="C99" s="1196"/>
      <c r="D99" s="1221"/>
    </row>
    <row r="100" spans="1:4" x14ac:dyDescent="0.2">
      <c r="A100" s="1192"/>
      <c r="B100" s="1195"/>
      <c r="C100" s="1196">
        <f>C98+1</f>
        <v>30</v>
      </c>
      <c r="D100" s="1207" t="s">
        <v>1722</v>
      </c>
    </row>
    <row r="101" spans="1:4" ht="3" customHeight="1" x14ac:dyDescent="0.2">
      <c r="A101" s="1192"/>
      <c r="B101" s="1199"/>
      <c r="C101" s="1196"/>
      <c r="D101" s="1222"/>
    </row>
    <row r="102" spans="1:4" x14ac:dyDescent="0.2">
      <c r="A102" s="1192"/>
      <c r="B102" s="1195"/>
      <c r="C102" s="1196">
        <f>C100+1</f>
        <v>31</v>
      </c>
      <c r="D102" s="1207" t="s">
        <v>1579</v>
      </c>
    </row>
    <row r="103" spans="1:4" ht="4.5" customHeight="1" x14ac:dyDescent="0.2">
      <c r="A103" s="1192"/>
      <c r="B103" s="312"/>
      <c r="C103" s="1196"/>
      <c r="D103" s="1207"/>
    </row>
    <row r="104" spans="1:4" ht="14.1" customHeight="1" x14ac:dyDescent="0.2">
      <c r="A104" s="1192"/>
      <c r="B104" s="1223" t="s">
        <v>1199</v>
      </c>
    </row>
    <row r="105" spans="1:4" ht="4.5" customHeight="1" x14ac:dyDescent="0.2">
      <c r="A105" s="1192"/>
      <c r="B105" s="1223"/>
    </row>
    <row r="106" spans="1:4" x14ac:dyDescent="0.2">
      <c r="A106" s="1192"/>
      <c r="B106" s="1195"/>
      <c r="C106" s="1196">
        <f>C102+1</f>
        <v>32</v>
      </c>
      <c r="D106" s="1191" t="s">
        <v>1580</v>
      </c>
    </row>
    <row r="107" spans="1:4" ht="3" customHeight="1" x14ac:dyDescent="0.2">
      <c r="A107" s="1192"/>
      <c r="B107" s="1199"/>
      <c r="C107" s="1196"/>
      <c r="D107" s="1191"/>
    </row>
    <row r="108" spans="1:4" x14ac:dyDescent="0.2">
      <c r="A108" s="1192"/>
      <c r="B108" s="1195"/>
      <c r="C108" s="1196">
        <v>33</v>
      </c>
      <c r="D108" s="1191" t="s">
        <v>1723</v>
      </c>
    </row>
    <row r="109" spans="1:4" ht="3" customHeight="1" x14ac:dyDescent="0.2">
      <c r="A109" s="1192"/>
      <c r="B109" s="1199"/>
      <c r="C109" s="1196"/>
      <c r="D109" s="1191"/>
    </row>
    <row r="110" spans="1:4" x14ac:dyDescent="0.2">
      <c r="A110" s="1192"/>
      <c r="B110" s="1195"/>
      <c r="C110" s="1196">
        <f>C108+1</f>
        <v>34</v>
      </c>
      <c r="D110" s="1191" t="s">
        <v>1198</v>
      </c>
    </row>
    <row r="111" spans="1:4" ht="3" customHeight="1" x14ac:dyDescent="0.2">
      <c r="A111" s="1192"/>
      <c r="B111" s="1199"/>
      <c r="C111" s="1196"/>
      <c r="D111" s="1191"/>
    </row>
    <row r="112" spans="1:4" x14ac:dyDescent="0.2">
      <c r="A112" s="1192"/>
      <c r="B112" s="1195"/>
      <c r="C112" s="1196">
        <f>C110+1</f>
        <v>35</v>
      </c>
      <c r="D112" s="1191" t="s">
        <v>1197</v>
      </c>
    </row>
    <row r="113" spans="1:4" ht="11.25" customHeight="1" x14ac:dyDescent="0.2">
      <c r="A113" s="1192"/>
      <c r="B113" s="1224"/>
      <c r="C113" s="1196"/>
      <c r="D113" s="1225" t="s">
        <v>1196</v>
      </c>
    </row>
    <row r="114" spans="1:4" ht="3" customHeight="1" x14ac:dyDescent="0.2">
      <c r="A114" s="1192"/>
      <c r="B114" s="1226"/>
      <c r="C114" s="1196"/>
      <c r="D114" s="1225"/>
    </row>
    <row r="115" spans="1:4" x14ac:dyDescent="0.2">
      <c r="A115" s="1192"/>
      <c r="B115" s="1195"/>
      <c r="C115" s="1196">
        <f>C112+1</f>
        <v>36</v>
      </c>
      <c r="D115" s="1207" t="s">
        <v>1195</v>
      </c>
    </row>
    <row r="116" spans="1:4" ht="3" customHeight="1" x14ac:dyDescent="0.2">
      <c r="A116" s="1192"/>
      <c r="B116" s="1199"/>
      <c r="C116" s="1196"/>
      <c r="D116" s="1207"/>
    </row>
    <row r="117" spans="1:4" x14ac:dyDescent="0.2">
      <c r="A117" s="1192"/>
      <c r="B117" s="1195"/>
      <c r="C117" s="1196">
        <f>C115+1</f>
        <v>37</v>
      </c>
      <c r="D117" s="1207" t="s">
        <v>1724</v>
      </c>
    </row>
    <row r="118" spans="1:4" ht="3" customHeight="1" x14ac:dyDescent="0.2">
      <c r="A118" s="1192"/>
      <c r="B118" s="1199"/>
      <c r="C118" s="1196"/>
      <c r="D118" s="1207"/>
    </row>
    <row r="119" spans="1:4" x14ac:dyDescent="0.2">
      <c r="A119" s="1192"/>
      <c r="B119" s="1195"/>
      <c r="C119" s="1196">
        <f>C117+1</f>
        <v>38</v>
      </c>
      <c r="D119" s="1207" t="s">
        <v>1725</v>
      </c>
    </row>
    <row r="120" spans="1:4" ht="10.5" customHeight="1" x14ac:dyDescent="0.2">
      <c r="A120" s="1192"/>
      <c r="B120" s="1220"/>
      <c r="C120" s="1196"/>
      <c r="D120" s="1207" t="s">
        <v>1194</v>
      </c>
    </row>
    <row r="121" spans="1:4" ht="10.5" customHeight="1" x14ac:dyDescent="0.2">
      <c r="A121" s="1192"/>
      <c r="B121" s="1220"/>
      <c r="C121" s="1196"/>
      <c r="D121" s="1207" t="s">
        <v>1193</v>
      </c>
    </row>
    <row r="122" spans="1:4" ht="3" customHeight="1" x14ac:dyDescent="0.2">
      <c r="A122" s="1192"/>
      <c r="B122" s="1220"/>
      <c r="C122" s="1196"/>
      <c r="D122" s="1207"/>
    </row>
    <row r="123" spans="1:4" x14ac:dyDescent="0.2">
      <c r="A123" s="1192"/>
      <c r="B123" s="1195"/>
      <c r="C123" s="1196">
        <f>C119+1</f>
        <v>39</v>
      </c>
      <c r="D123" s="1217" t="s">
        <v>1837</v>
      </c>
    </row>
    <row r="124" spans="1:4" x14ac:dyDescent="0.2">
      <c r="A124" s="1192"/>
      <c r="B124" s="312"/>
      <c r="C124" s="1196"/>
      <c r="D124" s="1207" t="s">
        <v>1192</v>
      </c>
    </row>
    <row r="125" spans="1:4" ht="4.5" customHeight="1" x14ac:dyDescent="0.2">
      <c r="A125" s="1192"/>
      <c r="D125" s="1191"/>
    </row>
    <row r="126" spans="1:4" x14ac:dyDescent="0.2">
      <c r="A126" s="1192"/>
      <c r="B126" s="1227"/>
      <c r="C126" s="1196"/>
      <c r="D126" s="1207"/>
    </row>
    <row r="127" spans="1:4" x14ac:dyDescent="0.2">
      <c r="A127" s="1192"/>
      <c r="D127" s="1207"/>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43" bottom="0.35" header="0.3" footer="0.3"/>
  <pageSetup scale="70" firstPageNumber="36"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E49"/>
  <sheetViews>
    <sheetView showGridLines="0" view="pageBreakPreview" zoomScaleNormal="110" zoomScaleSheetLayoutView="100" workbookViewId="0">
      <selection activeCell="E9" sqref="E9"/>
    </sheetView>
  </sheetViews>
  <sheetFormatPr defaultColWidth="15.7109375" defaultRowHeight="12.75" x14ac:dyDescent="0.2"/>
  <cols>
    <col min="1" max="1" width="31.85546875" style="317" customWidth="1"/>
    <col min="2" max="2" width="29.5703125" style="1228" customWidth="1"/>
    <col min="3" max="3" width="1.28515625" style="1228" customWidth="1"/>
    <col min="4" max="4" width="24.42578125" style="1229" customWidth="1"/>
    <col min="5" max="5" width="5" style="317" customWidth="1"/>
    <col min="6" max="16384" width="15.7109375" style="317"/>
  </cols>
  <sheetData>
    <row r="1" spans="1:5" x14ac:dyDescent="0.2">
      <c r="A1" s="2501" t="str">
        <f>'Single Audit Cover'!A7</f>
        <v>RILEY CCSD 18</v>
      </c>
      <c r="B1" s="2501"/>
      <c r="C1" s="2501"/>
      <c r="D1" s="2501"/>
      <c r="E1" s="2501"/>
    </row>
    <row r="2" spans="1:5" x14ac:dyDescent="0.2">
      <c r="A2" s="2502">
        <f>'Single Audit Cover'!E7</f>
        <v>44063018004</v>
      </c>
      <c r="B2" s="2502"/>
      <c r="C2" s="2502"/>
      <c r="D2" s="2502"/>
      <c r="E2" s="2502"/>
    </row>
    <row r="3" spans="1:5" ht="4.5" customHeight="1" x14ac:dyDescent="0.2"/>
    <row r="4" spans="1:5" x14ac:dyDescent="0.2">
      <c r="A4" s="2501" t="s">
        <v>1245</v>
      </c>
      <c r="B4" s="2501"/>
      <c r="C4" s="2501"/>
      <c r="D4" s="2501"/>
      <c r="E4" s="2501"/>
    </row>
    <row r="5" spans="1:5" x14ac:dyDescent="0.2">
      <c r="A5" s="2504" t="str">
        <f>'Single Audit Cover'!A4</f>
        <v>Year Ending June 30, 2019</v>
      </c>
      <c r="B5" s="2504"/>
      <c r="C5" s="2504"/>
      <c r="D5" s="2504"/>
      <c r="E5" s="2504"/>
    </row>
    <row r="6" spans="1:5" x14ac:dyDescent="0.2">
      <c r="A6" s="2501" t="s">
        <v>1244</v>
      </c>
      <c r="B6" s="2501"/>
      <c r="C6" s="2501"/>
      <c r="D6" s="2501"/>
      <c r="E6" s="2501"/>
    </row>
    <row r="8" spans="1:5" x14ac:dyDescent="0.2">
      <c r="A8" s="1230" t="s">
        <v>1243</v>
      </c>
    </row>
    <row r="10" spans="1:5" x14ac:dyDescent="0.2">
      <c r="A10" s="1231" t="s">
        <v>1242</v>
      </c>
      <c r="B10" s="1232" t="s">
        <v>1241</v>
      </c>
      <c r="C10" s="1232"/>
      <c r="D10" s="1233">
        <f>SUM('Acct Summary 7-8'!C7:K7)</f>
        <v>212909</v>
      </c>
    </row>
    <row r="11" spans="1:5" ht="18" customHeight="1" x14ac:dyDescent="0.2">
      <c r="A11" s="1231" t="s">
        <v>1240</v>
      </c>
      <c r="B11" s="1232"/>
      <c r="C11" s="1232"/>
    </row>
    <row r="12" spans="1:5" x14ac:dyDescent="0.2">
      <c r="A12" s="1231" t="s">
        <v>1239</v>
      </c>
      <c r="B12" s="1232" t="s">
        <v>1238</v>
      </c>
      <c r="C12" s="1232"/>
      <c r="D12" s="1234">
        <f>SUM('Revenues 9-14'!C112:D112,'Revenues 9-14'!F112:G112)</f>
        <v>0</v>
      </c>
    </row>
    <row r="13" spans="1:5" x14ac:dyDescent="0.2">
      <c r="A13" s="1231" t="s">
        <v>1237</v>
      </c>
      <c r="B13" s="1232"/>
      <c r="C13" s="1232"/>
    </row>
    <row r="14" spans="1:5" x14ac:dyDescent="0.2">
      <c r="A14" s="1231" t="s">
        <v>1727</v>
      </c>
      <c r="B14" s="1232"/>
      <c r="C14" s="1232"/>
      <c r="D14" s="1234">
        <f>'ICR Computation 30'!E11</f>
        <v>9281</v>
      </c>
    </row>
    <row r="15" spans="1:5" x14ac:dyDescent="0.2">
      <c r="A15" s="1231"/>
      <c r="B15" s="1232"/>
      <c r="C15" s="1232"/>
    </row>
    <row r="16" spans="1:5" x14ac:dyDescent="0.2">
      <c r="A16" s="1231" t="s">
        <v>1844</v>
      </c>
      <c r="B16" s="1232"/>
      <c r="C16" s="1232"/>
    </row>
    <row r="17" spans="1:4" x14ac:dyDescent="0.2">
      <c r="A17" s="1231" t="s">
        <v>2061</v>
      </c>
      <c r="B17" s="1232" t="s">
        <v>1236</v>
      </c>
      <c r="C17" s="1232"/>
      <c r="D17" s="1234">
        <f>-SUM('Revenues 9-14'!C264:D264,'Revenues 9-14'!F264:G264)</f>
        <v>-9694</v>
      </c>
    </row>
    <row r="19" spans="1:4" ht="13.5" thickBot="1" x14ac:dyDescent="0.25">
      <c r="A19" s="1235" t="s">
        <v>1235</v>
      </c>
      <c r="D19" s="1236">
        <f>SUM(D10:D17)</f>
        <v>212496</v>
      </c>
    </row>
    <row r="20" spans="1:4" ht="21.75" customHeight="1" thickTop="1" x14ac:dyDescent="0.2"/>
    <row r="21" spans="1:4" x14ac:dyDescent="0.2">
      <c r="A21" s="1230" t="s">
        <v>1234</v>
      </c>
    </row>
    <row r="22" spans="1:4" ht="8.25" customHeight="1" x14ac:dyDescent="0.2"/>
    <row r="23" spans="1:4" x14ac:dyDescent="0.2">
      <c r="A23" s="1237" t="s">
        <v>1228</v>
      </c>
    </row>
    <row r="24" spans="1:4" x14ac:dyDescent="0.2">
      <c r="A24" s="2503"/>
      <c r="B24" s="2503"/>
      <c r="D24" s="1238"/>
    </row>
    <row r="25" spans="1:4" x14ac:dyDescent="0.2">
      <c r="A25" s="2500"/>
      <c r="B25" s="2500"/>
      <c r="D25" s="1238"/>
    </row>
    <row r="26" spans="1:4" x14ac:dyDescent="0.2">
      <c r="A26" s="2500"/>
      <c r="B26" s="2500"/>
      <c r="D26" s="1238"/>
    </row>
    <row r="27" spans="1:4" x14ac:dyDescent="0.2">
      <c r="A27" s="2500"/>
      <c r="B27" s="2500"/>
      <c r="D27" s="1238"/>
    </row>
    <row r="28" spans="1:4" x14ac:dyDescent="0.2">
      <c r="A28" s="2500"/>
      <c r="B28" s="2500"/>
      <c r="D28" s="1238"/>
    </row>
    <row r="29" spans="1:4" x14ac:dyDescent="0.2">
      <c r="A29" s="2500"/>
      <c r="B29" s="2500"/>
      <c r="D29" s="1238"/>
    </row>
    <row r="30" spans="1:4" x14ac:dyDescent="0.2">
      <c r="A30" s="2500"/>
      <c r="B30" s="2500"/>
      <c r="D30" s="1238"/>
    </row>
    <row r="32" spans="1:4" x14ac:dyDescent="0.2">
      <c r="A32" s="1230" t="s">
        <v>1233</v>
      </c>
      <c r="D32" s="1233">
        <f>SUM(D19:D30)</f>
        <v>212496</v>
      </c>
    </row>
    <row r="33" spans="1:4" x14ac:dyDescent="0.2">
      <c r="D33" s="1239"/>
    </row>
    <row r="34" spans="1:4" x14ac:dyDescent="0.2">
      <c r="A34" s="317" t="s">
        <v>1232</v>
      </c>
    </row>
    <row r="35" spans="1:4" x14ac:dyDescent="0.2">
      <c r="A35" s="317" t="s">
        <v>1231</v>
      </c>
      <c r="B35" s="1228" t="s">
        <v>1230</v>
      </c>
      <c r="D35" s="1240"/>
    </row>
    <row r="37" spans="1:4" x14ac:dyDescent="0.2">
      <c r="A37" s="1230" t="s">
        <v>1229</v>
      </c>
    </row>
    <row r="39" spans="1:4" ht="13.35" customHeight="1" x14ac:dyDescent="0.2">
      <c r="A39" s="1237" t="s">
        <v>1228</v>
      </c>
    </row>
    <row r="40" spans="1:4" x14ac:dyDescent="0.2">
      <c r="A40" s="2500"/>
      <c r="B40" s="2500"/>
      <c r="D40" s="1238"/>
    </row>
    <row r="41" spans="1:4" x14ac:dyDescent="0.2">
      <c r="A41" s="2500"/>
      <c r="B41" s="2500"/>
      <c r="D41" s="1241"/>
    </row>
    <row r="42" spans="1:4" x14ac:dyDescent="0.2">
      <c r="A42" s="2500"/>
      <c r="B42" s="2500"/>
      <c r="D42" s="1241"/>
    </row>
    <row r="43" spans="1:4" x14ac:dyDescent="0.2">
      <c r="A43" s="2500"/>
      <c r="B43" s="2500"/>
      <c r="D43" s="1241"/>
    </row>
    <row r="44" spans="1:4" x14ac:dyDescent="0.2">
      <c r="A44" s="2500"/>
      <c r="B44" s="2500"/>
      <c r="D44" s="1241"/>
    </row>
    <row r="45" spans="1:4" x14ac:dyDescent="0.2">
      <c r="A45" s="2500"/>
      <c r="B45" s="2500"/>
      <c r="D45" s="1241"/>
    </row>
    <row r="47" spans="1:4" x14ac:dyDescent="0.2">
      <c r="B47" s="1242" t="s">
        <v>1227</v>
      </c>
      <c r="C47" s="1242"/>
      <c r="D47" s="1243">
        <f>SUM(D35:D45)</f>
        <v>0</v>
      </c>
    </row>
    <row r="49" spans="2:4" x14ac:dyDescent="0.2">
      <c r="B49" s="1242" t="s">
        <v>1226</v>
      </c>
      <c r="C49" s="1242"/>
      <c r="D49" s="1243">
        <f>D32-D47</f>
        <v>212496</v>
      </c>
    </row>
  </sheetData>
  <sheetProtection password="F60E"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B1:N152"/>
  <sheetViews>
    <sheetView showGridLines="0" view="pageBreakPreview" zoomScaleNormal="100" zoomScaleSheetLayoutView="100" workbookViewId="0">
      <selection activeCell="O22" sqref="O22"/>
    </sheetView>
  </sheetViews>
  <sheetFormatPr defaultColWidth="33.5703125" defaultRowHeight="12.75" x14ac:dyDescent="0.2"/>
  <cols>
    <col min="1" max="1" width="0.140625" style="317" customWidth="1"/>
    <col min="2" max="2" width="32.85546875" style="317" customWidth="1"/>
    <col min="3" max="3" width="8.7109375" style="1327" customWidth="1"/>
    <col min="4" max="4" width="12.7109375" style="1328" customWidth="1"/>
    <col min="5" max="6" width="11.7109375" style="317" customWidth="1"/>
    <col min="7" max="7" width="11.7109375" style="1228" customWidth="1"/>
    <col min="8" max="8" width="13.7109375" style="1228" bestFit="1" customWidth="1"/>
    <col min="9" max="9" width="11.7109375" style="1228" customWidth="1"/>
    <col min="10" max="10" width="13.7109375" style="1228" customWidth="1"/>
    <col min="11" max="12" width="11.7109375" style="1228" customWidth="1"/>
    <col min="13" max="13" width="11.7109375" style="317" customWidth="1"/>
    <col min="14" max="14" width="2.7109375" style="317" customWidth="1"/>
    <col min="15" max="16384" width="33.5703125" style="317"/>
  </cols>
  <sheetData>
    <row r="1" spans="2:14" ht="11.85" customHeight="1" x14ac:dyDescent="0.2">
      <c r="B1" s="2462" t="str">
        <f>'Single Audit Cover'!A7</f>
        <v>RILEY CCSD 18</v>
      </c>
      <c r="C1" s="2505"/>
      <c r="D1" s="2505"/>
      <c r="E1" s="2505"/>
      <c r="F1" s="2505"/>
      <c r="G1" s="2505"/>
      <c r="H1" s="2505"/>
      <c r="I1" s="2505"/>
      <c r="J1" s="2505"/>
      <c r="K1" s="2505"/>
      <c r="L1" s="2505"/>
      <c r="M1" s="2505"/>
    </row>
    <row r="2" spans="2:14" ht="15" x14ac:dyDescent="0.2">
      <c r="B2" s="2506">
        <f>'Single Audit Cover'!E7</f>
        <v>44063018004</v>
      </c>
      <c r="C2" s="2506"/>
      <c r="D2" s="2506"/>
      <c r="E2" s="2506"/>
      <c r="F2" s="2506"/>
      <c r="G2" s="2506"/>
      <c r="H2" s="2506"/>
      <c r="I2" s="2506"/>
      <c r="J2" s="2506"/>
      <c r="K2" s="2506"/>
      <c r="L2" s="2506"/>
      <c r="M2" s="2506"/>
      <c r="N2" s="1272"/>
    </row>
    <row r="3" spans="2:14" ht="15" x14ac:dyDescent="0.2">
      <c r="B3" s="2507" t="s">
        <v>1219</v>
      </c>
      <c r="C3" s="2507"/>
      <c r="D3" s="2507"/>
      <c r="E3" s="2507"/>
      <c r="F3" s="2507"/>
      <c r="G3" s="2507"/>
      <c r="H3" s="2507"/>
      <c r="I3" s="2507"/>
      <c r="J3" s="2507"/>
      <c r="K3" s="2507"/>
      <c r="L3" s="2507"/>
      <c r="M3" s="2507"/>
      <c r="N3" s="1272"/>
    </row>
    <row r="4" spans="2:14" ht="15" x14ac:dyDescent="0.2">
      <c r="B4" s="2508" t="str">
        <f>'Single Audit Cover'!A4</f>
        <v>Year Ending June 30, 2019</v>
      </c>
      <c r="C4" s="2508"/>
      <c r="D4" s="2508"/>
      <c r="E4" s="2508"/>
      <c r="F4" s="2508"/>
      <c r="G4" s="2508"/>
      <c r="H4" s="2508"/>
      <c r="I4" s="2508"/>
      <c r="J4" s="2508"/>
      <c r="K4" s="2508"/>
      <c r="L4" s="2508"/>
      <c r="M4" s="2508"/>
      <c r="N4" s="1272"/>
    </row>
    <row r="6" spans="2:14" x14ac:dyDescent="0.2">
      <c r="B6" s="1273"/>
      <c r="C6" s="1274"/>
      <c r="D6" s="1275" t="s">
        <v>1265</v>
      </c>
      <c r="E6" s="1276" t="s">
        <v>527</v>
      </c>
      <c r="F6" s="1277"/>
      <c r="G6" s="1278" t="s">
        <v>1734</v>
      </c>
      <c r="H6" s="1276"/>
      <c r="I6" s="1276"/>
      <c r="J6" s="1276"/>
      <c r="K6" s="1279"/>
      <c r="L6" s="1280"/>
      <c r="M6" s="1281"/>
    </row>
    <row r="7" spans="2:14" x14ac:dyDescent="0.2">
      <c r="B7" s="1282" t="s">
        <v>1581</v>
      </c>
      <c r="C7" s="1283"/>
      <c r="D7" s="1284"/>
      <c r="E7" s="1285"/>
      <c r="F7" s="1286"/>
      <c r="G7" s="1285"/>
      <c r="H7" s="1287" t="s">
        <v>1262</v>
      </c>
      <c r="I7" s="1285"/>
      <c r="J7" s="1288" t="s">
        <v>1262</v>
      </c>
      <c r="K7" s="1289"/>
      <c r="L7" s="1290" t="s">
        <v>1260</v>
      </c>
      <c r="M7" s="1291"/>
    </row>
    <row r="8" spans="2:14" x14ac:dyDescent="0.2">
      <c r="B8" s="1638"/>
      <c r="C8" s="1283" t="s">
        <v>1264</v>
      </c>
      <c r="D8" s="1284" t="s">
        <v>1263</v>
      </c>
      <c r="E8" s="1292" t="s">
        <v>1262</v>
      </c>
      <c r="F8" s="1293" t="s">
        <v>1262</v>
      </c>
      <c r="G8" s="1294" t="s">
        <v>1262</v>
      </c>
      <c r="H8" s="1287" t="s">
        <v>1839</v>
      </c>
      <c r="I8" s="1289" t="s">
        <v>1262</v>
      </c>
      <c r="J8" s="1288" t="s">
        <v>1990</v>
      </c>
      <c r="K8" s="1289" t="s">
        <v>1261</v>
      </c>
      <c r="L8" s="1290" t="s">
        <v>1257</v>
      </c>
      <c r="M8" s="1291" t="s">
        <v>30</v>
      </c>
    </row>
    <row r="9" spans="2:14" ht="14.25" x14ac:dyDescent="0.2">
      <c r="B9" s="1295" t="s">
        <v>1259</v>
      </c>
      <c r="C9" s="1283" t="s">
        <v>1735</v>
      </c>
      <c r="D9" s="1284" t="s">
        <v>1736</v>
      </c>
      <c r="E9" s="1292" t="s">
        <v>1839</v>
      </c>
      <c r="F9" s="1293" t="s">
        <v>1990</v>
      </c>
      <c r="G9" s="1294" t="s">
        <v>1839</v>
      </c>
      <c r="H9" s="1287" t="s">
        <v>1582</v>
      </c>
      <c r="I9" s="1289" t="s">
        <v>1990</v>
      </c>
      <c r="J9" s="1288" t="s">
        <v>1582</v>
      </c>
      <c r="K9" s="1289" t="s">
        <v>1258</v>
      </c>
      <c r="L9" s="1296" t="s">
        <v>1583</v>
      </c>
      <c r="M9" s="1291"/>
    </row>
    <row r="10" spans="2:14" ht="11.85" customHeight="1" x14ac:dyDescent="0.2">
      <c r="B10" s="1295" t="s">
        <v>1256</v>
      </c>
      <c r="C10" s="1297" t="s">
        <v>1255</v>
      </c>
      <c r="D10" s="1298" t="s">
        <v>1254</v>
      </c>
      <c r="E10" s="1299" t="s">
        <v>1253</v>
      </c>
      <c r="F10" s="1300" t="s">
        <v>1252</v>
      </c>
      <c r="G10" s="1301" t="s">
        <v>1251</v>
      </c>
      <c r="H10" s="1302" t="s">
        <v>1266</v>
      </c>
      <c r="I10" s="1303" t="s">
        <v>1250</v>
      </c>
      <c r="J10" s="1304" t="s">
        <v>1266</v>
      </c>
      <c r="K10" s="1305" t="s">
        <v>1249</v>
      </c>
      <c r="L10" s="1305" t="s">
        <v>1248</v>
      </c>
      <c r="M10" s="1306" t="s">
        <v>1247</v>
      </c>
    </row>
    <row r="11" spans="2:14" ht="20.100000000000001" customHeight="1" x14ac:dyDescent="0.2">
      <c r="B11" s="1307"/>
      <c r="C11" s="1308"/>
      <c r="D11" s="1309"/>
      <c r="E11" s="1310"/>
      <c r="F11" s="1310"/>
      <c r="G11" s="1310"/>
      <c r="H11" s="1310"/>
      <c r="I11" s="1310"/>
      <c r="J11" s="1310"/>
      <c r="K11" s="1310"/>
      <c r="L11" s="1310">
        <f>+G11+I11+K11</f>
        <v>0</v>
      </c>
      <c r="M11" s="1310"/>
    </row>
    <row r="12" spans="2:14" ht="20.100000000000001" customHeight="1" x14ac:dyDescent="0.2">
      <c r="B12" s="1307"/>
      <c r="C12" s="1311"/>
      <c r="D12" s="1312"/>
      <c r="E12" s="1313"/>
      <c r="F12" s="1313"/>
      <c r="G12" s="1313"/>
      <c r="H12" s="1313"/>
      <c r="I12" s="1313"/>
      <c r="J12" s="1313"/>
      <c r="K12" s="1313"/>
      <c r="L12" s="1310">
        <f t="shared" ref="L12:L27" si="0">+G12+I12+K12</f>
        <v>0</v>
      </c>
      <c r="M12" s="1313"/>
    </row>
    <row r="13" spans="2:14" ht="20.100000000000001" customHeight="1" x14ac:dyDescent="0.2">
      <c r="B13" s="1307"/>
      <c r="C13" s="1311"/>
      <c r="D13" s="1312"/>
      <c r="E13" s="1313"/>
      <c r="F13" s="1313"/>
      <c r="G13" s="1313"/>
      <c r="H13" s="1313"/>
      <c r="I13" s="1313"/>
      <c r="J13" s="1313"/>
      <c r="K13" s="1313"/>
      <c r="L13" s="1310">
        <f t="shared" si="0"/>
        <v>0</v>
      </c>
      <c r="M13" s="1313"/>
    </row>
    <row r="14" spans="2:14" ht="20.100000000000001" customHeight="1" x14ac:dyDescent="0.2">
      <c r="B14" s="1307"/>
      <c r="C14" s="1311"/>
      <c r="D14" s="1312"/>
      <c r="E14" s="1313"/>
      <c r="F14" s="1313"/>
      <c r="G14" s="1313"/>
      <c r="H14" s="1313"/>
      <c r="I14" s="1313"/>
      <c r="J14" s="1313"/>
      <c r="K14" s="1313"/>
      <c r="L14" s="1310">
        <f t="shared" si="0"/>
        <v>0</v>
      </c>
      <c r="M14" s="1313"/>
    </row>
    <row r="15" spans="2:14" ht="20.100000000000001" customHeight="1" x14ac:dyDescent="0.2">
      <c r="B15" s="1307" t="s">
        <v>1169</v>
      </c>
      <c r="C15" s="1311"/>
      <c r="D15" s="1312"/>
      <c r="E15" s="1313"/>
      <c r="F15" s="1313"/>
      <c r="G15" s="1313"/>
      <c r="H15" s="1313"/>
      <c r="I15" s="1313"/>
      <c r="J15" s="1313"/>
      <c r="K15" s="1313"/>
      <c r="L15" s="1310">
        <f t="shared" si="0"/>
        <v>0</v>
      </c>
      <c r="M15" s="1313"/>
    </row>
    <row r="16" spans="2:14" ht="20.100000000000001" customHeight="1" x14ac:dyDescent="0.2">
      <c r="B16" s="1307"/>
      <c r="C16" s="1311"/>
      <c r="D16" s="1312"/>
      <c r="E16" s="1313"/>
      <c r="F16" s="1313"/>
      <c r="G16" s="1313"/>
      <c r="H16" s="1313"/>
      <c r="I16" s="1313"/>
      <c r="J16" s="1313"/>
      <c r="K16" s="1313"/>
      <c r="L16" s="1310">
        <f t="shared" si="0"/>
        <v>0</v>
      </c>
      <c r="M16" s="1313"/>
    </row>
    <row r="17" spans="2:14" ht="20.100000000000001" customHeight="1" x14ac:dyDescent="0.2">
      <c r="B17" s="1307"/>
      <c r="C17" s="1311"/>
      <c r="D17" s="1312"/>
      <c r="E17" s="1313"/>
      <c r="F17" s="1313"/>
      <c r="G17" s="1313"/>
      <c r="H17" s="1313"/>
      <c r="I17" s="1313"/>
      <c r="J17" s="1313"/>
      <c r="K17" s="1313"/>
      <c r="L17" s="1310">
        <f t="shared" si="0"/>
        <v>0</v>
      </c>
      <c r="M17" s="1313"/>
    </row>
    <row r="18" spans="2:14" ht="20.100000000000001" customHeight="1" x14ac:dyDescent="0.2">
      <c r="B18" s="1307"/>
      <c r="C18" s="1311"/>
      <c r="D18" s="1312"/>
      <c r="E18" s="1313"/>
      <c r="F18" s="1313"/>
      <c r="G18" s="1313"/>
      <c r="H18" s="1313"/>
      <c r="I18" s="1313"/>
      <c r="J18" s="1313"/>
      <c r="K18" s="1313"/>
      <c r="L18" s="1310">
        <f t="shared" si="0"/>
        <v>0</v>
      </c>
      <c r="M18" s="1313"/>
    </row>
    <row r="19" spans="2:14" ht="20.100000000000001" customHeight="1" x14ac:dyDescent="0.2">
      <c r="B19" s="1307"/>
      <c r="C19" s="1311"/>
      <c r="D19" s="1312"/>
      <c r="E19" s="1313"/>
      <c r="F19" s="1313"/>
      <c r="G19" s="1313"/>
      <c r="H19" s="1313"/>
      <c r="I19" s="1313"/>
      <c r="J19" s="1313"/>
      <c r="K19" s="1313"/>
      <c r="L19" s="1310">
        <f t="shared" si="0"/>
        <v>0</v>
      </c>
      <c r="M19" s="1313"/>
    </row>
    <row r="20" spans="2:14" ht="20.100000000000001" customHeight="1" x14ac:dyDescent="0.2">
      <c r="B20" s="1307"/>
      <c r="C20" s="1311"/>
      <c r="D20" s="1312"/>
      <c r="E20" s="1313"/>
      <c r="F20" s="1313"/>
      <c r="G20" s="1313"/>
      <c r="H20" s="1313"/>
      <c r="I20" s="1313"/>
      <c r="J20" s="1313"/>
      <c r="K20" s="1313"/>
      <c r="L20" s="1310">
        <f t="shared" si="0"/>
        <v>0</v>
      </c>
      <c r="M20" s="1313"/>
    </row>
    <row r="21" spans="2:14" ht="20.100000000000001" customHeight="1" x14ac:dyDescent="0.2">
      <c r="B21" s="1307"/>
      <c r="C21" s="1311"/>
      <c r="D21" s="1312"/>
      <c r="E21" s="1313"/>
      <c r="F21" s="1313"/>
      <c r="G21" s="1313"/>
      <c r="H21" s="1313"/>
      <c r="I21" s="1313"/>
      <c r="J21" s="1313"/>
      <c r="K21" s="1313"/>
      <c r="L21" s="1310">
        <f t="shared" si="0"/>
        <v>0</v>
      </c>
      <c r="M21" s="1313"/>
    </row>
    <row r="22" spans="2:14" ht="20.100000000000001" customHeight="1" x14ac:dyDescent="0.2">
      <c r="B22" s="1307"/>
      <c r="C22" s="1311"/>
      <c r="D22" s="1312"/>
      <c r="E22" s="1313"/>
      <c r="F22" s="1313"/>
      <c r="G22" s="1313"/>
      <c r="H22" s="1313"/>
      <c r="I22" s="1313"/>
      <c r="J22" s="1313"/>
      <c r="K22" s="1313"/>
      <c r="L22" s="1310">
        <f t="shared" si="0"/>
        <v>0</v>
      </c>
      <c r="M22" s="1313"/>
    </row>
    <row r="23" spans="2:14" ht="20.100000000000001" customHeight="1" x14ac:dyDescent="0.2">
      <c r="B23" s="1307"/>
      <c r="C23" s="1311"/>
      <c r="D23" s="1312"/>
      <c r="E23" s="1313"/>
      <c r="F23" s="1313"/>
      <c r="G23" s="1313"/>
      <c r="H23" s="1313"/>
      <c r="I23" s="1313"/>
      <c r="J23" s="1313"/>
      <c r="K23" s="1313"/>
      <c r="L23" s="1310">
        <f t="shared" si="0"/>
        <v>0</v>
      </c>
      <c r="M23" s="1313"/>
    </row>
    <row r="24" spans="2:14" ht="20.100000000000001" customHeight="1" x14ac:dyDescent="0.2">
      <c r="B24" s="1307"/>
      <c r="C24" s="1311"/>
      <c r="D24" s="1312"/>
      <c r="E24" s="1313"/>
      <c r="F24" s="1313"/>
      <c r="G24" s="1313"/>
      <c r="H24" s="1313"/>
      <c r="I24" s="1313"/>
      <c r="J24" s="1313"/>
      <c r="K24" s="1313"/>
      <c r="L24" s="1310">
        <f t="shared" si="0"/>
        <v>0</v>
      </c>
      <c r="M24" s="1313"/>
    </row>
    <row r="25" spans="2:14" ht="20.100000000000001" customHeight="1" x14ac:dyDescent="0.2">
      <c r="B25" s="1307"/>
      <c r="C25" s="1311"/>
      <c r="D25" s="1312"/>
      <c r="E25" s="1313"/>
      <c r="F25" s="1313"/>
      <c r="G25" s="1313"/>
      <c r="H25" s="1313"/>
      <c r="I25" s="1313"/>
      <c r="J25" s="1313"/>
      <c r="K25" s="1313"/>
      <c r="L25" s="1310">
        <f t="shared" si="0"/>
        <v>0</v>
      </c>
      <c r="M25" s="1313"/>
    </row>
    <row r="26" spans="2:14" ht="20.100000000000001" customHeight="1" x14ac:dyDescent="0.2">
      <c r="B26" s="1307"/>
      <c r="C26" s="1311"/>
      <c r="D26" s="1312"/>
      <c r="E26" s="1313"/>
      <c r="F26" s="1313"/>
      <c r="G26" s="1313"/>
      <c r="H26" s="1313"/>
      <c r="I26" s="1313"/>
      <c r="J26" s="1313"/>
      <c r="K26" s="1313"/>
      <c r="L26" s="1310">
        <f t="shared" si="0"/>
        <v>0</v>
      </c>
      <c r="M26" s="1313"/>
    </row>
    <row r="27" spans="2:14" ht="20.100000000000001" customHeight="1" x14ac:dyDescent="0.2">
      <c r="B27" s="1307"/>
      <c r="C27" s="1311"/>
      <c r="D27" s="1312"/>
      <c r="E27" s="1313"/>
      <c r="F27" s="1313"/>
      <c r="G27" s="1313"/>
      <c r="H27" s="1313"/>
      <c r="I27" s="1313"/>
      <c r="J27" s="1313"/>
      <c r="K27" s="1313"/>
      <c r="L27" s="1310">
        <f t="shared" si="0"/>
        <v>0</v>
      </c>
      <c r="M27" s="1313"/>
      <c r="N27" s="1314"/>
    </row>
    <row r="28" spans="2:14" ht="12.75" customHeight="1" x14ac:dyDescent="0.2">
      <c r="B28" s="1315"/>
      <c r="C28" s="1316"/>
      <c r="D28" s="1317"/>
      <c r="E28" s="1318"/>
      <c r="F28" s="1318"/>
      <c r="G28" s="1318"/>
      <c r="H28" s="1318"/>
      <c r="I28" s="1318"/>
      <c r="J28" s="1318"/>
      <c r="K28" s="1318"/>
      <c r="L28" s="1318"/>
      <c r="M28" s="1318"/>
      <c r="N28" s="1314"/>
    </row>
    <row r="29" spans="2:14" x14ac:dyDescent="0.2">
      <c r="B29" s="1227"/>
      <c r="C29" s="1319"/>
      <c r="D29" s="1320"/>
      <c r="E29" s="1227"/>
      <c r="F29" s="1227"/>
      <c r="G29" s="1220"/>
      <c r="H29" s="1220"/>
      <c r="I29" s="1220"/>
      <c r="J29" s="1220"/>
      <c r="K29" s="1220"/>
      <c r="L29" s="1220"/>
      <c r="M29" s="1227"/>
      <c r="N29" s="1314"/>
    </row>
    <row r="30" spans="2:14" ht="13.5" customHeight="1" x14ac:dyDescent="0.2">
      <c r="B30" s="1252" t="s">
        <v>1737</v>
      </c>
      <c r="C30" s="1319"/>
      <c r="D30" s="1320"/>
      <c r="E30" s="1227"/>
      <c r="F30" s="1227"/>
      <c r="G30" s="1220"/>
      <c r="H30" s="1220"/>
      <c r="I30" s="1220"/>
      <c r="J30" s="1220"/>
      <c r="K30" s="1220"/>
      <c r="L30" s="1220"/>
      <c r="M30" s="1227"/>
      <c r="N30" s="1314"/>
    </row>
    <row r="31" spans="2:14" ht="8.25" customHeight="1" x14ac:dyDescent="0.2">
      <c r="B31" s="1252"/>
      <c r="C31" s="1319"/>
      <c r="D31" s="1320"/>
      <c r="E31" s="1227"/>
      <c r="F31" s="1227"/>
      <c r="G31" s="1220"/>
      <c r="H31" s="1220"/>
      <c r="I31" s="1220"/>
      <c r="J31" s="1220"/>
      <c r="K31" s="1220"/>
      <c r="L31" s="1220"/>
      <c r="M31" s="1227"/>
      <c r="N31" s="1314"/>
    </row>
    <row r="32" spans="2:14" x14ac:dyDescent="0.2">
      <c r="B32" s="1321" t="s">
        <v>1840</v>
      </c>
      <c r="C32" s="1322"/>
      <c r="D32" s="1323"/>
      <c r="E32" s="1324"/>
      <c r="F32" s="1324"/>
      <c r="G32" s="1324"/>
      <c r="H32" s="1324"/>
      <c r="I32" s="317"/>
      <c r="J32" s="317"/>
    </row>
    <row r="33" spans="2:13" x14ac:dyDescent="0.2">
      <c r="B33" s="1247"/>
      <c r="C33" s="1325"/>
      <c r="D33" s="1326"/>
      <c r="E33" s="1248"/>
      <c r="F33" s="1248"/>
      <c r="G33" s="317"/>
      <c r="H33" s="317"/>
      <c r="I33" s="317"/>
      <c r="J33" s="317"/>
    </row>
    <row r="34" spans="2:13" ht="13.5" customHeight="1" x14ac:dyDescent="0.2">
      <c r="B34" s="1246" t="s">
        <v>1246</v>
      </c>
      <c r="G34" s="317"/>
      <c r="H34" s="317"/>
      <c r="I34" s="317"/>
      <c r="J34" s="317"/>
    </row>
    <row r="35" spans="2:13" ht="13.5" customHeight="1" x14ac:dyDescent="0.2">
      <c r="B35" s="1329"/>
      <c r="C35" s="1330"/>
      <c r="D35" s="1331"/>
      <c r="E35" s="1267"/>
      <c r="F35" s="1267"/>
      <c r="G35" s="1267"/>
      <c r="H35" s="1267"/>
      <c r="I35" s="1267"/>
      <c r="J35" s="1267"/>
      <c r="K35" s="1332"/>
      <c r="L35" s="1332"/>
      <c r="M35" s="1267"/>
    </row>
    <row r="36" spans="2:13" ht="9.6" customHeight="1" x14ac:dyDescent="0.2">
      <c r="B36" s="1333"/>
      <c r="G36" s="317"/>
      <c r="H36" s="317"/>
      <c r="I36" s="317"/>
      <c r="J36" s="317"/>
    </row>
    <row r="37" spans="2:13" ht="11.25" customHeight="1" x14ac:dyDescent="0.2">
      <c r="B37" s="1334" t="s">
        <v>1738</v>
      </c>
      <c r="C37" s="1335"/>
      <c r="D37" s="1335"/>
      <c r="E37" s="1335"/>
      <c r="F37" s="1335"/>
      <c r="G37" s="1335"/>
      <c r="H37" s="1335"/>
      <c r="I37" s="1336"/>
      <c r="J37" s="1336"/>
      <c r="K37" s="1336"/>
      <c r="L37" s="1336"/>
      <c r="M37" s="1336"/>
    </row>
    <row r="38" spans="2:13" ht="11.25" customHeight="1" x14ac:dyDescent="0.2">
      <c r="B38" s="1337" t="s">
        <v>1584</v>
      </c>
      <c r="C38" s="1336"/>
      <c r="D38" s="1336"/>
      <c r="E38" s="1336"/>
      <c r="F38" s="1336"/>
      <c r="G38" s="1336"/>
      <c r="H38" s="1336"/>
      <c r="I38" s="1336"/>
      <c r="J38" s="1336"/>
      <c r="K38" s="1336"/>
      <c r="L38" s="1336"/>
      <c r="M38" s="1336"/>
    </row>
    <row r="39" spans="2:13" ht="3.95" customHeight="1" x14ac:dyDescent="0.2">
      <c r="B39" s="1337"/>
      <c r="C39" s="1336"/>
      <c r="D39" s="1336"/>
      <c r="E39" s="1336"/>
      <c r="F39" s="1336"/>
      <c r="G39" s="1336"/>
      <c r="H39" s="1336"/>
      <c r="I39" s="1336"/>
      <c r="J39" s="1336"/>
      <c r="K39" s="1336"/>
      <c r="L39" s="1336"/>
      <c r="M39" s="1336"/>
    </row>
    <row r="40" spans="2:13" ht="11.25" customHeight="1" x14ac:dyDescent="0.2">
      <c r="B40" s="1334" t="s">
        <v>1739</v>
      </c>
      <c r="C40" s="1336"/>
      <c r="D40" s="1336"/>
      <c r="E40" s="1336"/>
      <c r="F40" s="1336"/>
      <c r="G40" s="1336"/>
      <c r="H40" s="1336"/>
      <c r="I40" s="1336"/>
      <c r="J40" s="1336"/>
      <c r="K40" s="1336"/>
      <c r="L40" s="1336"/>
      <c r="M40" s="1336"/>
    </row>
    <row r="41" spans="2:13" ht="11.25" customHeight="1" x14ac:dyDescent="0.2">
      <c r="B41" s="1270" t="s">
        <v>1585</v>
      </c>
      <c r="C41" s="1338"/>
      <c r="D41" s="1339"/>
      <c r="E41" s="1270"/>
      <c r="F41" s="1270"/>
      <c r="G41" s="1270"/>
      <c r="H41" s="1270"/>
      <c r="I41" s="1270"/>
      <c r="J41" s="1270"/>
      <c r="K41" s="1340"/>
      <c r="L41" s="1340"/>
      <c r="M41" s="1270"/>
    </row>
    <row r="42" spans="2:13" ht="3.95" customHeight="1" x14ac:dyDescent="0.2">
      <c r="B42" s="1270"/>
      <c r="C42" s="1338"/>
      <c r="D42" s="1339"/>
      <c r="E42" s="1270"/>
      <c r="F42" s="1270"/>
      <c r="G42" s="1270"/>
      <c r="H42" s="1270"/>
      <c r="I42" s="1270"/>
      <c r="J42" s="1270"/>
      <c r="K42" s="1340"/>
      <c r="L42" s="1340"/>
      <c r="M42" s="1270"/>
    </row>
    <row r="43" spans="2:13" ht="11.25" customHeight="1" x14ac:dyDescent="0.2">
      <c r="B43" s="1341" t="s">
        <v>1740</v>
      </c>
      <c r="C43" s="1338"/>
      <c r="D43" s="1339"/>
      <c r="E43" s="1270"/>
      <c r="F43" s="1270"/>
      <c r="G43" s="1270"/>
      <c r="H43" s="1270"/>
      <c r="I43" s="1270"/>
      <c r="J43" s="1270"/>
      <c r="K43" s="1340"/>
      <c r="L43" s="1340"/>
      <c r="M43" s="1270"/>
    </row>
    <row r="44" spans="2:13" ht="3.95" customHeight="1" x14ac:dyDescent="0.2">
      <c r="B44" s="1341"/>
      <c r="C44" s="1338"/>
      <c r="D44" s="1339"/>
      <c r="E44" s="1270"/>
      <c r="F44" s="1270"/>
      <c r="G44" s="1270"/>
      <c r="H44" s="1270"/>
      <c r="I44" s="1270"/>
      <c r="J44" s="1270"/>
      <c r="K44" s="1340"/>
      <c r="L44" s="1340"/>
      <c r="M44" s="1270"/>
    </row>
    <row r="45" spans="2:13" ht="11.25" customHeight="1" x14ac:dyDescent="0.2">
      <c r="B45" s="1342" t="s">
        <v>1741</v>
      </c>
      <c r="C45" s="1338"/>
      <c r="D45" s="1339"/>
      <c r="E45" s="1270"/>
      <c r="F45" s="1270"/>
      <c r="G45" s="1270"/>
      <c r="H45" s="1270"/>
      <c r="I45" s="1270"/>
      <c r="J45" s="1270"/>
      <c r="K45" s="1340"/>
      <c r="L45" s="1340"/>
      <c r="M45" s="1270"/>
    </row>
    <row r="46" spans="2:13" ht="11.25" customHeight="1" x14ac:dyDescent="0.2">
      <c r="B46" s="1270" t="s">
        <v>1586</v>
      </c>
      <c r="G46" s="317"/>
      <c r="H46" s="317"/>
      <c r="I46" s="317"/>
      <c r="J46" s="317"/>
    </row>
    <row r="47" spans="2:13" ht="11.1" customHeight="1" x14ac:dyDescent="0.2">
      <c r="B47" s="1270"/>
      <c r="G47" s="317"/>
      <c r="H47" s="317"/>
      <c r="I47" s="317"/>
      <c r="J47" s="317"/>
    </row>
    <row r="48" spans="2:13" ht="11.1" customHeight="1" x14ac:dyDescent="0.2">
      <c r="B48" s="1270"/>
      <c r="G48" s="317"/>
      <c r="H48" s="317"/>
      <c r="I48" s="317"/>
      <c r="J48" s="317"/>
    </row>
    <row r="49" spans="7:13" ht="13.5" customHeight="1" x14ac:dyDescent="0.2">
      <c r="M49" s="1343"/>
    </row>
    <row r="50" spans="7:13" ht="13.5" customHeight="1" x14ac:dyDescent="0.2">
      <c r="M50" s="1343"/>
    </row>
    <row r="51" spans="7:13" ht="13.5" customHeight="1" x14ac:dyDescent="0.2">
      <c r="M51" s="134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33" header="0.25" footer="0.25"/>
  <pageSetup scale="84"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pageSetUpPr fitToPage="1"/>
  </sheetPr>
  <dimension ref="A1:G52"/>
  <sheetViews>
    <sheetView showGridLines="0" view="pageBreakPreview" zoomScaleNormal="120" zoomScaleSheetLayoutView="100" workbookViewId="0">
      <selection activeCell="AF22" sqref="AF22"/>
    </sheetView>
  </sheetViews>
  <sheetFormatPr defaultColWidth="8" defaultRowHeight="12.75" x14ac:dyDescent="0.2"/>
  <cols>
    <col min="1" max="1" width="1.42578125" style="317" customWidth="1"/>
    <col min="2" max="2" width="53.28515625" style="317" customWidth="1"/>
    <col min="3" max="3" width="14" style="1228" customWidth="1"/>
    <col min="4" max="4" width="16.7109375" style="1228" customWidth="1"/>
    <col min="5" max="5" width="7.5703125" style="317" customWidth="1"/>
    <col min="6" max="6" width="2.7109375" style="317" customWidth="1"/>
    <col min="7" max="7" width="3.28515625" style="317" customWidth="1"/>
    <col min="8" max="16384" width="8" style="317"/>
  </cols>
  <sheetData>
    <row r="1" spans="1:7" ht="13.5" customHeight="1" x14ac:dyDescent="0.2">
      <c r="A1" s="2510" t="str">
        <f>'Single Audit Cover'!A7</f>
        <v>RILEY CCSD 18</v>
      </c>
      <c r="B1" s="2510"/>
      <c r="C1" s="2510"/>
      <c r="D1" s="2510"/>
      <c r="E1" s="2510"/>
      <c r="F1" s="2510"/>
    </row>
    <row r="2" spans="1:7" ht="13.5" customHeight="1" x14ac:dyDescent="0.2">
      <c r="A2" s="2506">
        <f>'Single Audit Cover'!E7</f>
        <v>44063018004</v>
      </c>
      <c r="B2" s="2506"/>
      <c r="C2" s="2506"/>
      <c r="D2" s="2506"/>
      <c r="E2" s="2506"/>
      <c r="F2" s="2506"/>
      <c r="G2" s="1245"/>
    </row>
    <row r="3" spans="1:7" ht="15.75" customHeight="1" x14ac:dyDescent="0.2">
      <c r="A3" s="2511" t="s">
        <v>1271</v>
      </c>
      <c r="B3" s="2511"/>
      <c r="C3" s="2511"/>
      <c r="D3" s="2511"/>
      <c r="E3" s="2511"/>
      <c r="F3" s="2511"/>
    </row>
    <row r="4" spans="1:7" ht="13.5" customHeight="1" x14ac:dyDescent="0.2">
      <c r="A4" s="2512" t="str">
        <f>'Single Audit Cover'!A4</f>
        <v>Year Ending June 30, 2019</v>
      </c>
      <c r="B4" s="2512"/>
      <c r="C4" s="2512"/>
      <c r="D4" s="2512"/>
      <c r="E4" s="2512"/>
      <c r="F4" s="2512"/>
    </row>
    <row r="5" spans="1:7" ht="8.25" customHeight="1" x14ac:dyDescent="0.2">
      <c r="C5" s="317"/>
      <c r="D5" s="317"/>
    </row>
    <row r="6" spans="1:7" ht="13.5" customHeight="1" x14ac:dyDescent="0.2">
      <c r="A6" s="1246" t="s">
        <v>1728</v>
      </c>
      <c r="C6" s="317"/>
      <c r="D6" s="317"/>
    </row>
    <row r="7" spans="1:7" ht="60.95" customHeight="1" x14ac:dyDescent="0.2">
      <c r="A7" s="2509" t="s">
        <v>1729</v>
      </c>
      <c r="B7" s="2509"/>
      <c r="C7" s="2509"/>
      <c r="D7" s="2509"/>
      <c r="E7" s="2509"/>
      <c r="F7" s="2509"/>
    </row>
    <row r="8" spans="1:7" ht="12" customHeight="1" x14ac:dyDescent="0.2">
      <c r="A8" s="1246"/>
      <c r="B8" s="1252"/>
      <c r="C8" s="1252"/>
      <c r="D8" s="1252"/>
    </row>
    <row r="9" spans="1:7" ht="15" customHeight="1" x14ac:dyDescent="0.2">
      <c r="A9" s="1247" t="s">
        <v>1730</v>
      </c>
      <c r="B9" s="1250"/>
      <c r="C9" s="1250"/>
      <c r="D9" s="1250"/>
      <c r="E9" s="1248"/>
      <c r="F9" s="1248"/>
      <c r="G9" s="1248"/>
    </row>
    <row r="10" spans="1:7" ht="15" customHeight="1" x14ac:dyDescent="0.2">
      <c r="A10" s="1249" t="s">
        <v>1547</v>
      </c>
      <c r="B10" s="1250"/>
      <c r="C10" s="1251"/>
      <c r="D10" s="1250" t="s">
        <v>1548</v>
      </c>
      <c r="E10" s="1251"/>
      <c r="F10" s="1250" t="s">
        <v>99</v>
      </c>
      <c r="G10" s="1248"/>
    </row>
    <row r="11" spans="1:7" ht="12" customHeight="1" x14ac:dyDescent="0.2">
      <c r="A11" s="1249"/>
      <c r="B11" s="1250"/>
      <c r="C11" s="1875"/>
      <c r="D11" s="1250"/>
      <c r="E11" s="1875"/>
      <c r="F11" s="1250"/>
      <c r="G11" s="1248"/>
    </row>
    <row r="12" spans="1:7" x14ac:dyDescent="0.2">
      <c r="A12" s="1246" t="s">
        <v>1587</v>
      </c>
      <c r="C12" s="1230"/>
      <c r="D12" s="1230"/>
    </row>
    <row r="13" spans="1:7" ht="15" customHeight="1" x14ac:dyDescent="0.2">
      <c r="A13" s="2509" t="s">
        <v>1731</v>
      </c>
      <c r="B13" s="2509"/>
      <c r="C13" s="2509"/>
      <c r="D13" s="2509"/>
      <c r="E13" s="2509"/>
      <c r="F13" s="2509"/>
    </row>
    <row r="14" spans="1:7" ht="9.75" customHeight="1" x14ac:dyDescent="0.2">
      <c r="C14" s="1230"/>
      <c r="D14" s="1230"/>
    </row>
    <row r="15" spans="1:7" ht="13.5" customHeight="1" x14ac:dyDescent="0.2">
      <c r="C15" s="1819" t="s">
        <v>1270</v>
      </c>
      <c r="D15" s="2514" t="s">
        <v>1269</v>
      </c>
      <c r="E15" s="2514"/>
      <c r="F15" s="2514"/>
    </row>
    <row r="16" spans="1:7" ht="13.5" customHeight="1" x14ac:dyDescent="0.2">
      <c r="A16" s="1252"/>
      <c r="B16" s="1246" t="s">
        <v>1268</v>
      </c>
      <c r="C16" s="1819" t="s">
        <v>1267</v>
      </c>
      <c r="D16" s="2515" t="s">
        <v>1588</v>
      </c>
      <c r="E16" s="2515"/>
      <c r="F16" s="2515"/>
    </row>
    <row r="17" spans="1:6" ht="20.45" customHeight="1" x14ac:dyDescent="0.2">
      <c r="A17" s="1253"/>
      <c r="B17" s="1254"/>
      <c r="C17" s="1255"/>
      <c r="D17" s="2513"/>
      <c r="E17" s="2513"/>
      <c r="F17" s="2513"/>
    </row>
    <row r="18" spans="1:6" ht="20.65" customHeight="1" x14ac:dyDescent="0.2">
      <c r="A18" s="1253"/>
      <c r="B18" s="1254"/>
      <c r="C18" s="1255"/>
      <c r="D18" s="2513"/>
      <c r="E18" s="2513"/>
      <c r="F18" s="2513"/>
    </row>
    <row r="19" spans="1:6" ht="20.65" customHeight="1" x14ac:dyDescent="0.2">
      <c r="A19" s="1253"/>
      <c r="B19" s="1254"/>
      <c r="C19" s="1255"/>
      <c r="D19" s="2513"/>
      <c r="E19" s="2513"/>
      <c r="F19" s="2513"/>
    </row>
    <row r="20" spans="1:6" ht="20.65" customHeight="1" x14ac:dyDescent="0.2">
      <c r="A20" s="1253"/>
      <c r="B20" s="1254"/>
      <c r="C20" s="1255"/>
      <c r="D20" s="2513"/>
      <c r="E20" s="2513"/>
      <c r="F20" s="2513"/>
    </row>
    <row r="21" spans="1:6" ht="20.65" customHeight="1" x14ac:dyDescent="0.2">
      <c r="A21" s="1253"/>
      <c r="B21" s="1254"/>
      <c r="C21" s="1255"/>
      <c r="D21" s="2513"/>
      <c r="E21" s="2513"/>
      <c r="F21" s="2513"/>
    </row>
    <row r="22" spans="1:6" ht="20.65" customHeight="1" x14ac:dyDescent="0.2">
      <c r="A22" s="1253"/>
      <c r="B22" s="1254"/>
      <c r="C22" s="1255"/>
      <c r="D22" s="2513"/>
      <c r="E22" s="2513"/>
      <c r="F22" s="2513"/>
    </row>
    <row r="23" spans="1:6" ht="20.65" customHeight="1" x14ac:dyDescent="0.2">
      <c r="A23" s="1253"/>
      <c r="B23" s="1254"/>
      <c r="C23" s="1255"/>
      <c r="D23" s="2513"/>
      <c r="E23" s="2513"/>
      <c r="F23" s="2513"/>
    </row>
    <row r="24" spans="1:6" ht="20.65" customHeight="1" x14ac:dyDescent="0.2">
      <c r="A24" s="1253"/>
      <c r="B24" s="1254"/>
      <c r="C24" s="1255"/>
      <c r="D24" s="2513"/>
      <c r="E24" s="2513"/>
      <c r="F24" s="2513"/>
    </row>
    <row r="25" spans="1:6" ht="20.65" customHeight="1" x14ac:dyDescent="0.2">
      <c r="A25" s="1253"/>
      <c r="B25" s="1254"/>
      <c r="C25" s="1255"/>
      <c r="D25" s="2513"/>
      <c r="E25" s="2513"/>
      <c r="F25" s="2513"/>
    </row>
    <row r="26" spans="1:6" ht="20.65" customHeight="1" x14ac:dyDescent="0.2">
      <c r="A26" s="1253"/>
      <c r="B26" s="1254"/>
      <c r="C26" s="1255"/>
      <c r="D26" s="2513"/>
      <c r="E26" s="2513"/>
      <c r="F26" s="2513"/>
    </row>
    <row r="27" spans="1:6" ht="20.65" customHeight="1" x14ac:dyDescent="0.2">
      <c r="A27" s="1253"/>
      <c r="B27" s="1254"/>
      <c r="C27" s="1255"/>
      <c r="D27" s="2513"/>
      <c r="E27" s="2513"/>
      <c r="F27" s="2513"/>
    </row>
    <row r="28" spans="1:6" ht="20.65" customHeight="1" x14ac:dyDescent="0.2">
      <c r="A28" s="1253"/>
      <c r="B28" s="1254"/>
      <c r="C28" s="1255"/>
      <c r="D28" s="2513"/>
      <c r="E28" s="2513"/>
      <c r="F28" s="2513"/>
    </row>
    <row r="29" spans="1:6" ht="20.65" customHeight="1" x14ac:dyDescent="0.2">
      <c r="A29" s="1253"/>
      <c r="B29" s="1254"/>
      <c r="C29" s="1255"/>
      <c r="D29" s="2513"/>
      <c r="E29" s="2513"/>
      <c r="F29" s="2513"/>
    </row>
    <row r="30" spans="1:6" ht="12" customHeight="1" x14ac:dyDescent="0.2">
      <c r="A30" s="328"/>
      <c r="B30" s="328"/>
      <c r="C30" s="1435"/>
      <c r="D30" s="1876"/>
      <c r="E30" s="1256"/>
    </row>
    <row r="31" spans="1:6" ht="12" customHeight="1" x14ac:dyDescent="0.2">
      <c r="A31" s="1257" t="s">
        <v>1549</v>
      </c>
      <c r="B31" s="328"/>
      <c r="C31" s="1435"/>
      <c r="D31" s="1876"/>
      <c r="E31" s="1256"/>
    </row>
    <row r="32" spans="1:6" ht="30" customHeight="1" x14ac:dyDescent="0.2">
      <c r="A32" s="2517" t="s">
        <v>1732</v>
      </c>
      <c r="B32" s="2517"/>
      <c r="C32" s="2517"/>
      <c r="D32" s="2517"/>
      <c r="E32" s="2517"/>
      <c r="F32" s="2517"/>
    </row>
    <row r="33" spans="1:6" ht="13.5" customHeight="1" x14ac:dyDescent="0.2">
      <c r="A33" s="328" t="s">
        <v>1434</v>
      </c>
      <c r="B33" s="328"/>
      <c r="C33" s="1258">
        <v>0</v>
      </c>
      <c r="D33" s="1876"/>
      <c r="E33" s="1256"/>
    </row>
    <row r="34" spans="1:6" ht="13.5" customHeight="1" x14ac:dyDescent="0.2">
      <c r="A34" s="328" t="s">
        <v>1838</v>
      </c>
      <c r="B34" s="328"/>
      <c r="C34" s="1259">
        <v>0</v>
      </c>
      <c r="D34" s="1876" t="s">
        <v>1589</v>
      </c>
      <c r="E34" s="2518">
        <f>+C33+C34</f>
        <v>0</v>
      </c>
      <c r="F34" s="2519"/>
    </row>
    <row r="35" spans="1:6" ht="12" customHeight="1" x14ac:dyDescent="0.2">
      <c r="A35" s="328"/>
      <c r="B35" s="328"/>
      <c r="C35" s="1877"/>
      <c r="D35" s="1876"/>
      <c r="E35" s="1260"/>
      <c r="F35" s="1261"/>
    </row>
    <row r="36" spans="1:6" ht="13.5" customHeight="1" x14ac:dyDescent="0.2">
      <c r="A36" s="1257" t="s">
        <v>1550</v>
      </c>
      <c r="B36" s="328"/>
      <c r="C36" s="1435"/>
      <c r="D36" s="1876"/>
      <c r="E36" s="1256"/>
    </row>
    <row r="37" spans="1:6" ht="14.25" customHeight="1" x14ac:dyDescent="0.2">
      <c r="A37" s="328" t="s">
        <v>1484</v>
      </c>
      <c r="B37" s="328"/>
      <c r="C37" s="1878"/>
      <c r="D37" s="1876"/>
      <c r="E37" s="1256"/>
    </row>
    <row r="38" spans="1:6" ht="14.25" customHeight="1" x14ac:dyDescent="0.2">
      <c r="A38" s="328"/>
      <c r="B38" s="328" t="s">
        <v>1435</v>
      </c>
      <c r="C38" s="1262"/>
      <c r="D38" s="1876"/>
      <c r="E38" s="1256"/>
    </row>
    <row r="39" spans="1:6" ht="14.25" customHeight="1" x14ac:dyDescent="0.2">
      <c r="A39" s="328"/>
      <c r="B39" s="328" t="s">
        <v>1436</v>
      </c>
      <c r="C39" s="1262"/>
      <c r="D39" s="1876"/>
      <c r="E39" s="1256"/>
    </row>
    <row r="40" spans="1:6" ht="14.25" customHeight="1" x14ac:dyDescent="0.2">
      <c r="A40" s="328"/>
      <c r="B40" s="328" t="s">
        <v>1437</v>
      </c>
      <c r="C40" s="1262"/>
      <c r="D40" s="1876"/>
      <c r="E40" s="1256"/>
    </row>
    <row r="41" spans="1:6" ht="14.25" customHeight="1" x14ac:dyDescent="0.2">
      <c r="A41" s="328"/>
      <c r="B41" s="328" t="s">
        <v>1438</v>
      </c>
      <c r="C41" s="1262"/>
      <c r="D41" s="1876"/>
      <c r="E41" s="1256"/>
    </row>
    <row r="42" spans="1:6" ht="14.25" customHeight="1" x14ac:dyDescent="0.2">
      <c r="A42" s="328" t="s">
        <v>1439</v>
      </c>
      <c r="B42" s="328"/>
      <c r="C42" s="1874"/>
      <c r="D42" s="1876"/>
      <c r="E42" s="1256"/>
    </row>
    <row r="43" spans="1:6" ht="14.25" customHeight="1" x14ac:dyDescent="0.2">
      <c r="A43" s="328" t="s">
        <v>1440</v>
      </c>
      <c r="B43" s="328"/>
      <c r="C43" s="1263"/>
      <c r="D43" s="1876"/>
      <c r="E43" s="1256"/>
    </row>
    <row r="44" spans="1:6" ht="14.25" customHeight="1" x14ac:dyDescent="0.2">
      <c r="A44" s="328"/>
      <c r="B44" s="328"/>
      <c r="C44" s="1878" t="s">
        <v>1441</v>
      </c>
      <c r="D44" s="1876"/>
      <c r="E44" s="1256"/>
    </row>
    <row r="45" spans="1:6" ht="13.5" customHeight="1" x14ac:dyDescent="0.2">
      <c r="B45" s="322"/>
      <c r="C45" s="1264"/>
      <c r="D45" s="1264"/>
    </row>
    <row r="46" spans="1:6" x14ac:dyDescent="0.2">
      <c r="A46" s="1265" t="s">
        <v>1733</v>
      </c>
      <c r="C46" s="317"/>
      <c r="D46" s="317"/>
    </row>
    <row r="47" spans="1:6" s="322" customFormat="1" ht="11.25" customHeight="1" x14ac:dyDescent="0.2">
      <c r="A47" s="1266"/>
      <c r="B47" s="1267"/>
      <c r="C47" s="1267"/>
      <c r="D47" s="1267"/>
      <c r="E47" s="1267"/>
      <c r="F47" s="1267"/>
    </row>
    <row r="48" spans="1:6" s="322" customFormat="1" ht="6" customHeight="1" x14ac:dyDescent="0.2">
      <c r="A48" s="1268"/>
    </row>
    <row r="49" spans="1:5" s="1270" customFormat="1" ht="23.25" customHeight="1" x14ac:dyDescent="0.2">
      <c r="A49" s="1269">
        <v>5</v>
      </c>
      <c r="B49" s="2520" t="s">
        <v>1590</v>
      </c>
      <c r="C49" s="2520"/>
      <c r="D49" s="2520"/>
      <c r="E49" s="1369"/>
    </row>
    <row r="50" spans="1:5" s="1270" customFormat="1" ht="3.75" customHeight="1" x14ac:dyDescent="0.2">
      <c r="A50" s="1269"/>
      <c r="B50" s="1818"/>
      <c r="C50" s="1818"/>
      <c r="D50" s="1818"/>
      <c r="E50" s="1369"/>
    </row>
    <row r="51" spans="1:5" s="1270" customFormat="1" ht="20.25" customHeight="1" x14ac:dyDescent="0.2">
      <c r="A51" s="1271">
        <v>6</v>
      </c>
      <c r="B51" s="2516" t="s">
        <v>1551</v>
      </c>
      <c r="C51" s="2516"/>
      <c r="D51" s="2516"/>
    </row>
    <row r="52" spans="1:5" ht="14.25" customHeight="1" x14ac:dyDescent="0.2">
      <c r="A52" s="1271"/>
      <c r="B52" s="2516"/>
      <c r="C52" s="2516"/>
      <c r="D52" s="2516"/>
    </row>
  </sheetData>
  <sheetProtection password="F60E"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43"/>
  <sheetViews>
    <sheetView showGridLines="0" defaultGridColor="0" topLeftCell="A110" colorId="8" zoomScale="110" zoomScaleNormal="110" workbookViewId="0">
      <selection activeCell="G81" sqref="G81"/>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126" t="s">
        <v>1168</v>
      </c>
      <c r="B2" s="2126"/>
      <c r="C2" s="2126"/>
      <c r="D2" s="2126"/>
      <c r="E2" s="2126"/>
      <c r="F2" s="2126"/>
      <c r="G2" s="2126"/>
      <c r="H2" s="2126"/>
      <c r="I2" s="2126"/>
      <c r="J2" s="2126"/>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1946</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140" t="s">
        <v>1633</v>
      </c>
      <c r="B35" s="2141"/>
      <c r="C35" s="2141"/>
      <c r="D35" s="2141"/>
      <c r="E35" s="2142"/>
      <c r="F35" s="2142"/>
      <c r="G35" s="2142"/>
      <c r="H35" s="2142"/>
      <c r="I35" s="2142"/>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140" t="s">
        <v>313</v>
      </c>
      <c r="B47" s="2143"/>
      <c r="C47" s="2143"/>
      <c r="D47" s="2143"/>
      <c r="E47" s="2144"/>
      <c r="F47" s="2144"/>
      <c r="G47" s="2144"/>
      <c r="H47" s="2144"/>
      <c r="I47" s="2144"/>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t="s">
        <v>2076</v>
      </c>
      <c r="C53" s="179">
        <v>22</v>
      </c>
      <c r="D53" s="247" t="s">
        <v>1462</v>
      </c>
      <c r="E53" s="248"/>
      <c r="F53" s="249"/>
      <c r="G53" s="249" t="s">
        <v>1461</v>
      </c>
      <c r="H53" s="250">
        <v>33239</v>
      </c>
      <c r="I53" s="237" t="s">
        <v>1483</v>
      </c>
    </row>
    <row r="54" spans="1:10" s="181" customFormat="1" x14ac:dyDescent="0.2">
      <c r="A54" s="219"/>
      <c r="B54" s="220" t="s">
        <v>2076</v>
      </c>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147" t="s">
        <v>2080</v>
      </c>
      <c r="C57" s="2148"/>
      <c r="D57" s="2148"/>
      <c r="E57" s="2148"/>
      <c r="F57" s="2148"/>
      <c r="G57" s="2148"/>
      <c r="H57" s="2148"/>
      <c r="I57" s="2148"/>
      <c r="J57" s="2149"/>
    </row>
    <row r="58" spans="1:10" s="181" customFormat="1" x14ac:dyDescent="0.2">
      <c r="A58" s="253"/>
      <c r="B58" s="2150"/>
      <c r="C58" s="2151"/>
      <c r="D58" s="2151"/>
      <c r="E58" s="2151"/>
      <c r="F58" s="2151"/>
      <c r="G58" s="2151"/>
      <c r="H58" s="2151"/>
      <c r="I58" s="2151"/>
      <c r="J58" s="2152"/>
    </row>
    <row r="59" spans="1:10" s="181" customFormat="1" x14ac:dyDescent="0.2">
      <c r="A59" s="253"/>
      <c r="B59" s="2150"/>
      <c r="C59" s="2151"/>
      <c r="D59" s="2151"/>
      <c r="E59" s="2151"/>
      <c r="F59" s="2151"/>
      <c r="G59" s="2151"/>
      <c r="H59" s="2151"/>
      <c r="I59" s="2151"/>
      <c r="J59" s="2152"/>
    </row>
    <row r="60" spans="1:10" s="181" customFormat="1" x14ac:dyDescent="0.2">
      <c r="A60" s="253"/>
      <c r="B60" s="2150"/>
      <c r="C60" s="2151"/>
      <c r="D60" s="2151"/>
      <c r="E60" s="2151"/>
      <c r="F60" s="2151"/>
      <c r="G60" s="2151"/>
      <c r="H60" s="2151"/>
      <c r="I60" s="2151"/>
      <c r="J60" s="2152"/>
    </row>
    <row r="61" spans="1:10" s="181" customFormat="1" x14ac:dyDescent="0.2">
      <c r="A61" s="253"/>
      <c r="B61" s="2150"/>
      <c r="C61" s="2151"/>
      <c r="D61" s="2151"/>
      <c r="E61" s="2151"/>
      <c r="F61" s="2151"/>
      <c r="G61" s="2151"/>
      <c r="H61" s="2151"/>
      <c r="I61" s="2151"/>
      <c r="J61" s="2152"/>
    </row>
    <row r="62" spans="1:10" s="181" customFormat="1" x14ac:dyDescent="0.2">
      <c r="A62" s="253"/>
      <c r="B62" s="2150"/>
      <c r="C62" s="2151"/>
      <c r="D62" s="2151"/>
      <c r="E62" s="2151"/>
      <c r="F62" s="2151"/>
      <c r="G62" s="2151"/>
      <c r="H62" s="2151"/>
      <c r="I62" s="2151"/>
      <c r="J62" s="2152"/>
    </row>
    <row r="63" spans="1:10" s="181" customFormat="1" x14ac:dyDescent="0.2">
      <c r="A63" s="253"/>
      <c r="B63" s="2150"/>
      <c r="C63" s="2151"/>
      <c r="D63" s="2151"/>
      <c r="E63" s="2151"/>
      <c r="F63" s="2151"/>
      <c r="G63" s="2151"/>
      <c r="H63" s="2151"/>
      <c r="I63" s="2151"/>
      <c r="J63" s="2152"/>
    </row>
    <row r="64" spans="1:10" s="181" customFormat="1" x14ac:dyDescent="0.2">
      <c r="A64" s="253"/>
      <c r="B64" s="2150"/>
      <c r="C64" s="2151"/>
      <c r="D64" s="2151"/>
      <c r="E64" s="2151"/>
      <c r="F64" s="2151"/>
      <c r="G64" s="2151"/>
      <c r="H64" s="2151"/>
      <c r="I64" s="2151"/>
      <c r="J64" s="2152"/>
    </row>
    <row r="65" spans="1:10" s="181" customFormat="1" x14ac:dyDescent="0.2">
      <c r="A65" s="253"/>
      <c r="B65" s="2150"/>
      <c r="C65" s="2151"/>
      <c r="D65" s="2151"/>
      <c r="E65" s="2151"/>
      <c r="F65" s="2151"/>
      <c r="G65" s="2151"/>
      <c r="H65" s="2151"/>
      <c r="I65" s="2151"/>
      <c r="J65" s="2152"/>
    </row>
    <row r="66" spans="1:10" s="181" customFormat="1" x14ac:dyDescent="0.2">
      <c r="A66" s="253"/>
      <c r="B66" s="2150"/>
      <c r="C66" s="2151"/>
      <c r="D66" s="2151"/>
      <c r="E66" s="2151"/>
      <c r="F66" s="2151"/>
      <c r="G66" s="2151"/>
      <c r="H66" s="2151"/>
      <c r="I66" s="2151"/>
      <c r="J66" s="2152"/>
    </row>
    <row r="67" spans="1:10" s="181" customFormat="1" ht="9" customHeight="1" x14ac:dyDescent="0.2">
      <c r="A67" s="254"/>
      <c r="B67" s="2153"/>
      <c r="C67" s="2154"/>
      <c r="D67" s="2154"/>
      <c r="E67" s="2154"/>
      <c r="F67" s="2154"/>
      <c r="G67" s="2154"/>
      <c r="H67" s="2154"/>
      <c r="I67" s="2154"/>
      <c r="J67" s="215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140" t="s">
        <v>1323</v>
      </c>
      <c r="B70" s="2143"/>
      <c r="C70" s="2143"/>
      <c r="D70" s="2143"/>
      <c r="E70" s="2144"/>
      <c r="F70" s="2144"/>
      <c r="G70" s="2144"/>
      <c r="H70" s="2144"/>
      <c r="I70" s="2144"/>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1930</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1947</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1905</v>
      </c>
      <c r="I77" s="1811"/>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145" t="s">
        <v>1320</v>
      </c>
      <c r="B83" s="2145"/>
      <c r="C83" s="2145"/>
      <c r="D83" s="2146"/>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1928</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1929</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127"/>
      <c r="C102" s="2128"/>
      <c r="D102" s="2128"/>
      <c r="E102" s="2128"/>
      <c r="F102" s="2128"/>
      <c r="G102" s="2128"/>
      <c r="H102" s="2128"/>
      <c r="I102" s="2129"/>
    </row>
    <row r="103" spans="1:9" s="181" customFormat="1" ht="11.25" customHeight="1" x14ac:dyDescent="0.2">
      <c r="A103" s="316"/>
      <c r="B103" s="2130"/>
      <c r="C103" s="2131"/>
      <c r="D103" s="2131"/>
      <c r="E103" s="2131"/>
      <c r="F103" s="2131"/>
      <c r="G103" s="2131"/>
      <c r="H103" s="2131"/>
      <c r="I103" s="2132"/>
    </row>
    <row r="104" spans="1:9" s="181" customFormat="1" ht="11.25" customHeight="1" x14ac:dyDescent="0.2">
      <c r="A104" s="316"/>
      <c r="B104" s="2130"/>
      <c r="C104" s="2131"/>
      <c r="D104" s="2131"/>
      <c r="E104" s="2131"/>
      <c r="F104" s="2131"/>
      <c r="G104" s="2131"/>
      <c r="H104" s="2131"/>
      <c r="I104" s="2132"/>
    </row>
    <row r="105" spans="1:9" s="181" customFormat="1" x14ac:dyDescent="0.2">
      <c r="A105" s="316"/>
      <c r="B105" s="2130"/>
      <c r="C105" s="2131"/>
      <c r="D105" s="2131"/>
      <c r="E105" s="2131"/>
      <c r="F105" s="2131"/>
      <c r="G105" s="2131"/>
      <c r="H105" s="2131"/>
      <c r="I105" s="2132"/>
    </row>
    <row r="106" spans="1:9" s="181" customFormat="1" ht="11.25" customHeight="1" x14ac:dyDescent="0.2">
      <c r="A106" s="316"/>
      <c r="B106" s="2130"/>
      <c r="C106" s="2131"/>
      <c r="D106" s="2131"/>
      <c r="E106" s="2131"/>
      <c r="F106" s="2131"/>
      <c r="G106" s="2131"/>
      <c r="H106" s="2131"/>
      <c r="I106" s="2132"/>
    </row>
    <row r="107" spans="1:9" s="181" customFormat="1" ht="11.25" customHeight="1" x14ac:dyDescent="0.2">
      <c r="A107" s="316"/>
      <c r="B107" s="2130"/>
      <c r="C107" s="2131"/>
      <c r="D107" s="2131"/>
      <c r="E107" s="2131"/>
      <c r="F107" s="2131"/>
      <c r="G107" s="2131"/>
      <c r="H107" s="2131"/>
      <c r="I107" s="2132"/>
    </row>
    <row r="108" spans="1:9" s="181" customFormat="1" ht="11.25" customHeight="1" x14ac:dyDescent="0.2">
      <c r="A108" s="316"/>
      <c r="B108" s="2130"/>
      <c r="C108" s="2131"/>
      <c r="D108" s="2131"/>
      <c r="E108" s="2131"/>
      <c r="F108" s="2131"/>
      <c r="G108" s="2131"/>
      <c r="H108" s="2131"/>
      <c r="I108" s="2132"/>
    </row>
    <row r="109" spans="1:9" s="181" customFormat="1" ht="11.25" customHeight="1" x14ac:dyDescent="0.2">
      <c r="A109" s="316"/>
      <c r="B109" s="2130"/>
      <c r="C109" s="2131"/>
      <c r="D109" s="2131"/>
      <c r="E109" s="2131"/>
      <c r="F109" s="2131"/>
      <c r="G109" s="2131"/>
      <c r="H109" s="2131"/>
      <c r="I109" s="2132"/>
    </row>
    <row r="110" spans="1:9" s="181" customFormat="1" ht="11.25" customHeight="1" x14ac:dyDescent="0.2">
      <c r="A110" s="316"/>
      <c r="B110" s="2130"/>
      <c r="C110" s="2131"/>
      <c r="D110" s="2131"/>
      <c r="E110" s="2131"/>
      <c r="F110" s="2131"/>
      <c r="G110" s="2131"/>
      <c r="H110" s="2131"/>
      <c r="I110" s="2132"/>
    </row>
    <row r="111" spans="1:9" s="181" customFormat="1" ht="11.25" customHeight="1" x14ac:dyDescent="0.2">
      <c r="A111" s="316"/>
      <c r="B111" s="2130"/>
      <c r="C111" s="2131"/>
      <c r="D111" s="2131"/>
      <c r="E111" s="2131"/>
      <c r="F111" s="2131"/>
      <c r="G111" s="2131"/>
      <c r="H111" s="2131"/>
      <c r="I111" s="2132"/>
    </row>
    <row r="112" spans="1:9" s="181" customFormat="1" ht="11.25" customHeight="1" x14ac:dyDescent="0.2">
      <c r="A112" s="316"/>
      <c r="B112" s="2133"/>
      <c r="C112" s="2134"/>
      <c r="D112" s="2134"/>
      <c r="E112" s="2134"/>
      <c r="F112" s="2134"/>
      <c r="G112" s="2134"/>
      <c r="H112" s="2134"/>
      <c r="I112" s="213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136" t="s">
        <v>2081</v>
      </c>
      <c r="D114" s="2136"/>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137" t="s">
        <v>1330</v>
      </c>
      <c r="D117" s="2138"/>
      <c r="E117" s="2139"/>
      <c r="F117" s="2139"/>
      <c r="G117" s="2139"/>
      <c r="H117" s="2139"/>
      <c r="I117" s="304"/>
    </row>
    <row r="118" spans="1:9" s="181" customFormat="1" ht="24" customHeight="1" x14ac:dyDescent="0.2">
      <c r="A118" s="316"/>
      <c r="B118" s="316"/>
      <c r="C118" s="316"/>
      <c r="D118" s="323"/>
      <c r="E118" s="322"/>
      <c r="F118" s="324"/>
      <c r="G118" s="1813"/>
      <c r="H118" s="322"/>
      <c r="I118" s="304"/>
    </row>
    <row r="119" spans="1:9" s="181" customFormat="1" ht="11.25" customHeight="1" x14ac:dyDescent="0.2">
      <c r="A119" s="325"/>
      <c r="B119" s="325"/>
      <c r="C119" s="326"/>
      <c r="D119" s="327" t="s">
        <v>361</v>
      </c>
      <c r="E119" s="310"/>
      <c r="F119" s="1812" t="s">
        <v>1906</v>
      </c>
      <c r="G119" s="328"/>
      <c r="H119" s="328"/>
      <c r="I119" s="304"/>
    </row>
    <row r="120" spans="1:9" x14ac:dyDescent="0.2">
      <c r="A120" s="329"/>
      <c r="B120" s="180"/>
      <c r="C120" s="330"/>
      <c r="D120" s="256"/>
      <c r="E120" s="256"/>
      <c r="F120" s="256"/>
      <c r="G120" s="256"/>
      <c r="H120" s="256"/>
      <c r="I120" s="304"/>
    </row>
    <row r="121" spans="1:9" x14ac:dyDescent="0.2">
      <c r="A121" s="329"/>
      <c r="B121" s="1461"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20"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pageSetUpPr fitToPage="1"/>
  </sheetPr>
  <dimension ref="A1:J63"/>
  <sheetViews>
    <sheetView showGridLines="0" view="pageBreakPreview" zoomScaleNormal="110" zoomScaleSheetLayoutView="100" workbookViewId="0">
      <selection activeCell="G18" sqref="G18"/>
    </sheetView>
  </sheetViews>
  <sheetFormatPr defaultColWidth="9.140625" defaultRowHeight="12.75" x14ac:dyDescent="0.2"/>
  <cols>
    <col min="1" max="1" width="1.42578125" style="1270" customWidth="1"/>
    <col min="2" max="2" width="24.42578125" style="1327" customWidth="1"/>
    <col min="3" max="3" width="29.5703125" style="317" customWidth="1"/>
    <col min="4" max="4" width="9.28515625" style="317" customWidth="1"/>
    <col min="5" max="5" width="5.28515625" style="122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525" t="str">
        <f>'Single Audit Cover'!A7</f>
        <v>RILEY CCSD 18</v>
      </c>
      <c r="C1" s="2526"/>
      <c r="D1" s="2526"/>
      <c r="E1" s="2526"/>
      <c r="F1" s="2526"/>
      <c r="G1" s="2526"/>
      <c r="H1" s="2526"/>
      <c r="I1" s="2526"/>
      <c r="J1" s="1379"/>
    </row>
    <row r="2" spans="2:10" s="317" customFormat="1" ht="12.75" customHeight="1" x14ac:dyDescent="0.2">
      <c r="B2" s="2527">
        <f>'Single Audit Cover'!E7</f>
        <v>44063018004</v>
      </c>
      <c r="C2" s="2528"/>
      <c r="D2" s="2528"/>
      <c r="E2" s="2528"/>
      <c r="F2" s="2528"/>
      <c r="G2" s="2528"/>
      <c r="H2" s="2528"/>
      <c r="I2" s="2528"/>
      <c r="J2" s="1379"/>
    </row>
    <row r="3" spans="2:10" s="317" customFormat="1" ht="12.75" customHeight="1" x14ac:dyDescent="0.2">
      <c r="B3" s="2529" t="s">
        <v>1285</v>
      </c>
      <c r="C3" s="2530"/>
      <c r="D3" s="2530"/>
      <c r="E3" s="2530"/>
      <c r="F3" s="2530"/>
      <c r="G3" s="2530"/>
      <c r="H3" s="2530"/>
      <c r="I3" s="2530"/>
      <c r="J3" s="1380"/>
    </row>
    <row r="4" spans="2:10" s="317" customFormat="1" ht="12.75" customHeight="1" x14ac:dyDescent="0.2">
      <c r="B4" s="2529" t="str">
        <f>'Single Audit Cover'!A4</f>
        <v>Year Ending June 30, 2019</v>
      </c>
      <c r="C4" s="2530"/>
      <c r="D4" s="2530"/>
      <c r="E4" s="2530"/>
      <c r="F4" s="2530"/>
      <c r="G4" s="2530"/>
      <c r="H4" s="2530"/>
      <c r="I4" s="2530"/>
    </row>
    <row r="5" spans="2:10" s="317" customFormat="1" ht="6.2" customHeight="1" x14ac:dyDescent="0.2">
      <c r="B5" s="1381" t="s">
        <v>1169</v>
      </c>
      <c r="C5" s="1264"/>
      <c r="D5" s="1264"/>
      <c r="E5" s="1353"/>
      <c r="F5" s="322"/>
      <c r="G5" s="322"/>
      <c r="H5" s="322"/>
      <c r="I5" s="322"/>
    </row>
    <row r="6" spans="2:10" s="317" customFormat="1" ht="6.2" customHeight="1" x14ac:dyDescent="0.2">
      <c r="B6" s="1382"/>
      <c r="C6" s="1349"/>
      <c r="D6" s="1349"/>
      <c r="E6" s="1350"/>
      <c r="F6" s="1349"/>
      <c r="G6" s="1349"/>
      <c r="H6" s="1349"/>
      <c r="I6" s="1349"/>
    </row>
    <row r="7" spans="2:10" s="317" customFormat="1" ht="13.5" customHeight="1" x14ac:dyDescent="0.2">
      <c r="B7" s="2529" t="s">
        <v>1284</v>
      </c>
      <c r="C7" s="2530"/>
      <c r="D7" s="2530"/>
      <c r="E7" s="2530"/>
      <c r="F7" s="2530"/>
      <c r="G7" s="2530"/>
      <c r="H7" s="2530"/>
      <c r="I7" s="2530"/>
    </row>
    <row r="8" spans="2:10" s="317" customFormat="1" ht="6.2" customHeight="1" x14ac:dyDescent="0.2">
      <c r="B8" s="1383" t="s">
        <v>1169</v>
      </c>
      <c r="C8" s="1384"/>
      <c r="D8" s="1384"/>
      <c r="E8" s="1385"/>
      <c r="F8" s="1384"/>
      <c r="G8" s="1384"/>
      <c r="H8" s="1384"/>
      <c r="I8" s="1384"/>
    </row>
    <row r="9" spans="2:10" s="317" customFormat="1" ht="9" customHeight="1" x14ac:dyDescent="0.2">
      <c r="B9" s="1386"/>
      <c r="C9" s="322"/>
      <c r="D9" s="322"/>
      <c r="E9" s="1353"/>
      <c r="F9" s="322"/>
      <c r="G9" s="322"/>
      <c r="H9" s="322"/>
      <c r="I9" s="322"/>
    </row>
    <row r="10" spans="2:10" s="317" customFormat="1" ht="12.75" customHeight="1" x14ac:dyDescent="0.2">
      <c r="B10" s="1387" t="s">
        <v>1283</v>
      </c>
      <c r="C10" s="1388"/>
      <c r="D10" s="1388"/>
      <c r="E10" s="1228"/>
    </row>
    <row r="11" spans="2:10" s="317" customFormat="1" ht="13.5" customHeight="1" x14ac:dyDescent="0.2">
      <c r="B11" s="1319" t="s">
        <v>1282</v>
      </c>
      <c r="C11" s="2531"/>
      <c r="D11" s="2531"/>
      <c r="E11" s="1389"/>
      <c r="F11" s="1389"/>
      <c r="G11" s="1389"/>
    </row>
    <row r="12" spans="2:10" s="317" customFormat="1" ht="11.45" customHeight="1" x14ac:dyDescent="0.2">
      <c r="B12" s="1327"/>
      <c r="C12" s="1390" t="s">
        <v>1442</v>
      </c>
      <c r="D12" s="1391"/>
      <c r="E12" s="1228"/>
    </row>
    <row r="13" spans="2:10" s="317" customFormat="1" ht="12.75" customHeight="1" x14ac:dyDescent="0.2">
      <c r="B13" s="1392"/>
      <c r="C13" s="1357"/>
      <c r="D13" s="1357"/>
      <c r="E13" s="1228"/>
    </row>
    <row r="14" spans="2:10" s="317" customFormat="1" ht="12.75" customHeight="1" x14ac:dyDescent="0.2">
      <c r="B14" s="1338" t="s">
        <v>1281</v>
      </c>
      <c r="C14" s="1252"/>
      <c r="E14" s="1228"/>
    </row>
    <row r="15" spans="2:10" s="317" customFormat="1" ht="13.5" customHeight="1" x14ac:dyDescent="0.2">
      <c r="B15" s="1393" t="s">
        <v>1278</v>
      </c>
      <c r="C15" s="1394"/>
      <c r="D15" s="1368"/>
      <c r="E15" s="1395"/>
      <c r="F15" s="1270" t="s">
        <v>885</v>
      </c>
      <c r="G15" s="1395"/>
      <c r="H15" s="1270" t="s">
        <v>1276</v>
      </c>
      <c r="I15" s="1270"/>
    </row>
    <row r="16" spans="2:10" s="317" customFormat="1" ht="8.4499999999999993" customHeight="1" x14ac:dyDescent="0.2">
      <c r="B16" s="1338"/>
      <c r="C16" s="1252"/>
      <c r="E16" s="1353"/>
      <c r="F16" s="1270"/>
      <c r="G16" s="322"/>
      <c r="H16" s="1270"/>
      <c r="I16" s="1270"/>
    </row>
    <row r="17" spans="2:9" s="317" customFormat="1" ht="13.5" customHeight="1" x14ac:dyDescent="0.2">
      <c r="B17" s="1393" t="s">
        <v>1277</v>
      </c>
      <c r="C17" s="1394"/>
      <c r="D17" s="1368"/>
      <c r="E17" s="1396"/>
      <c r="F17" s="1227"/>
      <c r="G17" s="1396"/>
      <c r="H17" s="1270"/>
      <c r="I17" s="1270"/>
    </row>
    <row r="18" spans="2:9" s="317" customFormat="1" ht="12.75" customHeight="1" x14ac:dyDescent="0.2">
      <c r="B18" s="1393" t="s">
        <v>1443</v>
      </c>
      <c r="C18" s="1394"/>
      <c r="D18" s="1368"/>
      <c r="E18" s="1395"/>
      <c r="F18" s="1270" t="s">
        <v>885</v>
      </c>
      <c r="G18" s="1395"/>
      <c r="H18" s="1270" t="s">
        <v>1276</v>
      </c>
      <c r="I18" s="1270"/>
    </row>
    <row r="19" spans="2:9" s="317" customFormat="1" ht="8.4499999999999993" customHeight="1" x14ac:dyDescent="0.2">
      <c r="B19" s="1338"/>
      <c r="C19" s="1252"/>
      <c r="E19" s="1353"/>
      <c r="F19" s="1270"/>
      <c r="G19" s="322"/>
      <c r="H19" s="1270"/>
      <c r="I19" s="1270"/>
    </row>
    <row r="20" spans="2:9" s="317" customFormat="1" ht="13.5" customHeight="1" x14ac:dyDescent="0.2">
      <c r="B20" s="1393" t="s">
        <v>1591</v>
      </c>
      <c r="C20" s="1394"/>
      <c r="D20" s="1368"/>
      <c r="E20" s="1395"/>
      <c r="F20" s="1270" t="s">
        <v>885</v>
      </c>
      <c r="G20" s="1395"/>
      <c r="H20" s="1270" t="s">
        <v>99</v>
      </c>
      <c r="I20" s="1270"/>
    </row>
    <row r="21" spans="2:9" s="317" customFormat="1" ht="12.75" customHeight="1" x14ac:dyDescent="0.2">
      <c r="B21" s="1338"/>
      <c r="C21" s="1252"/>
      <c r="E21" s="1353"/>
      <c r="F21" s="1270"/>
      <c r="G21" s="322"/>
      <c r="H21" s="1270"/>
      <c r="I21" s="1270"/>
    </row>
    <row r="22" spans="2:9" s="317" customFormat="1" ht="12.75" customHeight="1" x14ac:dyDescent="0.2">
      <c r="B22" s="1387" t="s">
        <v>1280</v>
      </c>
      <c r="C22" s="1397"/>
      <c r="D22" s="1388"/>
      <c r="E22" s="1353"/>
      <c r="F22" s="1270"/>
      <c r="G22" s="322"/>
      <c r="H22" s="1270"/>
      <c r="I22" s="1270"/>
    </row>
    <row r="23" spans="2:9" s="317" customFormat="1" ht="12.75" customHeight="1" x14ac:dyDescent="0.2">
      <c r="B23" s="1338" t="s">
        <v>1279</v>
      </c>
      <c r="C23" s="1252"/>
      <c r="E23" s="1353"/>
      <c r="F23" s="1270"/>
      <c r="G23" s="322"/>
      <c r="H23" s="1270"/>
      <c r="I23" s="1270"/>
    </row>
    <row r="24" spans="2:9" s="317" customFormat="1" ht="13.5" customHeight="1" x14ac:dyDescent="0.2">
      <c r="B24" s="1393" t="s">
        <v>1278</v>
      </c>
      <c r="C24" s="1394"/>
      <c r="D24" s="1368"/>
      <c r="E24" s="1395"/>
      <c r="F24" s="1270" t="s">
        <v>885</v>
      </c>
      <c r="G24" s="1395"/>
      <c r="H24" s="1270" t="s">
        <v>1276</v>
      </c>
      <c r="I24" s="1270"/>
    </row>
    <row r="25" spans="2:9" s="317" customFormat="1" ht="8.4499999999999993" customHeight="1" x14ac:dyDescent="0.2">
      <c r="B25" s="1338"/>
      <c r="C25" s="1252"/>
      <c r="E25" s="1353"/>
      <c r="F25" s="1270"/>
      <c r="G25" s="322"/>
      <c r="H25" s="1270"/>
      <c r="I25" s="1270"/>
    </row>
    <row r="26" spans="2:9" s="317" customFormat="1" ht="13.5" customHeight="1" x14ac:dyDescent="0.2">
      <c r="B26" s="1393" t="s">
        <v>1277</v>
      </c>
      <c r="C26" s="1394"/>
      <c r="D26" s="1368"/>
      <c r="E26" s="1396"/>
      <c r="F26" s="1227"/>
      <c r="G26" s="1396"/>
      <c r="H26" s="1270"/>
      <c r="I26" s="1270"/>
    </row>
    <row r="27" spans="2:9" s="317" customFormat="1" ht="12.75" customHeight="1" x14ac:dyDescent="0.2">
      <c r="B27" s="1393" t="s">
        <v>1443</v>
      </c>
      <c r="C27" s="1394"/>
      <c r="D27" s="1368"/>
      <c r="E27" s="1395"/>
      <c r="F27" s="1270" t="s">
        <v>885</v>
      </c>
      <c r="G27" s="1395"/>
      <c r="H27" s="1270" t="s">
        <v>1276</v>
      </c>
      <c r="I27" s="1270"/>
    </row>
    <row r="28" spans="2:9" s="317" customFormat="1" ht="12.75" customHeight="1" x14ac:dyDescent="0.2">
      <c r="B28" s="1338"/>
      <c r="C28" s="1252"/>
      <c r="E28" s="1228"/>
    </row>
    <row r="29" spans="2:9" s="317" customFormat="1" ht="12.75" customHeight="1" x14ac:dyDescent="0.2">
      <c r="B29" s="1338" t="s">
        <v>1275</v>
      </c>
      <c r="C29" s="1252"/>
      <c r="D29" s="2532"/>
      <c r="E29" s="2532"/>
      <c r="F29" s="2532"/>
      <c r="G29" s="2532"/>
      <c r="H29" s="2532"/>
      <c r="I29" s="2532"/>
    </row>
    <row r="30" spans="2:9" s="317" customFormat="1" x14ac:dyDescent="0.2">
      <c r="B30" s="1338"/>
      <c r="C30" s="322"/>
      <c r="D30" s="1390" t="s">
        <v>1748</v>
      </c>
      <c r="E30" s="1391"/>
      <c r="F30" s="1391"/>
      <c r="G30" s="1391"/>
      <c r="H30" s="1391"/>
      <c r="I30" s="1391"/>
    </row>
    <row r="31" spans="2:9" s="317" customFormat="1" ht="9.9499999999999993" customHeight="1" x14ac:dyDescent="0.2">
      <c r="B31" s="1338"/>
      <c r="E31" s="1228"/>
    </row>
    <row r="32" spans="2:9" s="317" customFormat="1" x14ac:dyDescent="0.2">
      <c r="B32" s="1338" t="s">
        <v>1274</v>
      </c>
      <c r="C32" s="1252"/>
      <c r="E32" s="1228"/>
    </row>
    <row r="33" spans="2:9" ht="13.5" customHeight="1" x14ac:dyDescent="0.2">
      <c r="B33" s="1338" t="s">
        <v>1552</v>
      </c>
      <c r="C33" s="1252"/>
      <c r="E33" s="1395"/>
      <c r="F33" s="1270" t="s">
        <v>885</v>
      </c>
      <c r="G33" s="1395"/>
      <c r="H33" s="1270" t="s">
        <v>99</v>
      </c>
    </row>
    <row r="35" spans="2:9" x14ac:dyDescent="0.2">
      <c r="B35" s="1398" t="s">
        <v>1749</v>
      </c>
      <c r="C35" s="1399"/>
      <c r="D35" s="1237"/>
    </row>
    <row r="36" spans="2:9" ht="6" customHeight="1" x14ac:dyDescent="0.2">
      <c r="B36" s="1398"/>
      <c r="C36" s="1399"/>
      <c r="D36" s="1237"/>
    </row>
    <row r="37" spans="2:9" ht="17.25" customHeight="1" x14ac:dyDescent="0.2">
      <c r="B37" s="1400" t="s">
        <v>1750</v>
      </c>
      <c r="C37" s="2533" t="s">
        <v>1751</v>
      </c>
      <c r="D37" s="2534"/>
      <c r="E37" s="2534"/>
      <c r="F37" s="2535"/>
      <c r="G37" s="2533" t="s">
        <v>1592</v>
      </c>
      <c r="H37" s="2534"/>
      <c r="I37" s="2535"/>
    </row>
    <row r="38" spans="2:9" ht="16.5" customHeight="1" x14ac:dyDescent="0.2">
      <c r="B38" s="1401"/>
      <c r="C38" s="2521"/>
      <c r="D38" s="2522"/>
      <c r="E38" s="2522"/>
      <c r="F38" s="2523"/>
      <c r="G38" s="2536"/>
      <c r="H38" s="2537"/>
      <c r="I38" s="2538"/>
    </row>
    <row r="39" spans="2:9" ht="16.5" customHeight="1" x14ac:dyDescent="0.2">
      <c r="B39" s="1401"/>
      <c r="C39" s="2521"/>
      <c r="D39" s="2522"/>
      <c r="E39" s="2522"/>
      <c r="F39" s="2523"/>
      <c r="G39" s="2524"/>
      <c r="H39" s="2524"/>
      <c r="I39" s="2524"/>
    </row>
    <row r="40" spans="2:9" ht="16.5" customHeight="1" x14ac:dyDescent="0.2">
      <c r="B40" s="1401"/>
      <c r="C40" s="2521"/>
      <c r="D40" s="2522"/>
      <c r="E40" s="2522"/>
      <c r="F40" s="2523"/>
      <c r="G40" s="2524"/>
      <c r="H40" s="2524"/>
      <c r="I40" s="2524"/>
    </row>
    <row r="41" spans="2:9" ht="16.5" customHeight="1" x14ac:dyDescent="0.2">
      <c r="B41" s="1401"/>
      <c r="C41" s="2521"/>
      <c r="D41" s="2522"/>
      <c r="E41" s="2522"/>
      <c r="F41" s="2523"/>
      <c r="G41" s="2524"/>
      <c r="H41" s="2524"/>
      <c r="I41" s="2524"/>
    </row>
    <row r="42" spans="2:9" ht="16.5" customHeight="1" x14ac:dyDescent="0.2">
      <c r="B42" s="1401"/>
      <c r="C42" s="2521"/>
      <c r="D42" s="2522"/>
      <c r="E42" s="2522"/>
      <c r="F42" s="2523"/>
      <c r="G42" s="2524"/>
      <c r="H42" s="2524"/>
      <c r="I42" s="2524"/>
    </row>
    <row r="43" spans="2:9" ht="16.5" customHeight="1" x14ac:dyDescent="0.2">
      <c r="B43" s="1401"/>
      <c r="C43" s="2539" t="s">
        <v>1593</v>
      </c>
      <c r="D43" s="2540"/>
      <c r="E43" s="2540"/>
      <c r="F43" s="2541"/>
      <c r="G43" s="2542">
        <f>SUM(G38:I42)</f>
        <v>0</v>
      </c>
      <c r="H43" s="2542"/>
      <c r="I43" s="2542"/>
    </row>
    <row r="44" spans="2:9" ht="12.75" customHeight="1" x14ac:dyDescent="0.2"/>
    <row r="45" spans="2:9" ht="12.75" customHeight="1" x14ac:dyDescent="0.2">
      <c r="B45" s="1392" t="s">
        <v>1841</v>
      </c>
      <c r="D45" s="2543">
        <v>0</v>
      </c>
      <c r="E45" s="2544"/>
    </row>
    <row r="46" spans="2:9" ht="5.25" customHeight="1" x14ac:dyDescent="0.2">
      <c r="B46" s="1402"/>
      <c r="D46" s="1403"/>
      <c r="E46" s="1404"/>
    </row>
    <row r="47" spans="2:9" ht="12.75" customHeight="1" x14ac:dyDescent="0.2">
      <c r="B47" s="1270" t="s">
        <v>1594</v>
      </c>
      <c r="C47" s="1270"/>
      <c r="D47" s="1405" t="e">
        <f>+G43/D45</f>
        <v>#DIV/0!</v>
      </c>
      <c r="E47" s="1406"/>
      <c r="F47" s="1407"/>
      <c r="I47" s="1408"/>
    </row>
    <row r="48" spans="2:9" ht="9.9499999999999993" customHeight="1" x14ac:dyDescent="0.2"/>
    <row r="49" spans="1:9" x14ac:dyDescent="0.2">
      <c r="B49" s="1338" t="s">
        <v>1273</v>
      </c>
      <c r="C49" s="1252"/>
      <c r="D49" s="1252"/>
      <c r="E49" s="2545"/>
      <c r="F49" s="2545"/>
      <c r="G49" s="2545"/>
      <c r="H49" s="322"/>
    </row>
    <row r="51" spans="1:9" ht="13.5" customHeight="1" x14ac:dyDescent="0.2">
      <c r="B51" s="1338" t="s">
        <v>1272</v>
      </c>
      <c r="C51" s="1252"/>
      <c r="E51" s="1395"/>
      <c r="F51" s="1270" t="s">
        <v>885</v>
      </c>
      <c r="G51" s="1395"/>
      <c r="H51" s="1270" t="s">
        <v>99</v>
      </c>
    </row>
    <row r="52" spans="1:9" x14ac:dyDescent="0.2">
      <c r="B52" s="1330"/>
      <c r="C52" s="1267"/>
      <c r="D52" s="1409"/>
      <c r="E52" s="1410"/>
      <c r="F52" s="1411"/>
      <c r="G52" s="1411"/>
      <c r="H52" s="1411"/>
      <c r="I52" s="1411"/>
    </row>
    <row r="53" spans="1:9" ht="6" customHeight="1" x14ac:dyDescent="0.2">
      <c r="B53" s="1386"/>
      <c r="C53" s="322"/>
      <c r="D53" s="1412"/>
      <c r="E53" s="1413"/>
      <c r="F53" s="1414"/>
      <c r="G53" s="1414"/>
      <c r="H53" s="1414"/>
      <c r="I53" s="1414"/>
    </row>
    <row r="54" spans="1:9" s="1418" customFormat="1" ht="14.25" x14ac:dyDescent="0.2">
      <c r="A54" s="1415"/>
      <c r="B54" s="1416" t="s">
        <v>1752</v>
      </c>
      <c r="C54" s="1417"/>
      <c r="D54" s="1417"/>
    </row>
    <row r="55" spans="1:9" s="1418" customFormat="1" ht="12.75" customHeight="1" x14ac:dyDescent="0.2">
      <c r="A55" s="1415"/>
      <c r="B55" s="1419" t="s">
        <v>1595</v>
      </c>
      <c r="C55" s="1415"/>
      <c r="D55" s="1415"/>
    </row>
    <row r="56" spans="1:9" s="1418" customFormat="1" ht="12.75" customHeight="1" x14ac:dyDescent="0.2">
      <c r="A56" s="1415"/>
      <c r="B56" s="1419" t="s">
        <v>1596</v>
      </c>
      <c r="C56" s="1415"/>
      <c r="D56" s="1415"/>
    </row>
    <row r="57" spans="1:9" s="1418" customFormat="1" ht="3.95" customHeight="1" x14ac:dyDescent="0.2">
      <c r="A57" s="1415"/>
      <c r="B57" s="1419"/>
      <c r="C57" s="1415"/>
      <c r="D57" s="1415"/>
    </row>
    <row r="58" spans="1:9" s="1418" customFormat="1" ht="13.5" customHeight="1" x14ac:dyDescent="0.2">
      <c r="A58" s="1415"/>
      <c r="B58" s="1420" t="s">
        <v>1753</v>
      </c>
      <c r="C58" s="1421"/>
      <c r="D58" s="1421"/>
    </row>
    <row r="59" spans="1:9" s="1418" customFormat="1" ht="3.95" customHeight="1" x14ac:dyDescent="0.2">
      <c r="A59" s="1415"/>
      <c r="B59" s="1420"/>
      <c r="C59" s="1421"/>
      <c r="D59" s="1421"/>
    </row>
    <row r="60" spans="1:9" s="1418" customFormat="1" ht="13.5" customHeight="1" x14ac:dyDescent="0.2">
      <c r="A60" s="1415"/>
      <c r="B60" s="1420" t="s">
        <v>1754</v>
      </c>
      <c r="C60" s="1421"/>
      <c r="D60" s="1421"/>
    </row>
    <row r="61" spans="1:9" s="1418" customFormat="1" ht="3.95" customHeight="1" x14ac:dyDescent="0.2">
      <c r="A61" s="1415"/>
      <c r="B61" s="1420"/>
      <c r="C61" s="1421"/>
      <c r="D61" s="1421"/>
    </row>
    <row r="62" spans="1:9" s="1418" customFormat="1" ht="12.75" customHeight="1" x14ac:dyDescent="0.2">
      <c r="A62" s="1415"/>
      <c r="B62" s="1420" t="s">
        <v>1755</v>
      </c>
      <c r="C62" s="1421"/>
      <c r="D62" s="1421"/>
    </row>
    <row r="63" spans="1:9" s="1418" customFormat="1" ht="13.5" customHeight="1" x14ac:dyDescent="0.2">
      <c r="A63" s="1415"/>
      <c r="B63" s="1419" t="s">
        <v>1597</v>
      </c>
      <c r="C63" s="1415"/>
      <c r="D63" s="1415"/>
    </row>
  </sheetData>
  <sheetProtection password="F60E"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9"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M41"/>
  <sheetViews>
    <sheetView showGridLines="0" view="pageBreakPreview" zoomScaleNormal="110" zoomScaleSheetLayoutView="100" workbookViewId="0">
      <selection activeCell="AF22" sqref="AF22"/>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28" customWidth="1"/>
    <col min="8" max="8" width="10.5703125" style="317" customWidth="1"/>
    <col min="9" max="9" width="3.42578125" style="122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525" t="str">
        <f>'Single Audit Cover'!A7</f>
        <v>RILEY CCSD 18</v>
      </c>
      <c r="C1" s="2525"/>
      <c r="D1" s="2525"/>
      <c r="E1" s="2525"/>
      <c r="F1" s="2525"/>
      <c r="G1" s="2525"/>
      <c r="H1" s="2525"/>
      <c r="I1" s="2525"/>
      <c r="J1" s="2525"/>
      <c r="K1" s="2525"/>
      <c r="L1" s="1344"/>
      <c r="M1" s="1344"/>
    </row>
    <row r="2" spans="1:13" ht="12" customHeight="1" x14ac:dyDescent="0.2">
      <c r="B2" s="2527">
        <f>'Single Audit Cover'!E7</f>
        <v>44063018004</v>
      </c>
      <c r="C2" s="2527"/>
      <c r="D2" s="2527"/>
      <c r="E2" s="2527"/>
      <c r="F2" s="2527"/>
      <c r="G2" s="2527"/>
      <c r="H2" s="2527"/>
      <c r="I2" s="2527"/>
      <c r="J2" s="2527"/>
      <c r="K2" s="2527"/>
      <c r="L2" s="1345"/>
      <c r="M2" s="1346"/>
    </row>
    <row r="3" spans="1:13" ht="10.35" customHeight="1" x14ac:dyDescent="0.2">
      <c r="B3" s="2548" t="s">
        <v>1285</v>
      </c>
      <c r="C3" s="2548"/>
      <c r="D3" s="2548"/>
      <c r="E3" s="2548"/>
      <c r="F3" s="2548"/>
      <c r="G3" s="2548"/>
      <c r="H3" s="2548"/>
      <c r="I3" s="2548"/>
      <c r="J3" s="2548"/>
      <c r="K3" s="2548"/>
      <c r="L3" s="1347"/>
      <c r="M3" s="1347"/>
    </row>
    <row r="4" spans="1:13" ht="14.25" customHeight="1" x14ac:dyDescent="0.2">
      <c r="B4" s="2549" t="str">
        <f>'Single Audit Cover'!A4</f>
        <v>Year Ending June 30, 2019</v>
      </c>
      <c r="C4" s="2549"/>
      <c r="D4" s="2549"/>
      <c r="E4" s="2549"/>
      <c r="F4" s="2549"/>
      <c r="G4" s="2549"/>
      <c r="H4" s="2549"/>
      <c r="I4" s="2549"/>
      <c r="J4" s="2549"/>
      <c r="K4" s="2549"/>
      <c r="L4" s="313"/>
      <c r="M4" s="313"/>
    </row>
    <row r="5" spans="1:13" ht="7.5" customHeight="1" x14ac:dyDescent="0.2">
      <c r="B5" s="1230" t="s">
        <v>1169</v>
      </c>
      <c r="C5" s="1230"/>
    </row>
    <row r="6" spans="1:13" ht="7.5" customHeight="1" x14ac:dyDescent="0.2">
      <c r="B6" s="1348"/>
      <c r="C6" s="1348"/>
      <c r="D6" s="1349"/>
      <c r="E6" s="1349"/>
      <c r="F6" s="1349"/>
      <c r="G6" s="1350"/>
      <c r="H6" s="1349"/>
      <c r="I6" s="1350"/>
      <c r="J6" s="1349"/>
      <c r="K6" s="1349"/>
      <c r="L6" s="1351"/>
    </row>
    <row r="7" spans="1:13" ht="12.75" customHeight="1" x14ac:dyDescent="0.2">
      <c r="A7" s="1252"/>
      <c r="B7" s="2549" t="s">
        <v>1296</v>
      </c>
      <c r="C7" s="2549"/>
      <c r="D7" s="2550"/>
      <c r="E7" s="2550"/>
      <c r="F7" s="2550"/>
      <c r="G7" s="2550"/>
      <c r="H7" s="2550"/>
      <c r="I7" s="2550"/>
      <c r="J7" s="2550"/>
      <c r="K7" s="2550"/>
      <c r="L7" s="1352"/>
    </row>
    <row r="8" spans="1:13" ht="7.5" customHeight="1" x14ac:dyDescent="0.2">
      <c r="B8" s="322"/>
      <c r="C8" s="322"/>
      <c r="D8" s="322"/>
      <c r="E8" s="322"/>
      <c r="F8" s="322"/>
      <c r="G8" s="1353"/>
      <c r="H8" s="322"/>
      <c r="I8" s="1353"/>
      <c r="J8" s="322"/>
      <c r="K8" s="322"/>
      <c r="L8" s="1351"/>
    </row>
    <row r="9" spans="1:13" ht="9.6" customHeight="1" x14ac:dyDescent="0.2">
      <c r="B9" s="1349"/>
      <c r="C9" s="1349"/>
      <c r="D9" s="1349"/>
      <c r="E9" s="1349"/>
      <c r="F9" s="1349"/>
      <c r="G9" s="1350"/>
      <c r="H9" s="1349"/>
      <c r="I9" s="1350"/>
      <c r="J9" s="1349"/>
      <c r="K9" s="1349"/>
      <c r="L9" s="1351"/>
    </row>
    <row r="10" spans="1:13" ht="16.5" customHeight="1" x14ac:dyDescent="0.2">
      <c r="B10" s="1354" t="s">
        <v>1742</v>
      </c>
      <c r="C10" s="1355" t="s">
        <v>1991</v>
      </c>
      <c r="D10" s="1356"/>
      <c r="E10" s="322"/>
      <c r="F10" s="1357" t="s">
        <v>1295</v>
      </c>
      <c r="G10" s="1358"/>
      <c r="H10" s="1359" t="s">
        <v>1294</v>
      </c>
      <c r="I10" s="1358"/>
      <c r="J10" s="1360" t="s">
        <v>1293</v>
      </c>
      <c r="K10" s="322"/>
      <c r="L10" s="1351"/>
    </row>
    <row r="11" spans="1:13" ht="13.5" customHeight="1" x14ac:dyDescent="0.2">
      <c r="B11" s="322"/>
      <c r="C11" s="322"/>
      <c r="D11" s="322"/>
      <c r="E11" s="322"/>
      <c r="F11" s="322"/>
      <c r="G11" s="1353"/>
      <c r="H11" s="322"/>
      <c r="I11" s="1361" t="s">
        <v>1292</v>
      </c>
      <c r="J11" s="322"/>
      <c r="K11" s="1362"/>
      <c r="L11" s="1351"/>
    </row>
    <row r="12" spans="1:13" ht="13.5" customHeight="1" x14ac:dyDescent="0.2">
      <c r="B12" s="1264"/>
      <c r="C12" s="1264"/>
      <c r="D12" s="322"/>
      <c r="E12" s="322"/>
      <c r="F12" s="322"/>
      <c r="G12" s="1353"/>
      <c r="H12" s="322"/>
      <c r="I12" s="1353"/>
      <c r="J12" s="322"/>
      <c r="L12" s="1351"/>
    </row>
    <row r="13" spans="1:13" s="1252" customFormat="1" ht="13.5" customHeight="1" x14ac:dyDescent="0.2">
      <c r="B13" s="1363" t="s">
        <v>1291</v>
      </c>
      <c r="C13" s="1363"/>
      <c r="D13" s="1364"/>
      <c r="E13" s="1364"/>
      <c r="F13" s="1364"/>
      <c r="G13" s="1365"/>
      <c r="H13" s="1364"/>
      <c r="I13" s="1365"/>
      <c r="J13" s="1364"/>
      <c r="K13" s="1364"/>
      <c r="L13" s="1366"/>
    </row>
    <row r="14" spans="1:13" ht="45.75" customHeight="1" x14ac:dyDescent="0.2">
      <c r="B14" s="2547"/>
      <c r="C14" s="2547"/>
      <c r="D14" s="2547"/>
      <c r="E14" s="2547"/>
      <c r="F14" s="2547"/>
      <c r="G14" s="2547"/>
      <c r="H14" s="2547"/>
      <c r="I14" s="2547"/>
      <c r="J14" s="2547"/>
      <c r="K14" s="2547"/>
      <c r="L14" s="1367"/>
    </row>
    <row r="15" spans="1:13" ht="4.5" customHeight="1" x14ac:dyDescent="0.2">
      <c r="B15" s="1368"/>
      <c r="C15" s="1368"/>
      <c r="D15" s="1369"/>
      <c r="E15" s="1369"/>
      <c r="F15" s="1369"/>
      <c r="H15" s="1369"/>
      <c r="J15" s="1369"/>
      <c r="K15" s="1369"/>
      <c r="L15" s="1367"/>
    </row>
    <row r="16" spans="1:13" s="1252" customFormat="1" ht="13.5" customHeight="1" x14ac:dyDescent="0.2">
      <c r="B16" s="1363" t="s">
        <v>1290</v>
      </c>
      <c r="C16" s="1363"/>
      <c r="D16" s="1364"/>
      <c r="E16" s="1364"/>
      <c r="F16" s="1364"/>
      <c r="G16" s="1365"/>
      <c r="H16" s="1364"/>
      <c r="I16" s="1365"/>
      <c r="J16" s="1364"/>
      <c r="K16" s="1364"/>
      <c r="L16" s="1366"/>
    </row>
    <row r="17" spans="2:12" ht="45.75" customHeight="1" x14ac:dyDescent="0.2">
      <c r="B17" s="2547"/>
      <c r="C17" s="2547"/>
      <c r="D17" s="2547"/>
      <c r="E17" s="2547"/>
      <c r="F17" s="2547"/>
      <c r="G17" s="2547"/>
      <c r="H17" s="2547"/>
      <c r="I17" s="2547"/>
      <c r="J17" s="2547"/>
      <c r="K17" s="2547"/>
      <c r="L17" s="1351"/>
    </row>
    <row r="18" spans="2:12" ht="4.5" customHeight="1" x14ac:dyDescent="0.2">
      <c r="B18" s="1368"/>
      <c r="C18" s="1368"/>
      <c r="L18" s="1351"/>
    </row>
    <row r="19" spans="2:12" s="1252" customFormat="1" ht="13.5" customHeight="1" x14ac:dyDescent="0.2">
      <c r="B19" s="1363" t="s">
        <v>1743</v>
      </c>
      <c r="C19" s="1363"/>
      <c r="D19" s="1364"/>
      <c r="E19" s="1364"/>
      <c r="F19" s="1364"/>
      <c r="G19" s="1365"/>
      <c r="H19" s="1364"/>
      <c r="I19" s="1365"/>
      <c r="J19" s="1364"/>
      <c r="K19" s="1364"/>
      <c r="L19" s="1366"/>
    </row>
    <row r="20" spans="2:12" ht="45.75" customHeight="1" x14ac:dyDescent="0.2">
      <c r="B20" s="2551"/>
      <c r="C20" s="2551"/>
      <c r="D20" s="2547"/>
      <c r="E20" s="2547"/>
      <c r="F20" s="2547"/>
      <c r="G20" s="2547"/>
      <c r="H20" s="2547"/>
      <c r="I20" s="2547"/>
      <c r="J20" s="2547"/>
      <c r="K20" s="2547"/>
      <c r="L20" s="1351"/>
    </row>
    <row r="21" spans="2:12" ht="4.5" customHeight="1" x14ac:dyDescent="0.2">
      <c r="B21" s="1370"/>
      <c r="C21" s="1370"/>
      <c r="L21" s="1351"/>
    </row>
    <row r="22" spans="2:12" ht="13.5" customHeight="1" x14ac:dyDescent="0.2">
      <c r="B22" s="1363" t="s">
        <v>1289</v>
      </c>
      <c r="C22" s="1363"/>
      <c r="D22" s="1349"/>
      <c r="E22" s="1349"/>
      <c r="F22" s="1349"/>
      <c r="G22" s="1350"/>
      <c r="H22" s="1349"/>
      <c r="I22" s="1350"/>
      <c r="J22" s="1349"/>
      <c r="K22" s="1349"/>
      <c r="L22" s="1351"/>
    </row>
    <row r="23" spans="2:12" ht="45" customHeight="1" x14ac:dyDescent="0.2">
      <c r="B23" s="2547"/>
      <c r="C23" s="2547"/>
      <c r="D23" s="2547"/>
      <c r="E23" s="2547"/>
      <c r="F23" s="2547"/>
      <c r="G23" s="2547"/>
      <c r="H23" s="2547"/>
      <c r="I23" s="2547"/>
      <c r="J23" s="2547"/>
      <c r="K23" s="2547"/>
      <c r="L23" s="1351"/>
    </row>
    <row r="24" spans="2:12" ht="4.5" customHeight="1" x14ac:dyDescent="0.2">
      <c r="B24" s="1368"/>
      <c r="C24" s="1368"/>
      <c r="L24" s="1351"/>
    </row>
    <row r="25" spans="2:12" ht="13.5" customHeight="1" x14ac:dyDescent="0.2">
      <c r="B25" s="1363" t="s">
        <v>1288</v>
      </c>
      <c r="C25" s="1363"/>
      <c r="D25" s="1349"/>
      <c r="E25" s="1349"/>
      <c r="F25" s="1349"/>
      <c r="G25" s="1350"/>
      <c r="H25" s="1349"/>
      <c r="I25" s="1350"/>
      <c r="J25" s="1349"/>
      <c r="K25" s="1349"/>
      <c r="L25" s="1351"/>
    </row>
    <row r="26" spans="2:12" ht="45.75" customHeight="1" x14ac:dyDescent="0.2">
      <c r="B26" s="2547"/>
      <c r="C26" s="2547"/>
      <c r="D26" s="2547"/>
      <c r="E26" s="2547"/>
      <c r="F26" s="2547"/>
      <c r="G26" s="2547"/>
      <c r="H26" s="2547"/>
      <c r="I26" s="2547"/>
      <c r="J26" s="2547"/>
      <c r="K26" s="2547"/>
      <c r="L26" s="1351"/>
    </row>
    <row r="27" spans="2:12" ht="4.5" customHeight="1" x14ac:dyDescent="0.2">
      <c r="B27" s="1368"/>
      <c r="C27" s="1368"/>
      <c r="L27" s="1351"/>
    </row>
    <row r="28" spans="2:12" ht="13.5" customHeight="1" x14ac:dyDescent="0.2">
      <c r="B28" s="1371" t="s">
        <v>1287</v>
      </c>
      <c r="C28" s="1371"/>
      <c r="D28" s="1349"/>
      <c r="E28" s="1349"/>
      <c r="F28" s="1349"/>
      <c r="G28" s="1350"/>
      <c r="H28" s="1349"/>
      <c r="I28" s="1350"/>
      <c r="J28" s="1349"/>
      <c r="K28" s="1349"/>
      <c r="L28" s="1351"/>
    </row>
    <row r="29" spans="2:12" ht="45.75" customHeight="1" x14ac:dyDescent="0.2">
      <c r="B29" s="2546"/>
      <c r="C29" s="2546"/>
      <c r="D29" s="2547"/>
      <c r="E29" s="2547"/>
      <c r="F29" s="2547"/>
      <c r="G29" s="2547"/>
      <c r="H29" s="2547"/>
      <c r="I29" s="2547"/>
      <c r="J29" s="2547"/>
      <c r="K29" s="2547"/>
      <c r="L29" s="1351"/>
    </row>
    <row r="30" spans="2:12" ht="4.5" customHeight="1" x14ac:dyDescent="0.2">
      <c r="B30" s="1372"/>
      <c r="C30" s="1372"/>
      <c r="D30" s="322"/>
      <c r="E30" s="322"/>
      <c r="F30" s="322"/>
      <c r="G30" s="1353"/>
      <c r="H30" s="322"/>
      <c r="I30" s="1353"/>
      <c r="J30" s="322"/>
      <c r="K30" s="322"/>
      <c r="L30" s="1351"/>
    </row>
    <row r="31" spans="2:12" s="322" customFormat="1" ht="13.5" customHeight="1" x14ac:dyDescent="0.2">
      <c r="B31" s="1373" t="s">
        <v>1744</v>
      </c>
      <c r="C31" s="1373"/>
      <c r="D31" s="1348"/>
      <c r="E31" s="1349"/>
      <c r="F31" s="1349"/>
      <c r="G31" s="1350"/>
      <c r="H31" s="1349"/>
      <c r="I31" s="1350"/>
      <c r="J31" s="1349"/>
      <c r="K31" s="1349"/>
      <c r="L31" s="1351"/>
    </row>
    <row r="32" spans="2:12" s="322" customFormat="1" ht="44.25" customHeight="1" x14ac:dyDescent="0.2">
      <c r="B32" s="2546"/>
      <c r="C32" s="2546"/>
      <c r="D32" s="2547"/>
      <c r="E32" s="2547"/>
      <c r="F32" s="2547"/>
      <c r="G32" s="2547"/>
      <c r="H32" s="2547"/>
      <c r="I32" s="2547"/>
      <c r="J32" s="2547"/>
      <c r="K32" s="2547"/>
      <c r="L32" s="1351"/>
    </row>
    <row r="33" spans="1:13" s="322" customFormat="1" ht="4.5" customHeight="1" x14ac:dyDescent="0.2">
      <c r="B33" s="1372"/>
      <c r="C33" s="1372"/>
      <c r="G33" s="1353"/>
      <c r="I33" s="1353"/>
      <c r="L33" s="1351"/>
    </row>
    <row r="34" spans="1:13" s="322" customFormat="1" x14ac:dyDescent="0.2">
      <c r="A34" s="1267"/>
      <c r="B34" s="1374"/>
      <c r="C34" s="1374"/>
      <c r="D34" s="1374"/>
      <c r="E34" s="1374"/>
      <c r="F34" s="1374"/>
      <c r="G34" s="1375"/>
      <c r="H34" s="1374"/>
      <c r="I34" s="1375"/>
      <c r="J34" s="1374"/>
      <c r="K34" s="1374"/>
      <c r="L34" s="1351"/>
    </row>
    <row r="35" spans="1:13" ht="11.85" customHeight="1" x14ac:dyDescent="0.2">
      <c r="B35" s="1376" t="s">
        <v>1745</v>
      </c>
      <c r="C35" s="1376"/>
      <c r="D35" s="322"/>
      <c r="E35" s="322"/>
      <c r="F35" s="322"/>
      <c r="L35" s="1351"/>
    </row>
    <row r="36" spans="1:13" ht="9.6" customHeight="1" x14ac:dyDescent="0.2">
      <c r="B36" s="1270" t="s">
        <v>1842</v>
      </c>
      <c r="C36" s="1270"/>
      <c r="L36" s="1351"/>
    </row>
    <row r="37" spans="1:13" ht="9.6" customHeight="1" x14ac:dyDescent="0.2">
      <c r="B37" s="1270" t="s">
        <v>1843</v>
      </c>
      <c r="C37" s="1270"/>
    </row>
    <row r="38" spans="1:13" ht="11.85" customHeight="1" x14ac:dyDescent="0.2">
      <c r="B38" s="1377" t="s">
        <v>1746</v>
      </c>
      <c r="C38" s="1377"/>
    </row>
    <row r="39" spans="1:13" ht="9.6" customHeight="1" x14ac:dyDescent="0.2">
      <c r="B39" s="1270" t="s">
        <v>1286</v>
      </c>
      <c r="C39" s="1270"/>
      <c r="M39" s="1378"/>
    </row>
    <row r="40" spans="1:13" ht="12.6" customHeight="1" x14ac:dyDescent="0.2">
      <c r="B40" s="1377" t="s">
        <v>1747</v>
      </c>
      <c r="C40" s="1377"/>
      <c r="M40" s="1378"/>
    </row>
    <row r="41" spans="1:13" ht="9.6" customHeight="1" x14ac:dyDescent="0.2">
      <c r="B41" s="1270"/>
      <c r="C41" s="1270"/>
      <c r="M41" s="1378"/>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L48"/>
  <sheetViews>
    <sheetView showGridLines="0" view="pageBreakPreview" zoomScaleNormal="110" zoomScaleSheetLayoutView="100" workbookViewId="0">
      <selection activeCell="AF22" sqref="AF22"/>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28" customWidth="1"/>
    <col min="8" max="8" width="10.5703125" style="317" customWidth="1"/>
    <col min="9" max="9" width="3.42578125" style="122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52" t="str">
        <f>'Single Audit Cover'!A7</f>
        <v>RILEY CCSD 18</v>
      </c>
      <c r="C1" s="2552"/>
      <c r="D1" s="2552"/>
      <c r="E1" s="2552"/>
      <c r="F1" s="2552"/>
      <c r="G1" s="2552"/>
      <c r="H1" s="2552"/>
      <c r="I1" s="2552"/>
      <c r="J1" s="2552"/>
      <c r="K1" s="2552"/>
      <c r="L1" s="1422"/>
    </row>
    <row r="2" spans="1:12" ht="12.75" customHeight="1" x14ac:dyDescent="0.2">
      <c r="B2" s="2553">
        <f>'Single Audit Cover'!E7</f>
        <v>44063018004</v>
      </c>
      <c r="C2" s="2553"/>
      <c r="D2" s="2553"/>
      <c r="E2" s="2553"/>
      <c r="F2" s="2553"/>
      <c r="G2" s="2553"/>
      <c r="H2" s="2553"/>
      <c r="I2" s="2553"/>
      <c r="J2" s="2553"/>
      <c r="K2" s="2553"/>
      <c r="L2" s="1423"/>
    </row>
    <row r="3" spans="1:12" ht="12.75" customHeight="1" x14ac:dyDescent="0.2">
      <c r="B3" s="2548" t="s">
        <v>1285</v>
      </c>
      <c r="C3" s="2548"/>
      <c r="D3" s="2548"/>
      <c r="E3" s="2548"/>
      <c r="F3" s="2548"/>
      <c r="G3" s="2548"/>
      <c r="H3" s="2548"/>
      <c r="I3" s="2548"/>
      <c r="J3" s="2548"/>
      <c r="K3" s="2548"/>
      <c r="L3" s="1347"/>
    </row>
    <row r="4" spans="1:12" ht="12.75" customHeight="1" x14ac:dyDescent="0.2">
      <c r="B4" s="2548" t="str">
        <f>'Single Audit Cover'!A4</f>
        <v>Year Ending June 30, 2019</v>
      </c>
      <c r="C4" s="2548"/>
      <c r="D4" s="2548"/>
      <c r="E4" s="2548"/>
      <c r="F4" s="2548"/>
      <c r="G4" s="2548"/>
      <c r="H4" s="2548"/>
      <c r="I4" s="2548"/>
      <c r="J4" s="2548"/>
      <c r="K4" s="2548"/>
      <c r="L4" s="1347"/>
    </row>
    <row r="5" spans="1:12" ht="5.25" customHeight="1" x14ac:dyDescent="0.2">
      <c r="B5" s="1230" t="s">
        <v>1169</v>
      </c>
      <c r="C5" s="1230"/>
      <c r="L5" s="322"/>
    </row>
    <row r="6" spans="1:12" ht="30.75" customHeight="1" x14ac:dyDescent="0.2">
      <c r="A6" s="322"/>
      <c r="B6" s="2554" t="s">
        <v>1308</v>
      </c>
      <c r="C6" s="2554"/>
      <c r="D6" s="2554"/>
      <c r="E6" s="2554"/>
      <c r="F6" s="2554"/>
      <c r="G6" s="2554"/>
      <c r="H6" s="2554"/>
      <c r="I6" s="2554"/>
      <c r="J6" s="2554"/>
      <c r="K6" s="2554"/>
      <c r="L6" s="322"/>
    </row>
    <row r="7" spans="1:12" ht="4.5" customHeight="1" x14ac:dyDescent="0.2">
      <c r="B7" s="1349"/>
      <c r="C7" s="1349"/>
      <c r="D7" s="1349"/>
      <c r="E7" s="1349"/>
      <c r="F7" s="1349"/>
      <c r="G7" s="1350"/>
      <c r="H7" s="1349"/>
      <c r="I7" s="1350"/>
      <c r="J7" s="1349"/>
      <c r="K7" s="1349"/>
      <c r="L7" s="322"/>
    </row>
    <row r="8" spans="1:12" ht="13.5" customHeight="1" x14ac:dyDescent="0.2">
      <c r="B8" s="1357" t="s">
        <v>1756</v>
      </c>
      <c r="C8" s="1424" t="s">
        <v>1991</v>
      </c>
      <c r="D8" s="1425"/>
      <c r="E8" s="322"/>
      <c r="F8" s="1354" t="s">
        <v>1295</v>
      </c>
      <c r="G8" s="1426"/>
      <c r="H8" s="1427" t="s">
        <v>1307</v>
      </c>
      <c r="I8" s="1426"/>
      <c r="J8" s="1428" t="s">
        <v>1306</v>
      </c>
      <c r="L8" s="322"/>
    </row>
    <row r="9" spans="1:12" ht="13.5" customHeight="1" x14ac:dyDescent="0.2">
      <c r="D9" s="322"/>
      <c r="E9" s="322"/>
      <c r="F9" s="322"/>
      <c r="G9" s="1353"/>
      <c r="H9" s="322"/>
      <c r="I9" s="1429" t="s">
        <v>1292</v>
      </c>
      <c r="J9" s="322"/>
      <c r="K9" s="1430"/>
      <c r="L9" s="322"/>
    </row>
    <row r="10" spans="1:12" ht="4.5" customHeight="1" x14ac:dyDescent="0.2">
      <c r="B10" s="1431"/>
      <c r="C10" s="1431"/>
      <c r="D10" s="1384"/>
      <c r="E10" s="1384"/>
      <c r="F10" s="1384"/>
      <c r="G10" s="1385"/>
      <c r="H10" s="1384"/>
      <c r="I10" s="1385"/>
      <c r="J10" s="1384"/>
      <c r="K10" s="1384"/>
      <c r="L10" s="322"/>
    </row>
    <row r="11" spans="1:12" ht="5.25" customHeight="1" x14ac:dyDescent="0.2">
      <c r="B11" s="322"/>
      <c r="C11" s="322"/>
      <c r="D11" s="304"/>
      <c r="E11" s="322"/>
      <c r="F11" s="322"/>
      <c r="G11" s="1353"/>
      <c r="H11" s="322"/>
      <c r="I11" s="1353"/>
      <c r="J11" s="322"/>
      <c r="K11" s="1389"/>
      <c r="L11" s="322"/>
    </row>
    <row r="12" spans="1:12" ht="13.5" customHeight="1" x14ac:dyDescent="0.2">
      <c r="B12" s="1354" t="s">
        <v>1305</v>
      </c>
      <c r="C12" s="1354"/>
      <c r="D12" s="304"/>
      <c r="E12" s="322"/>
      <c r="F12" s="2532"/>
      <c r="G12" s="2532"/>
      <c r="H12" s="2532"/>
      <c r="I12" s="2532"/>
      <c r="J12" s="2532"/>
      <c r="K12" s="2532"/>
      <c r="L12" s="322"/>
    </row>
    <row r="13" spans="1:12" ht="9.6" customHeight="1" x14ac:dyDescent="0.2">
      <c r="B13" s="1227"/>
      <c r="C13" s="1227"/>
      <c r="D13" s="304"/>
      <c r="E13" s="322"/>
      <c r="F13" s="322"/>
      <c r="G13" s="1353"/>
      <c r="H13" s="322"/>
      <c r="I13" s="1353"/>
      <c r="J13" s="322"/>
      <c r="K13" s="1389"/>
      <c r="L13" s="322"/>
    </row>
    <row r="14" spans="1:12" ht="13.5" customHeight="1" x14ac:dyDescent="0.2">
      <c r="B14" s="1357" t="s">
        <v>1304</v>
      </c>
      <c r="C14" s="1357"/>
      <c r="D14" s="2555"/>
      <c r="E14" s="2555"/>
      <c r="F14" s="2555"/>
      <c r="H14" s="1432" t="s">
        <v>1303</v>
      </c>
      <c r="I14" s="2556"/>
      <c r="J14" s="2556"/>
      <c r="K14" s="2556"/>
      <c r="L14" s="322"/>
    </row>
    <row r="15" spans="1:12" ht="9.4" customHeight="1" x14ac:dyDescent="0.2">
      <c r="B15" s="1357"/>
      <c r="C15" s="1357"/>
      <c r="D15" s="1343"/>
      <c r="E15" s="1230"/>
      <c r="F15" s="1230"/>
      <c r="G15" s="1256"/>
      <c r="H15" s="1230"/>
      <c r="I15" s="1433"/>
      <c r="J15" s="1264"/>
      <c r="K15" s="1261"/>
      <c r="L15" s="322"/>
    </row>
    <row r="16" spans="1:12" ht="13.5" customHeight="1" x14ac:dyDescent="0.2">
      <c r="B16" s="1357" t="s">
        <v>1302</v>
      </c>
      <c r="C16" s="1357"/>
      <c r="D16" s="2556"/>
      <c r="E16" s="2556"/>
      <c r="F16" s="2556"/>
      <c r="G16" s="2556"/>
      <c r="H16" s="2556"/>
      <c r="I16" s="2556"/>
      <c r="J16" s="2556"/>
      <c r="K16" s="2556"/>
      <c r="L16" s="322"/>
    </row>
    <row r="17" spans="2:12" ht="13.5" customHeight="1" x14ac:dyDescent="0.2">
      <c r="B17" s="1357" t="s">
        <v>1301</v>
      </c>
      <c r="C17" s="1357"/>
      <c r="D17" s="2557"/>
      <c r="E17" s="2557"/>
      <c r="F17" s="2557"/>
      <c r="G17" s="2557"/>
      <c r="H17" s="2557"/>
      <c r="I17" s="2557"/>
      <c r="J17" s="2557"/>
      <c r="K17" s="2557"/>
      <c r="L17" s="322"/>
    </row>
    <row r="18" spans="2:12" ht="9.4" customHeight="1" x14ac:dyDescent="0.2">
      <c r="B18" s="1384"/>
      <c r="C18" s="1384"/>
      <c r="D18" s="1384"/>
      <c r="E18" s="1384"/>
      <c r="F18" s="1384"/>
      <c r="G18" s="1385"/>
      <c r="H18" s="1384"/>
      <c r="I18" s="1385"/>
      <c r="J18" s="1384"/>
      <c r="K18" s="1384"/>
      <c r="L18" s="322"/>
    </row>
    <row r="19" spans="2:12" ht="13.5" customHeight="1" x14ac:dyDescent="0.2">
      <c r="B19" s="1434" t="s">
        <v>1300</v>
      </c>
      <c r="C19" s="1434"/>
      <c r="D19" s="328"/>
      <c r="E19" s="328"/>
      <c r="F19" s="328"/>
      <c r="G19" s="1435"/>
      <c r="H19" s="328"/>
      <c r="I19" s="1435"/>
      <c r="J19" s="322"/>
      <c r="K19" s="322"/>
      <c r="L19" s="322"/>
    </row>
    <row r="20" spans="2:12" ht="35.25" customHeight="1" x14ac:dyDescent="0.2">
      <c r="B20" s="2547"/>
      <c r="C20" s="2547"/>
      <c r="D20" s="2547"/>
      <c r="E20" s="2547"/>
      <c r="F20" s="2547"/>
      <c r="G20" s="2547"/>
      <c r="H20" s="2547"/>
      <c r="I20" s="2547"/>
      <c r="J20" s="2547"/>
      <c r="K20" s="2547"/>
      <c r="L20" s="1389"/>
    </row>
    <row r="21" spans="2:12" ht="4.5" customHeight="1" x14ac:dyDescent="0.2">
      <c r="B21" s="1436"/>
      <c r="C21" s="1436"/>
      <c r="D21" s="1437"/>
      <c r="E21" s="1437"/>
      <c r="F21" s="1437"/>
      <c r="G21" s="1385"/>
      <c r="H21" s="1437"/>
      <c r="I21" s="1385"/>
      <c r="J21" s="1437"/>
      <c r="K21" s="1437"/>
      <c r="L21" s="1389"/>
    </row>
    <row r="22" spans="2:12" ht="13.35" customHeight="1" x14ac:dyDescent="0.2">
      <c r="B22" s="1434" t="s">
        <v>1757</v>
      </c>
      <c r="C22" s="1434"/>
      <c r="D22" s="322"/>
      <c r="E22" s="322"/>
      <c r="F22" s="322"/>
      <c r="G22" s="1353"/>
      <c r="H22" s="322"/>
      <c r="I22" s="1353"/>
      <c r="J22" s="322"/>
      <c r="K22" s="322"/>
      <c r="L22" s="322"/>
    </row>
    <row r="23" spans="2:12" ht="37.5" customHeight="1" x14ac:dyDescent="0.2">
      <c r="B23" s="2547"/>
      <c r="C23" s="2547"/>
      <c r="D23" s="2547"/>
      <c r="E23" s="2547"/>
      <c r="F23" s="2547"/>
      <c r="G23" s="2547"/>
      <c r="H23" s="2547"/>
      <c r="I23" s="2547"/>
      <c r="J23" s="2547"/>
      <c r="K23" s="2547"/>
      <c r="L23" s="322"/>
    </row>
    <row r="24" spans="2:12" ht="4.5" customHeight="1" x14ac:dyDescent="0.2">
      <c r="B24" s="1436"/>
      <c r="C24" s="1436"/>
      <c r="D24" s="1384"/>
      <c r="E24" s="1384"/>
      <c r="F24" s="1384"/>
      <c r="G24" s="1385"/>
      <c r="H24" s="1384"/>
      <c r="I24" s="1385"/>
      <c r="J24" s="1384"/>
      <c r="K24" s="1384"/>
      <c r="L24" s="322"/>
    </row>
    <row r="25" spans="2:12" ht="13.5" customHeight="1" x14ac:dyDescent="0.2">
      <c r="B25" s="1434" t="s">
        <v>1758</v>
      </c>
      <c r="C25" s="1434"/>
      <c r="D25" s="322"/>
      <c r="E25" s="322"/>
      <c r="F25" s="322"/>
      <c r="G25" s="1353"/>
      <c r="H25" s="322"/>
      <c r="I25" s="1353"/>
      <c r="J25" s="322"/>
      <c r="K25" s="322"/>
      <c r="L25" s="322"/>
    </row>
    <row r="26" spans="2:12" ht="37.5" customHeight="1" x14ac:dyDescent="0.2">
      <c r="B26" s="2547"/>
      <c r="C26" s="2547"/>
      <c r="D26" s="2547"/>
      <c r="E26" s="2547"/>
      <c r="F26" s="2547"/>
      <c r="G26" s="2547"/>
      <c r="H26" s="2547"/>
      <c r="I26" s="2547"/>
      <c r="J26" s="2547"/>
      <c r="K26" s="2547"/>
      <c r="L26" s="322"/>
    </row>
    <row r="27" spans="2:12" ht="4.5" customHeight="1" x14ac:dyDescent="0.2">
      <c r="B27" s="1438"/>
      <c r="C27" s="1438"/>
      <c r="D27" s="1438"/>
      <c r="E27" s="1384"/>
      <c r="F27" s="1384"/>
      <c r="G27" s="1385"/>
      <c r="H27" s="1384"/>
      <c r="I27" s="1385"/>
      <c r="J27" s="1384"/>
      <c r="K27" s="1384"/>
      <c r="L27" s="322"/>
    </row>
    <row r="28" spans="2:12" ht="13.5" customHeight="1" x14ac:dyDescent="0.2">
      <c r="B28" s="1434" t="s">
        <v>1759</v>
      </c>
      <c r="C28" s="1434"/>
      <c r="D28" s="322"/>
      <c r="E28" s="322"/>
      <c r="F28" s="322"/>
      <c r="G28" s="1353"/>
      <c r="H28" s="322"/>
      <c r="I28" s="1353"/>
      <c r="J28" s="322"/>
      <c r="K28" s="322"/>
      <c r="L28" s="322"/>
    </row>
    <row r="29" spans="2:12" ht="37.5" customHeight="1" x14ac:dyDescent="0.2">
      <c r="B29" s="2547"/>
      <c r="C29" s="2547"/>
      <c r="D29" s="2547"/>
      <c r="E29" s="2547"/>
      <c r="F29" s="2547"/>
      <c r="G29" s="2547"/>
      <c r="H29" s="2547"/>
      <c r="I29" s="2547"/>
      <c r="J29" s="2547"/>
      <c r="K29" s="2547"/>
      <c r="L29" s="322"/>
    </row>
    <row r="30" spans="2:12" ht="4.5" customHeight="1" x14ac:dyDescent="0.2">
      <c r="B30" s="1436"/>
      <c r="C30" s="1436"/>
      <c r="D30" s="1384"/>
      <c r="E30" s="1384"/>
      <c r="F30" s="1384"/>
      <c r="G30" s="1385"/>
      <c r="H30" s="1384"/>
      <c r="I30" s="1385"/>
      <c r="J30" s="1384"/>
      <c r="K30" s="1384"/>
      <c r="L30" s="322"/>
    </row>
    <row r="31" spans="2:12" ht="13.5" customHeight="1" x14ac:dyDescent="0.2">
      <c r="B31" s="1434" t="s">
        <v>1299</v>
      </c>
      <c r="C31" s="1434"/>
      <c r="D31" s="322"/>
      <c r="E31" s="322"/>
      <c r="F31" s="322"/>
      <c r="G31" s="1353"/>
      <c r="H31" s="322"/>
      <c r="I31" s="1353"/>
      <c r="J31" s="322"/>
      <c r="K31" s="322"/>
      <c r="L31" s="322"/>
    </row>
    <row r="32" spans="2:12" ht="37.5" customHeight="1" x14ac:dyDescent="0.2">
      <c r="B32" s="2547"/>
      <c r="C32" s="2547"/>
      <c r="D32" s="2547"/>
      <c r="E32" s="2547"/>
      <c r="F32" s="2547"/>
      <c r="G32" s="2547"/>
      <c r="H32" s="2547"/>
      <c r="I32" s="2547"/>
      <c r="J32" s="2547"/>
      <c r="K32" s="2547"/>
      <c r="L32" s="322"/>
    </row>
    <row r="33" spans="2:12" ht="4.5" customHeight="1" x14ac:dyDescent="0.2">
      <c r="B33" s="1436"/>
      <c r="C33" s="1436"/>
      <c r="D33" s="1384"/>
      <c r="E33" s="1384"/>
      <c r="F33" s="1384"/>
      <c r="G33" s="1385"/>
      <c r="H33" s="1384"/>
      <c r="I33" s="1385"/>
      <c r="J33" s="1384"/>
      <c r="K33" s="1384"/>
      <c r="L33" s="322"/>
    </row>
    <row r="34" spans="2:12" ht="13.5" customHeight="1" x14ac:dyDescent="0.2">
      <c r="B34" s="1354" t="s">
        <v>1298</v>
      </c>
      <c r="C34" s="1354"/>
      <c r="D34" s="322"/>
      <c r="E34" s="322"/>
      <c r="F34" s="322"/>
      <c r="G34" s="1353"/>
      <c r="H34" s="322"/>
      <c r="I34" s="1353"/>
      <c r="J34" s="322"/>
      <c r="K34" s="322"/>
      <c r="L34" s="322"/>
    </row>
    <row r="35" spans="2:12" ht="37.5" customHeight="1" x14ac:dyDescent="0.2">
      <c r="B35" s="2547"/>
      <c r="C35" s="2547"/>
      <c r="D35" s="2547"/>
      <c r="E35" s="2547"/>
      <c r="F35" s="2547"/>
      <c r="G35" s="2547"/>
      <c r="H35" s="2547"/>
      <c r="I35" s="2547"/>
      <c r="J35" s="2547"/>
      <c r="K35" s="2547"/>
      <c r="L35" s="322"/>
    </row>
    <row r="36" spans="2:12" ht="4.5" customHeight="1" x14ac:dyDescent="0.2">
      <c r="B36" s="1436"/>
      <c r="C36" s="1436"/>
      <c r="D36" s="1384"/>
      <c r="E36" s="1384"/>
      <c r="F36" s="1384"/>
      <c r="G36" s="1385"/>
      <c r="H36" s="1384"/>
      <c r="I36" s="1385"/>
      <c r="J36" s="1384"/>
      <c r="K36" s="1384"/>
      <c r="L36" s="322"/>
    </row>
    <row r="37" spans="2:12" ht="13.5" customHeight="1" x14ac:dyDescent="0.2">
      <c r="B37" s="1354" t="s">
        <v>1297</v>
      </c>
      <c r="C37" s="1354"/>
      <c r="D37" s="322"/>
      <c r="E37" s="322"/>
      <c r="F37" s="322"/>
      <c r="G37" s="1353"/>
      <c r="H37" s="322"/>
      <c r="I37" s="1353"/>
      <c r="J37" s="322"/>
      <c r="K37" s="322"/>
      <c r="L37" s="322"/>
    </row>
    <row r="38" spans="2:12" ht="35.25" customHeight="1" x14ac:dyDescent="0.2">
      <c r="B38" s="2547"/>
      <c r="C38" s="2547"/>
      <c r="D38" s="2547"/>
      <c r="E38" s="2547"/>
      <c r="F38" s="2547"/>
      <c r="G38" s="2547"/>
      <c r="H38" s="2547"/>
      <c r="I38" s="2547"/>
      <c r="J38" s="2547"/>
      <c r="K38" s="2547"/>
      <c r="L38" s="322"/>
    </row>
    <row r="39" spans="2:12" ht="4.5" customHeight="1" x14ac:dyDescent="0.2">
      <c r="B39" s="1372"/>
      <c r="C39" s="1372"/>
      <c r="D39" s="322"/>
      <c r="E39" s="322"/>
      <c r="F39" s="322"/>
      <c r="G39" s="1353"/>
      <c r="H39" s="322"/>
      <c r="I39" s="1353"/>
      <c r="J39" s="322"/>
      <c r="K39" s="322"/>
      <c r="L39" s="322"/>
    </row>
    <row r="40" spans="2:12" s="322" customFormat="1" ht="13.5" customHeight="1" x14ac:dyDescent="0.2">
      <c r="B40" s="1373" t="s">
        <v>1760</v>
      </c>
      <c r="C40" s="1373"/>
      <c r="D40" s="1348"/>
      <c r="E40" s="1349"/>
      <c r="F40" s="1349"/>
      <c r="G40" s="1350"/>
      <c r="H40" s="1349"/>
      <c r="I40" s="1350"/>
      <c r="J40" s="1349"/>
      <c r="K40" s="1349"/>
    </row>
    <row r="41" spans="2:12" s="322" customFormat="1" ht="33.75" customHeight="1" x14ac:dyDescent="0.2">
      <c r="B41" s="2547"/>
      <c r="C41" s="2547"/>
      <c r="D41" s="2547"/>
      <c r="E41" s="2547"/>
      <c r="F41" s="2547"/>
      <c r="G41" s="2547"/>
      <c r="H41" s="2547"/>
      <c r="I41" s="2547"/>
      <c r="J41" s="2547"/>
      <c r="K41" s="2547"/>
    </row>
    <row r="42" spans="2:12" s="322" customFormat="1" ht="4.5" customHeight="1" x14ac:dyDescent="0.2">
      <c r="B42" s="1372"/>
      <c r="C42" s="1372"/>
      <c r="G42" s="1353"/>
      <c r="I42" s="1353"/>
    </row>
    <row r="43" spans="2:12" ht="7.5" customHeight="1" x14ac:dyDescent="0.25">
      <c r="B43" s="1439"/>
      <c r="C43" s="1439"/>
      <c r="D43" s="1440"/>
      <c r="E43" s="1440"/>
      <c r="F43" s="1440"/>
      <c r="G43" s="1441"/>
      <c r="H43" s="1440"/>
      <c r="I43" s="1441"/>
      <c r="J43" s="1440"/>
      <c r="K43" s="1440"/>
    </row>
    <row r="44" spans="2:12" ht="13.5" customHeight="1" x14ac:dyDescent="0.2">
      <c r="B44" s="1376" t="s">
        <v>1761</v>
      </c>
      <c r="C44" s="1376"/>
      <c r="D44" s="322"/>
      <c r="E44" s="322"/>
      <c r="F44" s="322"/>
    </row>
    <row r="45" spans="2:12" ht="10.5" customHeight="1" x14ac:dyDescent="0.2">
      <c r="B45" s="1377" t="s">
        <v>1762</v>
      </c>
      <c r="C45" s="1377"/>
      <c r="G45" s="317"/>
      <c r="I45" s="317"/>
    </row>
    <row r="46" spans="2:12" ht="11.1" customHeight="1" x14ac:dyDescent="0.2">
      <c r="B46" s="1377" t="s">
        <v>1763</v>
      </c>
      <c r="C46" s="1377"/>
      <c r="G46" s="317"/>
      <c r="I46" s="317"/>
    </row>
    <row r="47" spans="2:12" ht="11.1" customHeight="1" x14ac:dyDescent="0.2">
      <c r="B47" s="1377" t="s">
        <v>1764</v>
      </c>
      <c r="C47" s="1377"/>
      <c r="G47" s="317"/>
      <c r="I47" s="317"/>
    </row>
    <row r="48" spans="2:12" ht="11.1" customHeight="1" x14ac:dyDescent="0.2">
      <c r="B48" s="1377" t="s">
        <v>1765</v>
      </c>
      <c r="C48" s="1377"/>
      <c r="G48" s="317"/>
      <c r="I48" s="317"/>
    </row>
  </sheetData>
  <sheetProtection password="F60E"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B1:E73"/>
  <sheetViews>
    <sheetView showGridLines="0" view="pageBreakPreview" zoomScaleNormal="110" zoomScaleSheetLayoutView="100" workbookViewId="0">
      <selection activeCell="AF22" sqref="AF22"/>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52" customFormat="1" ht="12.75" customHeight="1" x14ac:dyDescent="0.2">
      <c r="B1" s="2525" t="str">
        <f>'Single Audit Cover'!A7</f>
        <v>RILEY CCSD 18</v>
      </c>
      <c r="C1" s="2525"/>
      <c r="D1" s="2525"/>
      <c r="E1" s="1442"/>
    </row>
    <row r="2" spans="2:5" s="1252" customFormat="1" ht="12.75" customHeight="1" x14ac:dyDescent="0.2">
      <c r="B2" s="2527">
        <f>'Single Audit Cover'!E7</f>
        <v>44063018004</v>
      </c>
      <c r="C2" s="2527"/>
      <c r="D2" s="2527"/>
      <c r="E2" s="1443"/>
    </row>
    <row r="3" spans="2:5" ht="12.75" customHeight="1" x14ac:dyDescent="0.2">
      <c r="B3" s="2548" t="s">
        <v>1766</v>
      </c>
      <c r="C3" s="2548"/>
      <c r="D3" s="2548"/>
      <c r="E3" s="1244"/>
    </row>
    <row r="4" spans="2:5" s="1252" customFormat="1" ht="12.75" customHeight="1" x14ac:dyDescent="0.2">
      <c r="B4" s="2558" t="str">
        <f>'Single Audit Cover'!A4</f>
        <v>Year Ending June 30, 2019</v>
      </c>
      <c r="C4" s="2558"/>
      <c r="D4" s="2558"/>
      <c r="E4" s="1444"/>
    </row>
    <row r="5" spans="2:5" s="1252" customFormat="1" ht="40.15" customHeight="1" x14ac:dyDescent="0.2">
      <c r="B5" s="1445" t="s">
        <v>1767</v>
      </c>
      <c r="C5" s="328"/>
      <c r="D5" s="328"/>
      <c r="E5" s="328"/>
    </row>
    <row r="6" spans="2:5" s="1252" customFormat="1" ht="13.5" customHeight="1" x14ac:dyDescent="0.2">
      <c r="B6" s="1446" t="s">
        <v>1315</v>
      </c>
      <c r="C6" s="1446" t="s">
        <v>1314</v>
      </c>
      <c r="D6" s="1446" t="s">
        <v>1768</v>
      </c>
    </row>
    <row r="7" spans="2:5" ht="13.5" customHeight="1" x14ac:dyDescent="0.2">
      <c r="B7" s="1447"/>
      <c r="C7" s="324"/>
      <c r="D7" s="324"/>
      <c r="E7" s="324"/>
    </row>
    <row r="8" spans="2:5" ht="13.5" customHeight="1" x14ac:dyDescent="0.2">
      <c r="B8" s="1447"/>
      <c r="C8" s="324"/>
      <c r="D8" s="324"/>
      <c r="E8" s="324"/>
    </row>
    <row r="9" spans="2:5" ht="13.5" customHeight="1" x14ac:dyDescent="0.2">
      <c r="B9" s="1448"/>
      <c r="C9" s="323"/>
      <c r="D9" s="323"/>
      <c r="E9" s="323"/>
    </row>
    <row r="10" spans="2:5" ht="13.5" customHeight="1" x14ac:dyDescent="0.2">
      <c r="B10" s="1447"/>
      <c r="C10" s="323"/>
      <c r="D10" s="323"/>
      <c r="E10" s="323"/>
    </row>
    <row r="11" spans="2:5" ht="13.5" customHeight="1" x14ac:dyDescent="0.2">
      <c r="B11" s="1447"/>
      <c r="C11" s="323"/>
      <c r="D11" s="323"/>
      <c r="E11" s="323"/>
    </row>
    <row r="12" spans="2:5" ht="13.5" customHeight="1" x14ac:dyDescent="0.2">
      <c r="B12" s="1447"/>
      <c r="C12" s="323"/>
      <c r="D12" s="323"/>
      <c r="E12" s="323"/>
    </row>
    <row r="13" spans="2:5" ht="13.5" customHeight="1" x14ac:dyDescent="0.2">
      <c r="B13" s="1447"/>
      <c r="C13" s="323"/>
      <c r="D13" s="323"/>
      <c r="E13" s="323"/>
    </row>
    <row r="14" spans="2:5" ht="13.5" customHeight="1" x14ac:dyDescent="0.2">
      <c r="B14" s="1447"/>
      <c r="C14" s="323"/>
      <c r="D14" s="323"/>
      <c r="E14" s="323"/>
    </row>
    <row r="15" spans="2:5" ht="13.5" customHeight="1" x14ac:dyDescent="0.2">
      <c r="B15" s="1447"/>
      <c r="C15" s="323"/>
      <c r="D15" s="323"/>
      <c r="E15" s="323"/>
    </row>
    <row r="16" spans="2:5" ht="13.5" customHeight="1" x14ac:dyDescent="0.2">
      <c r="B16" s="1447"/>
      <c r="C16" s="323"/>
      <c r="D16" s="323"/>
      <c r="E16" s="323"/>
    </row>
    <row r="17" spans="2:5" ht="13.5" customHeight="1" x14ac:dyDescent="0.2">
      <c r="B17" s="1447"/>
      <c r="C17" s="323"/>
      <c r="D17" s="323"/>
      <c r="E17" s="323"/>
    </row>
    <row r="18" spans="2:5" ht="13.5" customHeight="1" x14ac:dyDescent="0.2">
      <c r="B18" s="1447"/>
      <c r="C18" s="323"/>
      <c r="D18" s="323"/>
      <c r="E18" s="323"/>
    </row>
    <row r="19" spans="2:5" ht="13.5" customHeight="1" x14ac:dyDescent="0.2">
      <c r="B19" s="1447"/>
      <c r="C19" s="323"/>
      <c r="D19" s="323"/>
      <c r="E19" s="323"/>
    </row>
    <row r="20" spans="2:5" ht="13.5" customHeight="1" x14ac:dyDescent="0.2">
      <c r="B20" s="1447"/>
      <c r="C20" s="323"/>
      <c r="D20" s="323"/>
      <c r="E20" s="323"/>
    </row>
    <row r="21" spans="2:5" ht="13.5" customHeight="1" x14ac:dyDescent="0.2">
      <c r="B21" s="1447"/>
      <c r="C21" s="323"/>
      <c r="D21" s="323"/>
      <c r="E21" s="323"/>
    </row>
    <row r="22" spans="2:5" ht="13.5" customHeight="1" x14ac:dyDescent="0.2">
      <c r="B22" s="1447"/>
      <c r="C22" s="323"/>
      <c r="D22" s="323"/>
      <c r="E22" s="323"/>
    </row>
    <row r="23" spans="2:5" ht="13.5" customHeight="1" x14ac:dyDescent="0.2">
      <c r="B23" s="1447"/>
      <c r="C23" s="323"/>
      <c r="D23" s="323"/>
      <c r="E23" s="323"/>
    </row>
    <row r="24" spans="2:5" ht="13.5" customHeight="1" x14ac:dyDescent="0.2">
      <c r="B24" s="1447"/>
      <c r="C24" s="323"/>
      <c r="D24" s="323"/>
      <c r="E24" s="323"/>
    </row>
    <row r="25" spans="2:5" ht="13.5" customHeight="1" x14ac:dyDescent="0.2">
      <c r="B25" s="1447"/>
      <c r="C25" s="323"/>
      <c r="D25" s="323"/>
      <c r="E25" s="323"/>
    </row>
    <row r="26" spans="2:5" ht="13.5" customHeight="1" x14ac:dyDescent="0.2">
      <c r="B26" s="1447"/>
      <c r="C26" s="323"/>
      <c r="D26" s="323"/>
      <c r="E26" s="323"/>
    </row>
    <row r="27" spans="2:5" ht="13.5" customHeight="1" x14ac:dyDescent="0.2">
      <c r="B27" s="1447"/>
      <c r="C27" s="323"/>
      <c r="D27" s="323"/>
      <c r="E27" s="323"/>
    </row>
    <row r="28" spans="2:5" ht="13.5" customHeight="1" x14ac:dyDescent="0.2">
      <c r="B28" s="1447"/>
      <c r="C28" s="323"/>
      <c r="D28" s="323"/>
      <c r="E28" s="323"/>
    </row>
    <row r="29" spans="2:5" ht="13.5" customHeight="1" x14ac:dyDescent="0.2">
      <c r="B29" s="1447"/>
      <c r="C29" s="323"/>
      <c r="D29" s="323"/>
      <c r="E29" s="323"/>
    </row>
    <row r="30" spans="2:5" ht="13.5" customHeight="1" x14ac:dyDescent="0.2">
      <c r="B30" s="1447"/>
      <c r="C30" s="323"/>
      <c r="D30" s="323"/>
      <c r="E30" s="323"/>
    </row>
    <row r="31" spans="2:5" ht="13.5" customHeight="1" x14ac:dyDescent="0.2">
      <c r="B31" s="1447"/>
      <c r="C31" s="323"/>
      <c r="D31" s="323"/>
      <c r="E31" s="323"/>
    </row>
    <row r="32" spans="2:5" ht="13.5" customHeight="1" x14ac:dyDescent="0.2">
      <c r="B32" s="1449"/>
      <c r="C32" s="323"/>
      <c r="D32" s="323"/>
      <c r="E32" s="323"/>
    </row>
    <row r="33" spans="2:5" ht="13.5" customHeight="1" x14ac:dyDescent="0.2">
      <c r="B33" s="1450"/>
      <c r="C33" s="323"/>
      <c r="D33" s="323"/>
      <c r="E33" s="323"/>
    </row>
    <row r="34" spans="2:5" ht="13.5" customHeight="1" x14ac:dyDescent="0.2">
      <c r="B34" s="1451"/>
      <c r="C34" s="323"/>
      <c r="D34" s="323"/>
      <c r="E34" s="323"/>
    </row>
    <row r="35" spans="2:5" ht="13.5" customHeight="1" x14ac:dyDescent="0.2">
      <c r="B35" s="1450"/>
      <c r="C35" s="323"/>
      <c r="D35" s="323"/>
      <c r="E35" s="323"/>
    </row>
    <row r="36" spans="2:5" ht="13.5" customHeight="1" x14ac:dyDescent="0.2">
      <c r="B36" s="1451"/>
      <c r="C36" s="323"/>
      <c r="D36" s="323"/>
      <c r="E36" s="323"/>
    </row>
    <row r="37" spans="2:5" ht="13.5" customHeight="1" x14ac:dyDescent="0.2">
      <c r="B37" s="1451"/>
      <c r="C37" s="323"/>
      <c r="D37" s="323"/>
      <c r="E37" s="323"/>
    </row>
    <row r="38" spans="2:5" ht="13.5" customHeight="1" x14ac:dyDescent="0.2">
      <c r="B38" s="1450"/>
      <c r="C38" s="323"/>
      <c r="D38" s="323"/>
      <c r="E38" s="323"/>
    </row>
    <row r="39" spans="2:5" ht="13.5" customHeight="1" x14ac:dyDescent="0.2">
      <c r="B39" s="1451"/>
      <c r="C39" s="323"/>
      <c r="D39" s="323"/>
      <c r="E39" s="323"/>
    </row>
    <row r="40" spans="2:5" ht="13.5" customHeight="1" x14ac:dyDescent="0.2">
      <c r="B40" s="1450"/>
      <c r="C40" s="323"/>
      <c r="D40" s="323"/>
      <c r="E40" s="323"/>
    </row>
    <row r="41" spans="2:5" ht="13.5" customHeight="1" x14ac:dyDescent="0.2">
      <c r="B41" s="1452"/>
      <c r="C41" s="323"/>
      <c r="D41" s="323"/>
      <c r="E41" s="323"/>
    </row>
    <row r="42" spans="2:5" ht="13.5" customHeight="1" x14ac:dyDescent="0.2">
      <c r="B42" s="1453"/>
      <c r="C42" s="323"/>
      <c r="D42" s="323"/>
      <c r="E42" s="323"/>
    </row>
    <row r="43" spans="2:5" ht="12.75" customHeight="1" x14ac:dyDescent="0.2">
      <c r="B43" s="1454"/>
      <c r="C43" s="1455"/>
      <c r="D43" s="1455"/>
      <c r="E43" s="323"/>
    </row>
    <row r="44" spans="2:5" ht="12.2" customHeight="1" x14ac:dyDescent="0.2">
      <c r="B44" s="1227" t="s">
        <v>1313</v>
      </c>
      <c r="C44" s="322"/>
    </row>
    <row r="45" spans="2:5" ht="12.2" customHeight="1" x14ac:dyDescent="0.2">
      <c r="B45" s="1456" t="s">
        <v>1769</v>
      </c>
    </row>
    <row r="46" spans="2:5" ht="12.2" customHeight="1" x14ac:dyDescent="0.2">
      <c r="B46" s="1456" t="s">
        <v>1770</v>
      </c>
    </row>
    <row r="47" spans="2:5" ht="12.2" customHeight="1" x14ac:dyDescent="0.2">
      <c r="B47" s="1457" t="s">
        <v>1312</v>
      </c>
    </row>
    <row r="48" spans="2:5" ht="12.2" customHeight="1" x14ac:dyDescent="0.2">
      <c r="B48" s="1457" t="s">
        <v>1311</v>
      </c>
    </row>
    <row r="49" spans="2:5" ht="12.2" customHeight="1" x14ac:dyDescent="0.2">
      <c r="B49" s="1457" t="s">
        <v>1310</v>
      </c>
    </row>
    <row r="50" spans="2:5" ht="12.2" customHeight="1" x14ac:dyDescent="0.2">
      <c r="B50" s="1457" t="s">
        <v>1309</v>
      </c>
    </row>
    <row r="53" spans="2:5" ht="12.75" customHeight="1" x14ac:dyDescent="0.2"/>
    <row r="54" spans="2:5" ht="12.75" customHeight="1" x14ac:dyDescent="0.2">
      <c r="B54" s="123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376"/>
    </row>
    <row r="68" spans="2:2" x14ac:dyDescent="0.2">
      <c r="B68" s="1270"/>
    </row>
    <row r="69" spans="2:2" x14ac:dyDescent="0.2">
      <c r="B69" s="1270"/>
    </row>
    <row r="70" spans="2:2" x14ac:dyDescent="0.2">
      <c r="B70" s="1377"/>
    </row>
    <row r="71" spans="2:2" x14ac:dyDescent="0.2">
      <c r="B71" s="1377"/>
    </row>
    <row r="72" spans="2:2" x14ac:dyDescent="0.2">
      <c r="B72" s="1377"/>
    </row>
    <row r="73" spans="2:2" x14ac:dyDescent="0.2">
      <c r="B73" s="1270"/>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00B050"/>
  </sheetPr>
  <dimension ref="A1:N72"/>
  <sheetViews>
    <sheetView showGridLines="0" defaultGridColor="0" view="pageBreakPreview" colorId="8" zoomScaleNormal="110" zoomScaleSheetLayoutView="100" workbookViewId="0">
      <selection activeCell="B32" sqref="B32"/>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56" t="s">
        <v>386</v>
      </c>
      <c r="B1" s="2156"/>
      <c r="C1" s="2156"/>
      <c r="D1" s="2156"/>
      <c r="E1" s="2156"/>
      <c r="F1" s="2156"/>
      <c r="G1" s="2156"/>
      <c r="H1" s="2156"/>
      <c r="I1" s="2156"/>
      <c r="J1" s="2156"/>
      <c r="K1" s="2156"/>
      <c r="L1" s="2156"/>
      <c r="M1" s="2156"/>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1948</v>
      </c>
      <c r="E7" s="222"/>
      <c r="F7" s="351" t="s">
        <v>272</v>
      </c>
      <c r="G7" s="222"/>
      <c r="H7" s="222"/>
      <c r="I7" s="222"/>
      <c r="J7" s="352">
        <v>113157169</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2.7286000000000001E-2</v>
      </c>
      <c r="E10" s="356" t="s">
        <v>1005</v>
      </c>
      <c r="F10" s="355">
        <v>5.4219999999999997E-3</v>
      </c>
      <c r="G10" s="356" t="s">
        <v>1005</v>
      </c>
      <c r="H10" s="355">
        <v>6.9999999999999994E-5</v>
      </c>
      <c r="I10" s="356" t="s">
        <v>1006</v>
      </c>
      <c r="J10" s="1705">
        <f>ROUND(D10+F10+H10,5)</f>
        <v>3.2779999999999997E-2</v>
      </c>
      <c r="K10" s="222"/>
      <c r="L10" s="355">
        <v>1.92E-4</v>
      </c>
      <c r="M10" s="222"/>
    </row>
    <row r="11" spans="1:14" ht="7.5" customHeight="1" x14ac:dyDescent="0.2">
      <c r="B11" s="222"/>
      <c r="C11" s="222"/>
      <c r="D11" s="2166" t="str">
        <f>IF(SUM(J10)&lt;=0.0999999,"","Enter the Tax Rates by moving the decimal two places to the left.")</f>
        <v/>
      </c>
      <c r="E11" s="2167"/>
      <c r="F11" s="2167"/>
      <c r="G11" s="2167"/>
      <c r="H11" s="2167"/>
      <c r="I11" s="2167"/>
      <c r="J11" s="216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06">
        <f>SUM('Acct Summary 7-8'!C8,'Acct Summary 7-8'!D8,'Acct Summary 7-8'!F8,'Acct Summary 7-8'!I8)</f>
        <v>4661610</v>
      </c>
      <c r="E16" s="356"/>
      <c r="F16" s="1706">
        <f>SUM('Acct Summary 7-8'!C17,'Acct Summary 7-8'!D17,'Acct Summary 7-8'!F17)</f>
        <v>3592924</v>
      </c>
      <c r="G16" s="356"/>
      <c r="H16" s="1706">
        <f>SUM(D16-F16)</f>
        <v>1068686</v>
      </c>
      <c r="I16" s="222"/>
      <c r="J16" s="1706">
        <f>SUM('Acct Summary 7-8'!C81,'Acct Summary 7-8'!D81,'Acct Summary 7-8'!F81,'Acct Summary 7-8'!I81)</f>
        <v>10296714</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06">
        <f>'Short-Term Long-Term Debt 24'!F4</f>
        <v>0</v>
      </c>
      <c r="E22" s="356" t="s">
        <v>1005</v>
      </c>
      <c r="F22" s="1706">
        <f>'Short-Term Long-Term Debt 24'!F15</f>
        <v>0</v>
      </c>
      <c r="G22" s="356" t="s">
        <v>1005</v>
      </c>
      <c r="H22" s="1706">
        <f>'Short-Term Long-Term Debt 24'!F21</f>
        <v>0</v>
      </c>
      <c r="I22" s="356" t="s">
        <v>1005</v>
      </c>
      <c r="J22" s="1706">
        <f>'Short-Term Long-Term Debt 24'!F23</f>
        <v>0</v>
      </c>
      <c r="K22" s="356" t="s">
        <v>1005</v>
      </c>
      <c r="L22" s="1706">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06">
        <f>'Short-Term Long-Term Debt 24'!F27</f>
        <v>0</v>
      </c>
      <c r="E24" s="356" t="s">
        <v>1006</v>
      </c>
      <c r="F24" s="1707">
        <f>SUM(D22,F22,H22,J22,L22, D24)</f>
        <v>0</v>
      </c>
      <c r="G24" s="222"/>
      <c r="H24" s="222"/>
      <c r="I24" s="222"/>
      <c r="J24" s="222"/>
      <c r="K24" s="222"/>
      <c r="L24" s="222"/>
      <c r="M24" s="222"/>
    </row>
    <row r="25" spans="1:13" ht="11.25" customHeight="1" x14ac:dyDescent="0.2">
      <c r="A25" s="349"/>
      <c r="B25" s="181" t="s">
        <v>9</v>
      </c>
      <c r="C25" s="237" t="s">
        <v>2063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2076</v>
      </c>
      <c r="C31" s="367" t="s">
        <v>586</v>
      </c>
      <c r="D31" s="237" t="s">
        <v>1072</v>
      </c>
      <c r="E31" s="222"/>
      <c r="F31" s="222"/>
      <c r="G31" s="363"/>
      <c r="H31" s="1708">
        <f>IF(B31="X",(J7*0.069),IF(B32="X",(J7*0.138),"Enter x in a.or b."))</f>
        <v>7807844.6610000003</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07">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157"/>
      <c r="C54" s="2158"/>
      <c r="D54" s="2158"/>
      <c r="E54" s="2158"/>
      <c r="F54" s="2158"/>
      <c r="G54" s="2158"/>
      <c r="H54" s="2158"/>
      <c r="I54" s="2158"/>
      <c r="J54" s="2158"/>
      <c r="K54" s="2158"/>
      <c r="L54" s="2159"/>
      <c r="M54" s="380"/>
    </row>
    <row r="55" spans="1:13" ht="12.75" customHeight="1" x14ac:dyDescent="0.2">
      <c r="B55" s="2160"/>
      <c r="C55" s="2161"/>
      <c r="D55" s="2161"/>
      <c r="E55" s="2161"/>
      <c r="F55" s="2161"/>
      <c r="G55" s="2161"/>
      <c r="H55" s="2161"/>
      <c r="I55" s="2161"/>
      <c r="J55" s="2161"/>
      <c r="K55" s="2161"/>
      <c r="L55" s="2162"/>
      <c r="M55" s="380"/>
    </row>
    <row r="56" spans="1:13" ht="12.75" customHeight="1" x14ac:dyDescent="0.2">
      <c r="B56" s="2160"/>
      <c r="C56" s="2161"/>
      <c r="D56" s="2161"/>
      <c r="E56" s="2161"/>
      <c r="F56" s="2161"/>
      <c r="G56" s="2161"/>
      <c r="H56" s="2161"/>
      <c r="I56" s="2161"/>
      <c r="J56" s="2161"/>
      <c r="K56" s="2161"/>
      <c r="L56" s="2162"/>
      <c r="M56" s="222"/>
    </row>
    <row r="57" spans="1:13" ht="12.75" customHeight="1" x14ac:dyDescent="0.2">
      <c r="B57" s="2160"/>
      <c r="C57" s="2161"/>
      <c r="D57" s="2161"/>
      <c r="E57" s="2161"/>
      <c r="F57" s="2161"/>
      <c r="G57" s="2161"/>
      <c r="H57" s="2161"/>
      <c r="I57" s="2161"/>
      <c r="J57" s="2161"/>
      <c r="K57" s="2161"/>
      <c r="L57" s="2162"/>
      <c r="M57" s="222"/>
    </row>
    <row r="58" spans="1:13" x14ac:dyDescent="0.2">
      <c r="B58" s="2163"/>
      <c r="C58" s="2164"/>
      <c r="D58" s="2164"/>
      <c r="E58" s="2164"/>
      <c r="F58" s="2164"/>
      <c r="G58" s="2164"/>
      <c r="H58" s="2164"/>
      <c r="I58" s="2164"/>
      <c r="J58" s="2164"/>
      <c r="K58" s="2164"/>
      <c r="L58" s="216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68"/>
      <c r="D61" s="216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20"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rgb="FF00B050"/>
  </sheetPr>
  <dimension ref="A1:R44"/>
  <sheetViews>
    <sheetView showGridLines="0" zoomScale="110" zoomScaleNormal="110" zoomScaleSheetLayoutView="85" workbookViewId="0">
      <selection activeCell="AF22" sqref="AF22"/>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71"/>
      <c r="B1" s="2172"/>
      <c r="C1" s="2172"/>
      <c r="D1" s="384"/>
      <c r="E1" s="384"/>
      <c r="F1" s="384"/>
      <c r="G1" s="384"/>
      <c r="H1" s="384"/>
      <c r="I1" s="384"/>
      <c r="J1" s="384"/>
      <c r="K1" s="384"/>
      <c r="L1" s="384"/>
      <c r="M1" s="384"/>
      <c r="N1" s="384"/>
      <c r="O1" s="2171"/>
      <c r="P1" s="2172"/>
      <c r="Q1" s="2172"/>
    </row>
    <row r="2" spans="1:18" ht="15" x14ac:dyDescent="0.2">
      <c r="A2" s="2175" t="s">
        <v>556</v>
      </c>
      <c r="B2" s="2175"/>
      <c r="C2" s="2175"/>
      <c r="D2" s="2175"/>
      <c r="E2" s="2175"/>
      <c r="F2" s="2175"/>
      <c r="G2" s="2175"/>
      <c r="H2" s="2175"/>
      <c r="I2" s="2175"/>
      <c r="J2" s="2175"/>
      <c r="K2" s="2175"/>
      <c r="L2" s="2175"/>
      <c r="M2" s="2175"/>
      <c r="N2" s="2175"/>
      <c r="O2" s="2175"/>
      <c r="P2" s="2175"/>
      <c r="Q2" s="2175"/>
      <c r="R2" s="2175"/>
    </row>
    <row r="3" spans="1:18" ht="12.75" x14ac:dyDescent="0.2">
      <c r="A3" s="2176" t="s">
        <v>1413</v>
      </c>
      <c r="B3" s="2176"/>
      <c r="C3" s="2176"/>
      <c r="D3" s="2176"/>
      <c r="E3" s="2176"/>
      <c r="F3" s="2176"/>
      <c r="G3" s="2176"/>
      <c r="H3" s="2176"/>
      <c r="I3" s="2176"/>
      <c r="J3" s="2176"/>
      <c r="K3" s="2176"/>
      <c r="L3" s="2176"/>
      <c r="M3" s="2176"/>
      <c r="N3" s="2176"/>
      <c r="O3" s="2176"/>
      <c r="P3" s="2176"/>
      <c r="Q3" s="2176"/>
      <c r="R3" s="2176"/>
    </row>
    <row r="4" spans="1:18" x14ac:dyDescent="0.2">
      <c r="A4" s="2177" t="s">
        <v>1554</v>
      </c>
      <c r="B4" s="2177"/>
      <c r="C4" s="2177"/>
      <c r="D4" s="2177"/>
      <c r="E4" s="2177"/>
      <c r="F4" s="2177"/>
      <c r="G4" s="2177"/>
      <c r="H4" s="2177"/>
      <c r="I4" s="2177"/>
      <c r="J4" s="2177"/>
      <c r="K4" s="2177"/>
      <c r="L4" s="2177"/>
      <c r="M4" s="2177"/>
      <c r="N4" s="2177"/>
      <c r="O4" s="2177"/>
      <c r="P4" s="2177"/>
      <c r="Q4" s="2177"/>
      <c r="R4" s="217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RILEY CCSD 18</v>
      </c>
      <c r="E7" s="391"/>
      <c r="G7" s="252"/>
      <c r="H7" s="387"/>
      <c r="I7" s="387"/>
      <c r="J7" s="387"/>
      <c r="K7" s="387"/>
      <c r="L7" s="329"/>
      <c r="M7" s="329"/>
      <c r="N7" s="329"/>
      <c r="O7" s="329"/>
      <c r="P7" s="329"/>
    </row>
    <row r="8" spans="1:18" ht="12.75" x14ac:dyDescent="0.2">
      <c r="A8" s="329"/>
      <c r="B8" s="329"/>
      <c r="C8" s="389" t="s">
        <v>1125</v>
      </c>
      <c r="D8" s="392">
        <f>COVER!A13</f>
        <v>44063018004</v>
      </c>
      <c r="E8" s="393"/>
      <c r="G8" s="329"/>
      <c r="H8" s="329"/>
      <c r="I8" s="329"/>
      <c r="J8" s="329"/>
      <c r="K8" s="329"/>
      <c r="L8" s="329"/>
      <c r="M8" s="329"/>
      <c r="N8" s="329"/>
      <c r="O8" s="329"/>
      <c r="P8" s="329"/>
    </row>
    <row r="9" spans="1:18" ht="12.75" x14ac:dyDescent="0.2">
      <c r="A9" s="329"/>
      <c r="B9" s="329"/>
      <c r="C9" s="389" t="s">
        <v>713</v>
      </c>
      <c r="D9" s="394" t="str">
        <f>COVER!A15</f>
        <v>MCHENRY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10296714</v>
      </c>
      <c r="I12" s="404"/>
      <c r="J12" s="404"/>
      <c r="K12" s="405">
        <f>TRUNC((H12/H13*100000),5)/100000</f>
        <v>2.2088321415999999</v>
      </c>
      <c r="L12" s="406"/>
      <c r="M12" s="360" t="s">
        <v>1144</v>
      </c>
      <c r="N12" s="360"/>
      <c r="O12" s="407">
        <v>0.35</v>
      </c>
      <c r="P12" s="218"/>
      <c r="Q12" s="218"/>
    </row>
    <row r="13" spans="1:18" s="408" customFormat="1" ht="12.75" x14ac:dyDescent="0.2">
      <c r="A13" s="218"/>
      <c r="B13" s="401"/>
      <c r="C13" s="2173" t="s">
        <v>1324</v>
      </c>
      <c r="D13" s="2174"/>
      <c r="E13" s="218"/>
      <c r="F13" s="409" t="s">
        <v>793</v>
      </c>
      <c r="G13" s="402"/>
      <c r="H13" s="403">
        <f>SUM('Acct Summary 7-8'!C8+'Acct Summary 7-8'!D8+'Acct Summary 7-8'!F8+'Acct Summary 7-8'!I8)+H14</f>
        <v>4661610</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3592924</v>
      </c>
      <c r="I17" s="404"/>
      <c r="J17" s="416"/>
      <c r="K17" s="405">
        <f>TRUNC((H17/H18*100000),5)/100000</f>
        <v>0.77074744560000008</v>
      </c>
      <c r="L17" s="406"/>
      <c r="M17" s="417" t="s">
        <v>1171</v>
      </c>
      <c r="O17" s="418" t="str">
        <f>IF(AND(O16="2", J20 &gt; 2),"1",IF(AND(O16 = "1", J20 &gt; 2),"2",IF(AND(O16="1", J20 &gt;1),"1","0")))</f>
        <v>0</v>
      </c>
      <c r="P17" s="218"/>
    </row>
    <row r="18" spans="1:18" s="408" customFormat="1" ht="11.25" x14ac:dyDescent="0.2">
      <c r="A18" s="218"/>
      <c r="B18" s="401"/>
      <c r="C18" s="2173" t="s">
        <v>1317</v>
      </c>
      <c r="D18" s="2174"/>
      <c r="E18" s="218"/>
      <c r="F18" s="419" t="s">
        <v>794</v>
      </c>
      <c r="G18" s="402"/>
      <c r="H18" s="403">
        <f>SUM('Acct Summary 7-8'!C8+'Acct Summary 7-8'!D8+'Acct Summary 7-8'!F8+'Acct Summary 7-8'!I8)+H19</f>
        <v>4661610</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70" t="s">
        <v>1412</v>
      </c>
      <c r="D24" s="2170"/>
      <c r="E24" s="218"/>
      <c r="F24" s="218" t="s">
        <v>445</v>
      </c>
      <c r="G24" s="402"/>
      <c r="H24" s="403">
        <f>SUM('Assets-Liab 5-6'!C4+'Assets-Liab 5-6'!D4+'Assets-Liab 5-6'!F4+'Assets-Liab 5-6'!I4+'Assets-Liab 5-6'!C5+'Assets-Liab 5-6'!D5+'Assets-Liab 5-6'!F5+'Assets-Liab 5-6'!I5)</f>
        <v>10296684</v>
      </c>
      <c r="I24" s="422"/>
      <c r="J24" s="422"/>
      <c r="K24" s="423">
        <f>TRUNC(((H24/H25*100000)/100000),2)</f>
        <v>1031.69</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9980.3444400000008</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1931</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3152898.19985</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0</v>
      </c>
      <c r="I32" s="420"/>
      <c r="J32" s="420"/>
      <c r="K32" s="423">
        <f>TRUNC(100-((((H32/H33*100))*100)/100),2)</f>
        <v>100</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7807844.6610000003</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3.9999999999999996</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1986</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20"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50"/>
    <pageSetUpPr fitToPage="1"/>
  </sheetPr>
  <dimension ref="A1:N44"/>
  <sheetViews>
    <sheetView showGridLines="0" defaultGridColor="0" colorId="8" zoomScaleNormal="100" zoomScaleSheetLayoutView="85" workbookViewId="0">
      <pane ySplit="2" topLeftCell="A3" activePane="bottomLeft" state="frozen"/>
      <selection activeCell="AF22" sqref="AF22"/>
      <selection pane="bottomLeft" activeCell="M40" sqref="M40"/>
    </sheetView>
  </sheetViews>
  <sheetFormatPr defaultColWidth="9.140625" defaultRowHeight="12.75" x14ac:dyDescent="0.2"/>
  <cols>
    <col min="1" max="1" width="47.28515625" style="494" customWidth="1"/>
    <col min="2" max="2" width="4.5703125" style="495" customWidth="1"/>
    <col min="3" max="14" width="13.7109375" style="457" customWidth="1"/>
    <col min="15" max="16384" width="9.140625" style="457"/>
  </cols>
  <sheetData>
    <row r="1" spans="1:14" x14ac:dyDescent="0.2">
      <c r="A1" s="2178"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79"/>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80" t="s">
        <v>973</v>
      </c>
      <c r="B3" s="2181"/>
      <c r="C3" s="1532"/>
      <c r="D3" s="1533"/>
      <c r="E3" s="1533"/>
      <c r="F3" s="1533"/>
      <c r="G3" s="1533"/>
      <c r="H3" s="1533"/>
      <c r="I3" s="1533"/>
      <c r="J3" s="1533"/>
      <c r="K3" s="1533"/>
      <c r="L3" s="1533"/>
      <c r="M3" s="1534"/>
      <c r="N3" s="1535"/>
    </row>
    <row r="4" spans="1:14" ht="13.5" customHeight="1" x14ac:dyDescent="0.2">
      <c r="A4" s="463" t="s">
        <v>1651</v>
      </c>
      <c r="B4" s="464"/>
      <c r="C4" s="1910">
        <v>8093042</v>
      </c>
      <c r="D4" s="1911">
        <v>1385937</v>
      </c>
      <c r="E4" s="1911">
        <v>0</v>
      </c>
      <c r="F4" s="1911">
        <v>794618</v>
      </c>
      <c r="G4" s="1911">
        <v>187498</v>
      </c>
      <c r="H4" s="1911">
        <v>323173</v>
      </c>
      <c r="I4" s="1911">
        <v>23087</v>
      </c>
      <c r="J4" s="1912">
        <v>129482</v>
      </c>
      <c r="K4" s="1991">
        <v>0</v>
      </c>
      <c r="L4" s="1911">
        <v>25208</v>
      </c>
      <c r="M4" s="467"/>
      <c r="N4" s="468"/>
    </row>
    <row r="5" spans="1:14" x14ac:dyDescent="0.2">
      <c r="A5" s="463" t="s">
        <v>992</v>
      </c>
      <c r="B5" s="469">
        <v>120</v>
      </c>
      <c r="C5" s="1910">
        <v>0</v>
      </c>
      <c r="D5" s="1911">
        <v>0</v>
      </c>
      <c r="E5" s="1911">
        <v>0</v>
      </c>
      <c r="F5" s="1911">
        <v>0</v>
      </c>
      <c r="G5" s="1911">
        <v>0</v>
      </c>
      <c r="H5" s="1911">
        <v>0</v>
      </c>
      <c r="I5" s="1911">
        <v>0</v>
      </c>
      <c r="J5" s="1912">
        <v>0</v>
      </c>
      <c r="K5" s="1913">
        <v>0</v>
      </c>
      <c r="L5" s="470"/>
      <c r="M5" s="467"/>
      <c r="N5" s="468"/>
    </row>
    <row r="6" spans="1:14" ht="13.5" customHeight="1" x14ac:dyDescent="0.2">
      <c r="A6" s="471" t="s">
        <v>417</v>
      </c>
      <c r="B6" s="469">
        <v>130</v>
      </c>
      <c r="C6" s="1910">
        <v>0</v>
      </c>
      <c r="D6" s="1911">
        <v>0</v>
      </c>
      <c r="E6" s="1911">
        <v>0</v>
      </c>
      <c r="F6" s="1911">
        <v>0</v>
      </c>
      <c r="G6" s="1913">
        <v>0</v>
      </c>
      <c r="H6" s="1913">
        <v>0</v>
      </c>
      <c r="I6" s="1911">
        <v>0</v>
      </c>
      <c r="J6" s="1914">
        <v>0</v>
      </c>
      <c r="K6" s="1913">
        <v>0</v>
      </c>
      <c r="L6" s="472"/>
      <c r="M6" s="467"/>
      <c r="N6" s="468"/>
    </row>
    <row r="7" spans="1:14" ht="13.5" customHeight="1" x14ac:dyDescent="0.2">
      <c r="A7" s="471" t="s">
        <v>418</v>
      </c>
      <c r="B7" s="469">
        <v>140</v>
      </c>
      <c r="C7" s="1915">
        <v>0</v>
      </c>
      <c r="D7" s="1912">
        <v>0</v>
      </c>
      <c r="E7" s="1915">
        <v>0</v>
      </c>
      <c r="F7" s="1912">
        <v>0</v>
      </c>
      <c r="G7" s="1912">
        <v>0</v>
      </c>
      <c r="H7" s="1912">
        <v>0</v>
      </c>
      <c r="I7" s="1912">
        <v>0</v>
      </c>
      <c r="J7" s="1912">
        <v>0</v>
      </c>
      <c r="K7" s="1912">
        <v>0</v>
      </c>
      <c r="L7" s="473"/>
      <c r="M7" s="467"/>
      <c r="N7" s="468"/>
    </row>
    <row r="8" spans="1:14" ht="13.5" customHeight="1" x14ac:dyDescent="0.2">
      <c r="A8" s="471" t="s">
        <v>269</v>
      </c>
      <c r="B8" s="469">
        <v>150</v>
      </c>
      <c r="C8" s="1915">
        <v>0</v>
      </c>
      <c r="D8" s="1912">
        <v>0</v>
      </c>
      <c r="E8" s="1915">
        <v>0</v>
      </c>
      <c r="F8" s="1912">
        <v>0</v>
      </c>
      <c r="G8" s="1916">
        <v>0</v>
      </c>
      <c r="H8" s="1912">
        <v>0</v>
      </c>
      <c r="I8" s="1914">
        <v>0</v>
      </c>
      <c r="J8" s="1914">
        <v>0</v>
      </c>
      <c r="K8" s="1917">
        <v>0</v>
      </c>
      <c r="L8" s="476"/>
      <c r="M8" s="467"/>
      <c r="N8" s="468"/>
    </row>
    <row r="9" spans="1:14" ht="13.5" customHeight="1" x14ac:dyDescent="0.2">
      <c r="A9" s="471" t="s">
        <v>270</v>
      </c>
      <c r="B9" s="469">
        <v>160</v>
      </c>
      <c r="C9" s="1915">
        <v>0</v>
      </c>
      <c r="D9" s="1912">
        <v>0</v>
      </c>
      <c r="E9" s="1915">
        <v>0</v>
      </c>
      <c r="F9" s="1912">
        <v>0</v>
      </c>
      <c r="G9" s="1912">
        <v>0</v>
      </c>
      <c r="H9" s="1916">
        <v>0</v>
      </c>
      <c r="I9" s="1912">
        <v>0</v>
      </c>
      <c r="J9" s="1912">
        <v>0</v>
      </c>
      <c r="K9" s="1912">
        <v>0</v>
      </c>
      <c r="L9" s="466"/>
      <c r="M9" s="467"/>
      <c r="N9" s="468"/>
    </row>
    <row r="10" spans="1:14" ht="13.5" customHeight="1" x14ac:dyDescent="0.2">
      <c r="A10" s="471" t="s">
        <v>991</v>
      </c>
      <c r="B10" s="469">
        <v>170</v>
      </c>
      <c r="C10" s="1910">
        <v>0</v>
      </c>
      <c r="D10" s="1911">
        <v>0</v>
      </c>
      <c r="E10" s="1912">
        <v>0</v>
      </c>
      <c r="F10" s="1911">
        <v>0</v>
      </c>
      <c r="G10" s="1916">
        <v>0</v>
      </c>
      <c r="H10" s="1918">
        <v>0</v>
      </c>
      <c r="I10" s="1912">
        <v>0</v>
      </c>
      <c r="J10" s="1912">
        <v>0</v>
      </c>
      <c r="K10" s="1918">
        <v>0</v>
      </c>
      <c r="L10" s="477"/>
      <c r="M10" s="468"/>
      <c r="N10" s="468"/>
    </row>
    <row r="11" spans="1:14" ht="13.5" customHeight="1" x14ac:dyDescent="0.2">
      <c r="A11" s="471" t="s">
        <v>271</v>
      </c>
      <c r="B11" s="469">
        <v>180</v>
      </c>
      <c r="C11" s="1915">
        <v>0</v>
      </c>
      <c r="D11" s="1912">
        <v>0</v>
      </c>
      <c r="E11" s="1912">
        <v>0</v>
      </c>
      <c r="F11" s="1912">
        <v>0</v>
      </c>
      <c r="G11" s="1912">
        <v>0</v>
      </c>
      <c r="H11" s="1912">
        <v>0</v>
      </c>
      <c r="I11" s="1916">
        <v>0</v>
      </c>
      <c r="J11" s="1916">
        <v>0</v>
      </c>
      <c r="K11" s="1912">
        <v>0</v>
      </c>
      <c r="L11" s="466"/>
      <c r="M11" s="468"/>
      <c r="N11" s="468"/>
    </row>
    <row r="12" spans="1:14" ht="13.5" customHeight="1" x14ac:dyDescent="0.2">
      <c r="A12" s="471" t="s">
        <v>419</v>
      </c>
      <c r="B12" s="469">
        <v>190</v>
      </c>
      <c r="C12" s="1910">
        <v>30</v>
      </c>
      <c r="D12" s="1911">
        <v>0</v>
      </c>
      <c r="E12" s="1911">
        <v>0</v>
      </c>
      <c r="F12" s="1911">
        <v>0</v>
      </c>
      <c r="G12" s="1911">
        <v>0</v>
      </c>
      <c r="H12" s="1911">
        <v>0</v>
      </c>
      <c r="I12" s="1911">
        <v>0</v>
      </c>
      <c r="J12" s="1912">
        <v>0</v>
      </c>
      <c r="K12" s="1911">
        <v>0</v>
      </c>
      <c r="L12" s="465"/>
      <c r="M12" s="468"/>
      <c r="N12" s="468"/>
    </row>
    <row r="13" spans="1:14" ht="13.5" customHeight="1" thickBot="1" x14ac:dyDescent="0.25">
      <c r="A13" s="1709" t="s">
        <v>644</v>
      </c>
      <c r="B13" s="1682"/>
      <c r="C13" s="1710">
        <f>SUM(C4:C12)</f>
        <v>8093072</v>
      </c>
      <c r="D13" s="1710">
        <f t="shared" ref="D13:L13" si="0">SUM(D4:D12)</f>
        <v>1385937</v>
      </c>
      <c r="E13" s="1710">
        <f t="shared" si="0"/>
        <v>0</v>
      </c>
      <c r="F13" s="1710">
        <f t="shared" si="0"/>
        <v>794618</v>
      </c>
      <c r="G13" s="1710">
        <f t="shared" si="0"/>
        <v>187498</v>
      </c>
      <c r="H13" s="1710">
        <f t="shared" si="0"/>
        <v>323173</v>
      </c>
      <c r="I13" s="1710">
        <f t="shared" si="0"/>
        <v>23087</v>
      </c>
      <c r="J13" s="1710">
        <f t="shared" si="0"/>
        <v>129482</v>
      </c>
      <c r="K13" s="1710">
        <f t="shared" si="0"/>
        <v>0</v>
      </c>
      <c r="L13" s="1710">
        <f t="shared" si="0"/>
        <v>25208</v>
      </c>
      <c r="M13" s="467"/>
      <c r="N13" s="468"/>
    </row>
    <row r="14" spans="1:14" ht="18" customHeight="1" thickTop="1" x14ac:dyDescent="0.2">
      <c r="A14" s="2182" t="s">
        <v>147</v>
      </c>
      <c r="B14" s="2183"/>
      <c r="C14" s="1536"/>
      <c r="D14" s="1537"/>
      <c r="E14" s="1537"/>
      <c r="F14" s="1537"/>
      <c r="G14" s="1537"/>
      <c r="H14" s="1537"/>
      <c r="I14" s="1537"/>
      <c r="J14" s="1537"/>
      <c r="K14" s="1537"/>
      <c r="L14" s="1537"/>
      <c r="M14" s="1538"/>
      <c r="N14" s="1539"/>
    </row>
    <row r="15" spans="1:14" s="481" customFormat="1" ht="12.75" customHeight="1" x14ac:dyDescent="0.2">
      <c r="A15" s="478" t="s">
        <v>1401</v>
      </c>
      <c r="B15" s="479">
        <v>210</v>
      </c>
      <c r="C15" s="473"/>
      <c r="D15" s="473"/>
      <c r="E15" s="473"/>
      <c r="F15" s="473"/>
      <c r="G15" s="473"/>
      <c r="H15" s="473"/>
      <c r="I15" s="473"/>
      <c r="J15" s="473"/>
      <c r="K15" s="473"/>
      <c r="L15" s="473"/>
      <c r="M15" s="474"/>
      <c r="N15" s="480"/>
    </row>
    <row r="16" spans="1:14" s="481" customFormat="1" ht="12.75" customHeight="1" x14ac:dyDescent="0.2">
      <c r="A16" s="478" t="s">
        <v>1402</v>
      </c>
      <c r="B16" s="479">
        <v>220</v>
      </c>
      <c r="C16" s="473"/>
      <c r="D16" s="473"/>
      <c r="E16" s="473"/>
      <c r="F16" s="473"/>
      <c r="G16" s="473"/>
      <c r="H16" s="473"/>
      <c r="I16" s="473"/>
      <c r="J16" s="473"/>
      <c r="K16" s="473"/>
      <c r="L16" s="473"/>
      <c r="M16" s="1912">
        <v>25000</v>
      </c>
      <c r="N16" s="480"/>
    </row>
    <row r="17" spans="1:14" s="481" customFormat="1" ht="12.75" customHeight="1" x14ac:dyDescent="0.2">
      <c r="A17" s="478" t="s">
        <v>1403</v>
      </c>
      <c r="B17" s="479">
        <v>230</v>
      </c>
      <c r="C17" s="473"/>
      <c r="D17" s="473"/>
      <c r="E17" s="473"/>
      <c r="F17" s="473"/>
      <c r="G17" s="473"/>
      <c r="H17" s="473"/>
      <c r="I17" s="473"/>
      <c r="J17" s="473"/>
      <c r="K17" s="473"/>
      <c r="L17" s="473"/>
      <c r="M17" s="1912">
        <v>3802617</v>
      </c>
      <c r="N17" s="480"/>
    </row>
    <row r="18" spans="1:14" s="481" customFormat="1" ht="12.75" customHeight="1" x14ac:dyDescent="0.2">
      <c r="A18" s="478" t="s">
        <v>1404</v>
      </c>
      <c r="B18" s="479">
        <v>240</v>
      </c>
      <c r="C18" s="473"/>
      <c r="D18" s="473"/>
      <c r="E18" s="473"/>
      <c r="F18" s="473"/>
      <c r="G18" s="473"/>
      <c r="H18" s="473"/>
      <c r="I18" s="473"/>
      <c r="J18" s="473"/>
      <c r="K18" s="473"/>
      <c r="L18" s="473"/>
      <c r="M18" s="1912">
        <v>225937</v>
      </c>
      <c r="N18" s="480"/>
    </row>
    <row r="19" spans="1:14" s="481" customFormat="1" ht="12.75" customHeight="1" x14ac:dyDescent="0.2">
      <c r="A19" s="478" t="s">
        <v>1405</v>
      </c>
      <c r="B19" s="479">
        <v>250</v>
      </c>
      <c r="C19" s="473"/>
      <c r="D19" s="473"/>
      <c r="E19" s="473"/>
      <c r="F19" s="473"/>
      <c r="G19" s="473"/>
      <c r="H19" s="473"/>
      <c r="I19" s="473"/>
      <c r="J19" s="473"/>
      <c r="K19" s="473"/>
      <c r="L19" s="473"/>
      <c r="M19" s="1912">
        <v>1392504</v>
      </c>
      <c r="N19" s="480"/>
    </row>
    <row r="20" spans="1:14" s="481" customFormat="1" ht="12.75" customHeight="1" x14ac:dyDescent="0.2">
      <c r="A20" s="478" t="s">
        <v>1406</v>
      </c>
      <c r="B20" s="479">
        <v>260</v>
      </c>
      <c r="C20" s="473"/>
      <c r="D20" s="473"/>
      <c r="E20" s="473"/>
      <c r="F20" s="473"/>
      <c r="G20" s="473"/>
      <c r="H20" s="473"/>
      <c r="I20" s="473"/>
      <c r="J20" s="473"/>
      <c r="K20" s="473"/>
      <c r="L20" s="473"/>
      <c r="M20" s="1912">
        <v>0</v>
      </c>
      <c r="N20" s="480"/>
    </row>
    <row r="21" spans="1:14" s="481" customFormat="1" ht="12.75" customHeight="1" x14ac:dyDescent="0.2">
      <c r="A21" s="478" t="s">
        <v>1407</v>
      </c>
      <c r="B21" s="479">
        <v>340</v>
      </c>
      <c r="C21" s="473"/>
      <c r="D21" s="473"/>
      <c r="E21" s="473"/>
      <c r="F21" s="473"/>
      <c r="G21" s="473"/>
      <c r="H21" s="473"/>
      <c r="I21" s="473"/>
      <c r="J21" s="473"/>
      <c r="K21" s="473"/>
      <c r="L21" s="473"/>
      <c r="M21" s="482"/>
      <c r="N21" s="1912">
        <f>+E39</f>
        <v>0</v>
      </c>
    </row>
    <row r="22" spans="1:14" s="481" customFormat="1" ht="12.75" customHeight="1" x14ac:dyDescent="0.2">
      <c r="A22" s="478" t="s">
        <v>1408</v>
      </c>
      <c r="B22" s="479">
        <v>350</v>
      </c>
      <c r="C22" s="473"/>
      <c r="D22" s="473"/>
      <c r="E22" s="473"/>
      <c r="F22" s="473"/>
      <c r="G22" s="473"/>
      <c r="H22" s="473"/>
      <c r="I22" s="473"/>
      <c r="J22" s="473"/>
      <c r="K22" s="473"/>
      <c r="L22" s="473"/>
      <c r="M22" s="482"/>
      <c r="N22" s="483">
        <f>'Short-Term Long-Term Debt 24'!J49</f>
        <v>0</v>
      </c>
    </row>
    <row r="23" spans="1:14" ht="13.5" customHeight="1" thickBot="1" x14ac:dyDescent="0.25">
      <c r="A23" s="1709" t="s">
        <v>643</v>
      </c>
      <c r="B23" s="1714"/>
      <c r="C23" s="467"/>
      <c r="D23" s="467"/>
      <c r="E23" s="467"/>
      <c r="F23" s="467"/>
      <c r="G23" s="467"/>
      <c r="H23" s="467"/>
      <c r="I23" s="467"/>
      <c r="J23" s="467"/>
      <c r="K23" s="467"/>
      <c r="L23" s="467"/>
      <c r="M23" s="1661">
        <f>SUM(M15:M22)</f>
        <v>5446058</v>
      </c>
      <c r="N23" s="1661">
        <f>SUM(N21:N22)</f>
        <v>0</v>
      </c>
    </row>
    <row r="24" spans="1:14" ht="18" customHeight="1" thickTop="1" x14ac:dyDescent="0.2">
      <c r="A24" s="2184" t="s">
        <v>598</v>
      </c>
      <c r="B24" s="2185"/>
      <c r="C24" s="1541"/>
      <c r="D24" s="1538"/>
      <c r="E24" s="1538"/>
      <c r="F24" s="1538"/>
      <c r="G24" s="1538"/>
      <c r="H24" s="1538"/>
      <c r="I24" s="1538"/>
      <c r="J24" s="1538"/>
      <c r="K24" s="1538"/>
      <c r="L24" s="1538"/>
      <c r="M24" s="1537"/>
      <c r="N24" s="1542"/>
    </row>
    <row r="25" spans="1:14" x14ac:dyDescent="0.2">
      <c r="A25" s="471" t="s">
        <v>645</v>
      </c>
      <c r="B25" s="469">
        <v>410</v>
      </c>
      <c r="C25" s="474">
        <v>0</v>
      </c>
      <c r="D25" s="474">
        <v>0</v>
      </c>
      <c r="E25" s="474">
        <v>0</v>
      </c>
      <c r="F25" s="474">
        <v>0</v>
      </c>
      <c r="G25" s="474">
        <v>0</v>
      </c>
      <c r="H25" s="1917">
        <v>0</v>
      </c>
      <c r="I25" s="467"/>
      <c r="J25" s="474">
        <v>0</v>
      </c>
      <c r="K25" s="474">
        <v>0</v>
      </c>
      <c r="L25" s="467"/>
      <c r="M25" s="467"/>
      <c r="N25" s="467"/>
    </row>
    <row r="26" spans="1:14" x14ac:dyDescent="0.2">
      <c r="A26" s="471" t="s">
        <v>646</v>
      </c>
      <c r="B26" s="469">
        <v>420</v>
      </c>
      <c r="C26" s="1912">
        <v>0</v>
      </c>
      <c r="D26" s="1912">
        <v>0</v>
      </c>
      <c r="E26" s="1912">
        <v>0</v>
      </c>
      <c r="F26" s="1912">
        <v>0</v>
      </c>
      <c r="G26" s="1912">
        <v>0</v>
      </c>
      <c r="H26" s="1912">
        <v>0</v>
      </c>
      <c r="I26" s="1912">
        <v>0</v>
      </c>
      <c r="J26" s="1914">
        <v>0</v>
      </c>
      <c r="K26" s="1912">
        <v>0</v>
      </c>
      <c r="L26" s="467"/>
      <c r="M26" s="467"/>
      <c r="N26" s="467"/>
    </row>
    <row r="27" spans="1:14" ht="13.5" customHeight="1" x14ac:dyDescent="0.2">
      <c r="A27" s="471" t="s">
        <v>647</v>
      </c>
      <c r="B27" s="469">
        <v>430</v>
      </c>
      <c r="C27" s="1912">
        <v>0</v>
      </c>
      <c r="D27" s="1912">
        <v>0</v>
      </c>
      <c r="E27" s="1912">
        <v>0</v>
      </c>
      <c r="F27" s="1912">
        <v>0</v>
      </c>
      <c r="G27" s="1912">
        <v>0</v>
      </c>
      <c r="H27" s="1912">
        <v>0</v>
      </c>
      <c r="I27" s="1912">
        <v>0</v>
      </c>
      <c r="J27" s="1912">
        <v>0</v>
      </c>
      <c r="K27" s="1912">
        <v>0</v>
      </c>
      <c r="L27" s="467"/>
      <c r="M27" s="467"/>
      <c r="N27" s="467"/>
    </row>
    <row r="28" spans="1:14" ht="13.5" customHeight="1" x14ac:dyDescent="0.2">
      <c r="A28" s="471" t="s">
        <v>648</v>
      </c>
      <c r="B28" s="469">
        <v>440</v>
      </c>
      <c r="C28" s="1912">
        <v>0</v>
      </c>
      <c r="D28" s="1912">
        <v>0</v>
      </c>
      <c r="E28" s="1914">
        <v>0</v>
      </c>
      <c r="F28" s="1912">
        <v>0</v>
      </c>
      <c r="G28" s="1914">
        <v>0</v>
      </c>
      <c r="H28" s="1914">
        <v>0</v>
      </c>
      <c r="I28" s="1912">
        <v>0</v>
      </c>
      <c r="J28" s="1912">
        <v>0</v>
      </c>
      <c r="K28" s="1917">
        <v>0</v>
      </c>
      <c r="L28" s="467"/>
      <c r="M28" s="467"/>
      <c r="N28" s="467"/>
    </row>
    <row r="29" spans="1:14" ht="13.5" customHeight="1" x14ac:dyDescent="0.2">
      <c r="A29" s="471" t="s">
        <v>649</v>
      </c>
      <c r="B29" s="469">
        <v>460</v>
      </c>
      <c r="C29" s="1919">
        <v>0</v>
      </c>
      <c r="D29" s="1920">
        <v>0</v>
      </c>
      <c r="E29" s="1914">
        <v>0</v>
      </c>
      <c r="F29" s="1912">
        <v>0</v>
      </c>
      <c r="G29" s="1914">
        <v>0</v>
      </c>
      <c r="H29" s="1914">
        <v>0</v>
      </c>
      <c r="I29" s="1914">
        <v>0</v>
      </c>
      <c r="J29" s="1914">
        <v>0</v>
      </c>
      <c r="K29" s="1912">
        <v>0</v>
      </c>
      <c r="L29" s="467"/>
      <c r="M29" s="467"/>
      <c r="N29" s="467"/>
    </row>
    <row r="30" spans="1:14" ht="13.5" customHeight="1" x14ac:dyDescent="0.2">
      <c r="A30" s="471" t="s">
        <v>650</v>
      </c>
      <c r="B30" s="469">
        <v>470</v>
      </c>
      <c r="C30" s="1912">
        <v>0</v>
      </c>
      <c r="D30" s="1914">
        <v>0</v>
      </c>
      <c r="E30" s="1912">
        <v>0</v>
      </c>
      <c r="F30" s="1912">
        <v>0</v>
      </c>
      <c r="G30" s="1912">
        <v>0</v>
      </c>
      <c r="H30" s="1912">
        <v>0</v>
      </c>
      <c r="I30" s="1912">
        <v>0</v>
      </c>
      <c r="J30" s="1912">
        <v>0</v>
      </c>
      <c r="K30" s="474">
        <v>0</v>
      </c>
      <c r="L30" s="467"/>
      <c r="M30" s="467"/>
      <c r="N30" s="467"/>
    </row>
    <row r="31" spans="1:14" ht="13.5" customHeight="1" x14ac:dyDescent="0.2">
      <c r="A31" s="471" t="s">
        <v>651</v>
      </c>
      <c r="B31" s="469">
        <v>480</v>
      </c>
      <c r="C31" s="1911">
        <v>0</v>
      </c>
      <c r="D31" s="1912">
        <v>0</v>
      </c>
      <c r="E31" s="1912">
        <v>0</v>
      </c>
      <c r="F31" s="1911">
        <v>0</v>
      </c>
      <c r="G31" s="1912">
        <v>0</v>
      </c>
      <c r="H31" s="1912">
        <v>0</v>
      </c>
      <c r="I31" s="1912">
        <v>0</v>
      </c>
      <c r="J31" s="1912">
        <v>0</v>
      </c>
      <c r="K31" s="1912">
        <v>0</v>
      </c>
      <c r="L31" s="467"/>
      <c r="M31" s="467"/>
      <c r="N31" s="467"/>
    </row>
    <row r="32" spans="1:14" ht="13.5" customHeight="1" x14ac:dyDescent="0.2">
      <c r="A32" s="484" t="s">
        <v>652</v>
      </c>
      <c r="B32" s="485">
        <v>490</v>
      </c>
      <c r="C32" s="1921">
        <v>0</v>
      </c>
      <c r="D32" s="1921">
        <v>0</v>
      </c>
      <c r="E32" s="1914">
        <v>0</v>
      </c>
      <c r="F32" s="1914">
        <v>0</v>
      </c>
      <c r="G32" s="1914">
        <v>0</v>
      </c>
      <c r="H32" s="1914">
        <v>0</v>
      </c>
      <c r="I32" s="1914">
        <v>0</v>
      </c>
      <c r="J32" s="1914">
        <v>0</v>
      </c>
      <c r="K32" s="1917">
        <v>0</v>
      </c>
      <c r="L32" s="467"/>
      <c r="M32" s="467"/>
      <c r="N32" s="467"/>
    </row>
    <row r="33" spans="1:14" ht="13.5" customHeight="1" x14ac:dyDescent="0.2">
      <c r="A33" s="486" t="s">
        <v>303</v>
      </c>
      <c r="B33" s="485">
        <v>493</v>
      </c>
      <c r="C33" s="1912">
        <v>0</v>
      </c>
      <c r="D33" s="1912">
        <v>0</v>
      </c>
      <c r="E33" s="1912">
        <v>0</v>
      </c>
      <c r="F33" s="1912">
        <v>0</v>
      </c>
      <c r="G33" s="1912">
        <v>0</v>
      </c>
      <c r="H33" s="1912">
        <v>0</v>
      </c>
      <c r="I33" s="1912">
        <v>0</v>
      </c>
      <c r="J33" s="1912">
        <v>0</v>
      </c>
      <c r="K33" s="1912">
        <v>0</v>
      </c>
      <c r="L33" s="1912">
        <v>25208</v>
      </c>
      <c r="M33" s="467"/>
      <c r="N33" s="468"/>
    </row>
    <row r="34" spans="1:14" ht="13.5" customHeight="1" thickBot="1" x14ac:dyDescent="0.25">
      <c r="A34" s="1711" t="s">
        <v>654</v>
      </c>
      <c r="B34" s="1712"/>
      <c r="C34" s="1713">
        <f>SUM(C25:C33)</f>
        <v>0</v>
      </c>
      <c r="D34" s="1713">
        <f t="shared" ref="D34:K34" si="1">SUM(D25:D33)</f>
        <v>0</v>
      </c>
      <c r="E34" s="1713">
        <f t="shared" si="1"/>
        <v>0</v>
      </c>
      <c r="F34" s="1713">
        <f t="shared" si="1"/>
        <v>0</v>
      </c>
      <c r="G34" s="1713">
        <f t="shared" si="1"/>
        <v>0</v>
      </c>
      <c r="H34" s="1713">
        <f t="shared" si="1"/>
        <v>0</v>
      </c>
      <c r="I34" s="1713">
        <f t="shared" si="1"/>
        <v>0</v>
      </c>
      <c r="J34" s="1713">
        <f t="shared" si="1"/>
        <v>0</v>
      </c>
      <c r="K34" s="1713">
        <f t="shared" si="1"/>
        <v>0</v>
      </c>
      <c r="L34" s="1694">
        <f>SUM(L33)</f>
        <v>25208</v>
      </c>
      <c r="M34" s="467"/>
      <c r="N34" s="476"/>
    </row>
    <row r="35" spans="1:14" ht="18" customHeight="1" thickTop="1" x14ac:dyDescent="0.2">
      <c r="A35" s="2186" t="s">
        <v>529</v>
      </c>
      <c r="B35" s="2187"/>
      <c r="C35" s="1543"/>
      <c r="D35" s="1544"/>
      <c r="E35" s="1544"/>
      <c r="F35" s="1544"/>
      <c r="G35" s="1544"/>
      <c r="H35" s="1544"/>
      <c r="I35" s="1544"/>
      <c r="J35" s="1544"/>
      <c r="K35" s="1544"/>
      <c r="L35" s="1544"/>
      <c r="M35" s="1538"/>
      <c r="N35" s="1542"/>
    </row>
    <row r="36" spans="1:14" x14ac:dyDescent="0.2">
      <c r="A36" s="487" t="s">
        <v>1</v>
      </c>
      <c r="B36" s="469">
        <v>511</v>
      </c>
      <c r="C36" s="473"/>
      <c r="D36" s="473"/>
      <c r="E36" s="473"/>
      <c r="F36" s="473"/>
      <c r="G36" s="473"/>
      <c r="H36" s="473"/>
      <c r="I36" s="473"/>
      <c r="J36" s="473"/>
      <c r="K36" s="473"/>
      <c r="L36" s="467"/>
      <c r="M36" s="467"/>
      <c r="N36" s="488">
        <f>'Short-Term Long-Term Debt 24'!I49</f>
        <v>0</v>
      </c>
    </row>
    <row r="37" spans="1:14" ht="13.5" thickBot="1" x14ac:dyDescent="0.25">
      <c r="A37" s="1709" t="s">
        <v>653</v>
      </c>
      <c r="B37" s="1714"/>
      <c r="C37" s="473"/>
      <c r="D37" s="473"/>
      <c r="E37" s="473"/>
      <c r="F37" s="473"/>
      <c r="G37" s="473"/>
      <c r="H37" s="473"/>
      <c r="I37" s="473"/>
      <c r="J37" s="473"/>
      <c r="K37" s="473"/>
      <c r="L37" s="476"/>
      <c r="M37" s="467"/>
      <c r="N37" s="1661">
        <f>SUM(N36:N36)</f>
        <v>0</v>
      </c>
    </row>
    <row r="38" spans="1:14" s="329" customFormat="1" ht="13.5" customHeight="1" thickTop="1" x14ac:dyDescent="0.2">
      <c r="A38" s="489" t="s">
        <v>420</v>
      </c>
      <c r="B38" s="479">
        <v>714</v>
      </c>
      <c r="C38" s="1911"/>
      <c r="D38" s="1911"/>
      <c r="E38" s="1911"/>
      <c r="F38" s="1911"/>
      <c r="G38" s="1911"/>
      <c r="H38" s="1911"/>
      <c r="I38" s="1911"/>
      <c r="J38" s="1912"/>
      <c r="K38" s="1911"/>
      <c r="L38" s="477"/>
      <c r="M38" s="490"/>
      <c r="N38" s="490"/>
    </row>
    <row r="39" spans="1:14" s="329" customFormat="1" ht="13.5" customHeight="1" x14ac:dyDescent="0.2">
      <c r="A39" s="489" t="s">
        <v>342</v>
      </c>
      <c r="B39" s="479">
        <v>730</v>
      </c>
      <c r="C39" s="1911">
        <v>8093072</v>
      </c>
      <c r="D39" s="1911">
        <v>1385937</v>
      </c>
      <c r="E39" s="1911">
        <v>0</v>
      </c>
      <c r="F39" s="1911">
        <v>794618</v>
      </c>
      <c r="G39" s="1911">
        <v>187498</v>
      </c>
      <c r="H39" s="1911">
        <v>323173</v>
      </c>
      <c r="I39" s="1911">
        <v>23087</v>
      </c>
      <c r="J39" s="1912">
        <v>129482</v>
      </c>
      <c r="K39" s="1911">
        <v>0</v>
      </c>
      <c r="L39" s="1911">
        <v>0</v>
      </c>
      <c r="M39" s="490"/>
      <c r="N39" s="490"/>
    </row>
    <row r="40" spans="1:14" s="329" customFormat="1" ht="13.5" customHeight="1" x14ac:dyDescent="0.2">
      <c r="A40" s="491" t="s">
        <v>148</v>
      </c>
      <c r="B40" s="492"/>
      <c r="C40" s="493"/>
      <c r="D40" s="493"/>
      <c r="E40" s="493"/>
      <c r="F40" s="493"/>
      <c r="G40" s="493"/>
      <c r="H40" s="493"/>
      <c r="I40" s="493"/>
      <c r="J40" s="493"/>
      <c r="K40" s="493"/>
      <c r="L40" s="493"/>
      <c r="M40" s="1922">
        <v>5446058</v>
      </c>
      <c r="N40" s="490"/>
    </row>
    <row r="41" spans="1:14" ht="13.5" customHeight="1" thickBot="1" x14ac:dyDescent="0.25">
      <c r="A41" s="1709" t="s">
        <v>655</v>
      </c>
      <c r="B41" s="1679"/>
      <c r="C41" s="1661">
        <f>(SUM(C34,C37,C38,C39))</f>
        <v>8093072</v>
      </c>
      <c r="D41" s="1661">
        <f t="shared" ref="D41:L41" si="2">SUM(D34,D37,D38:D39)</f>
        <v>1385937</v>
      </c>
      <c r="E41" s="1661">
        <f t="shared" si="2"/>
        <v>0</v>
      </c>
      <c r="F41" s="1661">
        <f t="shared" si="2"/>
        <v>794618</v>
      </c>
      <c r="G41" s="1661">
        <f t="shared" si="2"/>
        <v>187498</v>
      </c>
      <c r="H41" s="1661">
        <f t="shared" si="2"/>
        <v>323173</v>
      </c>
      <c r="I41" s="1661">
        <f t="shared" si="2"/>
        <v>23087</v>
      </c>
      <c r="J41" s="1661">
        <f t="shared" si="2"/>
        <v>129482</v>
      </c>
      <c r="K41" s="1661">
        <f t="shared" si="2"/>
        <v>0</v>
      </c>
      <c r="L41" s="1661">
        <f t="shared" si="2"/>
        <v>25208</v>
      </c>
      <c r="M41" s="1661">
        <f>SUM(M40)</f>
        <v>5446058</v>
      </c>
      <c r="N41" s="1661">
        <f>SUM(N37)</f>
        <v>0</v>
      </c>
    </row>
    <row r="42" spans="1:14" ht="13.5" thickTop="1" x14ac:dyDescent="0.2"/>
    <row r="43" spans="1:14" x14ac:dyDescent="0.2">
      <c r="A43" s="247"/>
      <c r="C43" s="496"/>
    </row>
    <row r="44" spans="1:14" x14ac:dyDescent="0.2">
      <c r="A44" s="247"/>
      <c r="C44" s="496"/>
    </row>
  </sheetData>
  <sheetProtection password="F60E" sheet="1" objects="1" scenarios="1"/>
  <mergeCells count="5">
    <mergeCell ref="A1:A2"/>
    <mergeCell ref="A3:B3"/>
    <mergeCell ref="A14:B14"/>
    <mergeCell ref="A24:B24"/>
    <mergeCell ref="A35:B35"/>
  </mergeCells>
  <phoneticPr fontId="20" type="noConversion"/>
  <printOptions headings="1" gridLinesSet="0"/>
  <pageMargins left="0.3" right="0.15" top="0.86" bottom="0" header="0.28000000000000003" footer="0.1"/>
  <pageSetup scale="50"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A1:M87"/>
  <sheetViews>
    <sheetView showGridLines="0" defaultGridColor="0" colorId="8" zoomScale="110" zoomScaleNormal="110" zoomScaleSheetLayoutView="100" workbookViewId="0">
      <pane ySplit="2" topLeftCell="A3" activePane="bottomLeft" state="frozen"/>
      <selection activeCell="AF22" sqref="AF22"/>
      <selection pane="bottomLeft" activeCell="H26" sqref="H26"/>
    </sheetView>
  </sheetViews>
  <sheetFormatPr defaultColWidth="9.140625" defaultRowHeight="12.75" x14ac:dyDescent="0.2"/>
  <cols>
    <col min="1" max="1" width="55.85546875" style="494" customWidth="1"/>
    <col min="2" max="2" width="4.7109375" style="495" customWidth="1"/>
    <col min="3" max="11" width="13.7109375" style="457" customWidth="1"/>
    <col min="12" max="12" width="2" style="457" customWidth="1"/>
    <col min="13" max="16384" width="9.140625" style="457"/>
  </cols>
  <sheetData>
    <row r="1" spans="1:13" ht="12.75" customHeight="1" x14ac:dyDescent="0.2">
      <c r="A1" s="2196" t="s">
        <v>1652</v>
      </c>
      <c r="B1" s="452"/>
      <c r="C1" s="497" t="s">
        <v>425</v>
      </c>
      <c r="D1" s="497" t="s">
        <v>426</v>
      </c>
      <c r="E1" s="497" t="s">
        <v>427</v>
      </c>
      <c r="F1" s="497" t="s">
        <v>428</v>
      </c>
      <c r="G1" s="497" t="s">
        <v>429</v>
      </c>
      <c r="H1" s="497" t="s">
        <v>430</v>
      </c>
      <c r="I1" s="497" t="s">
        <v>431</v>
      </c>
      <c r="J1" s="497" t="s">
        <v>432</v>
      </c>
      <c r="K1" s="497" t="s">
        <v>756</v>
      </c>
      <c r="L1" s="494"/>
    </row>
    <row r="2" spans="1:13" s="498" customFormat="1" ht="37.5" customHeight="1" x14ac:dyDescent="0.2">
      <c r="A2" s="2197"/>
      <c r="B2" s="458" t="s">
        <v>378</v>
      </c>
      <c r="C2" s="459" t="s">
        <v>1155</v>
      </c>
      <c r="D2" s="459" t="s">
        <v>870</v>
      </c>
      <c r="E2" s="459" t="s">
        <v>438</v>
      </c>
      <c r="F2" s="459" t="s">
        <v>155</v>
      </c>
      <c r="G2" s="459" t="s">
        <v>989</v>
      </c>
      <c r="H2" s="459" t="s">
        <v>437</v>
      </c>
      <c r="I2" s="459" t="s">
        <v>407</v>
      </c>
      <c r="J2" s="459" t="s">
        <v>436</v>
      </c>
      <c r="K2" s="459" t="s">
        <v>157</v>
      </c>
      <c r="L2" s="495"/>
    </row>
    <row r="3" spans="1:13" s="500" customFormat="1" ht="16.7" customHeight="1" x14ac:dyDescent="0.2">
      <c r="A3" s="2208" t="s">
        <v>1175</v>
      </c>
      <c r="B3" s="2209"/>
      <c r="C3" s="1546"/>
      <c r="D3" s="1547"/>
      <c r="E3" s="1547"/>
      <c r="F3" s="1547"/>
      <c r="G3" s="1547"/>
      <c r="H3" s="1547"/>
      <c r="I3" s="1547"/>
      <c r="J3" s="1547"/>
      <c r="K3" s="1548"/>
      <c r="L3" s="499"/>
    </row>
    <row r="4" spans="1:13" ht="15.75" customHeight="1" x14ac:dyDescent="0.2">
      <c r="A4" s="1901" t="s">
        <v>1499</v>
      </c>
      <c r="B4" s="1902">
        <v>1000</v>
      </c>
      <c r="C4" s="1715">
        <f>'Revenues 9-14'!C109</f>
        <v>3385748</v>
      </c>
      <c r="D4" s="1715">
        <f>'Revenues 9-14'!D109</f>
        <v>597632</v>
      </c>
      <c r="E4" s="1715">
        <f>'Revenues 9-14'!E109</f>
        <v>0</v>
      </c>
      <c r="F4" s="1715">
        <f>'Revenues 9-14'!F109</f>
        <v>32066</v>
      </c>
      <c r="G4" s="1715">
        <f>'Revenues 9-14'!G109</f>
        <v>153338</v>
      </c>
      <c r="H4" s="1715">
        <f>'Revenues 9-14'!H109</f>
        <v>3323</v>
      </c>
      <c r="I4" s="1715">
        <f>'Revenues 9-14'!I109</f>
        <v>16713</v>
      </c>
      <c r="J4" s="1715">
        <f>'Revenues 9-14'!J109</f>
        <v>49132</v>
      </c>
      <c r="K4" s="1715">
        <f>'Revenues 9-14'!K109</f>
        <v>0</v>
      </c>
      <c r="L4" s="347"/>
    </row>
    <row r="5" spans="1:13" ht="15.75" customHeight="1" x14ac:dyDescent="0.2">
      <c r="A5" s="1549" t="s">
        <v>1500</v>
      </c>
      <c r="B5" s="1550">
        <v>2000</v>
      </c>
      <c r="C5" s="1716">
        <f>'Revenues 9-14'!C114</f>
        <v>0</v>
      </c>
      <c r="D5" s="1716">
        <f>'Revenues 9-14'!D114</f>
        <v>0</v>
      </c>
      <c r="E5" s="501"/>
      <c r="F5" s="1716">
        <f>'Revenues 9-14'!F114</f>
        <v>0</v>
      </c>
      <c r="G5" s="1716">
        <f>'Revenues 9-14'!G114</f>
        <v>0</v>
      </c>
      <c r="H5" s="502" t="s">
        <v>1169</v>
      </c>
      <c r="I5" s="503" t="s">
        <v>1169</v>
      </c>
      <c r="J5" s="504" t="s">
        <v>1169</v>
      </c>
      <c r="K5" s="505" t="s">
        <v>1169</v>
      </c>
      <c r="L5" s="347"/>
    </row>
    <row r="6" spans="1:13" ht="15.75" customHeight="1" x14ac:dyDescent="0.2">
      <c r="A6" s="1549" t="s">
        <v>1501</v>
      </c>
      <c r="B6" s="1551">
        <v>3000</v>
      </c>
      <c r="C6" s="1716">
        <f>'Revenues 9-14'!C170</f>
        <v>253837</v>
      </c>
      <c r="D6" s="1716">
        <f>'Revenues 9-14'!D170</f>
        <v>0</v>
      </c>
      <c r="E6" s="1716">
        <f>'Revenues 9-14'!E170</f>
        <v>0</v>
      </c>
      <c r="F6" s="1716">
        <f>'Revenues 9-14'!F170</f>
        <v>162705</v>
      </c>
      <c r="G6" s="1716">
        <f>'Revenues 9-14'!G170</f>
        <v>0</v>
      </c>
      <c r="H6" s="1716">
        <f>'Revenues 9-14'!H170</f>
        <v>0</v>
      </c>
      <c r="I6" s="1716">
        <f>'Revenues 9-14'!I170</f>
        <v>0</v>
      </c>
      <c r="J6" s="1716">
        <f>'Revenues 9-14'!J170</f>
        <v>0</v>
      </c>
      <c r="K6" s="1716">
        <f>'Revenues 9-14'!K170</f>
        <v>0</v>
      </c>
      <c r="L6" s="347"/>
      <c r="M6" s="506"/>
    </row>
    <row r="7" spans="1:13" ht="15.75" customHeight="1" x14ac:dyDescent="0.2">
      <c r="A7" s="1549" t="s">
        <v>1502</v>
      </c>
      <c r="B7" s="1551">
        <v>4000</v>
      </c>
      <c r="C7" s="1716">
        <f>'Revenues 9-14'!C267</f>
        <v>212909</v>
      </c>
      <c r="D7" s="1716">
        <f>'Revenues 9-14'!D267</f>
        <v>0</v>
      </c>
      <c r="E7" s="1716">
        <f>'Revenues 9-14'!E267</f>
        <v>0</v>
      </c>
      <c r="F7" s="1716">
        <f>'Revenues 9-14'!F267</f>
        <v>0</v>
      </c>
      <c r="G7" s="1716">
        <f>'Revenues 9-14'!G267</f>
        <v>0</v>
      </c>
      <c r="H7" s="1716">
        <f>'Revenues 9-14'!H267</f>
        <v>0</v>
      </c>
      <c r="I7" s="1716">
        <f>'Revenues 9-14'!I267</f>
        <v>0</v>
      </c>
      <c r="J7" s="1716">
        <f>'Revenues 9-14'!J267</f>
        <v>0</v>
      </c>
      <c r="K7" s="1716">
        <f>'Revenues 9-14'!K267</f>
        <v>0</v>
      </c>
      <c r="L7" s="347"/>
      <c r="M7" s="506"/>
    </row>
    <row r="8" spans="1:13" ht="13.5" thickBot="1" x14ac:dyDescent="0.25">
      <c r="A8" s="1709" t="s">
        <v>1172</v>
      </c>
      <c r="B8" s="1682"/>
      <c r="C8" s="1661">
        <f>SUM(C4:C7)</f>
        <v>3852494</v>
      </c>
      <c r="D8" s="1661">
        <f t="shared" ref="D8:K8" si="0">SUM(D4:D7)</f>
        <v>597632</v>
      </c>
      <c r="E8" s="1661">
        <f t="shared" si="0"/>
        <v>0</v>
      </c>
      <c r="F8" s="1661">
        <f t="shared" si="0"/>
        <v>194771</v>
      </c>
      <c r="G8" s="1661">
        <f t="shared" si="0"/>
        <v>153338</v>
      </c>
      <c r="H8" s="1661">
        <f t="shared" si="0"/>
        <v>3323</v>
      </c>
      <c r="I8" s="1661">
        <f t="shared" si="0"/>
        <v>16713</v>
      </c>
      <c r="J8" s="1661">
        <f t="shared" si="0"/>
        <v>49132</v>
      </c>
      <c r="K8" s="1661">
        <f t="shared" si="0"/>
        <v>0</v>
      </c>
      <c r="L8" s="347"/>
    </row>
    <row r="9" spans="1:13" ht="15.75" thickTop="1" x14ac:dyDescent="0.2">
      <c r="A9" s="507" t="s">
        <v>1653</v>
      </c>
      <c r="B9" s="508">
        <v>3998</v>
      </c>
      <c r="C9" s="477">
        <v>1351995</v>
      </c>
      <c r="D9" s="509">
        <v>0</v>
      </c>
      <c r="E9" s="477">
        <v>0</v>
      </c>
      <c r="F9" s="477">
        <v>0</v>
      </c>
      <c r="G9" s="510">
        <v>0</v>
      </c>
      <c r="H9" s="477">
        <v>0</v>
      </c>
      <c r="I9" s="502" t="s">
        <v>1169</v>
      </c>
      <c r="J9" s="474">
        <v>0</v>
      </c>
      <c r="K9" s="477">
        <v>0</v>
      </c>
      <c r="L9" s="347"/>
    </row>
    <row r="10" spans="1:13" s="512" customFormat="1" ht="13.5" thickBot="1" x14ac:dyDescent="0.25">
      <c r="A10" s="1709" t="s">
        <v>1173</v>
      </c>
      <c r="B10" s="1682"/>
      <c r="C10" s="1661">
        <f>SUM(C8:C9)</f>
        <v>5204489</v>
      </c>
      <c r="D10" s="1661">
        <f t="shared" ref="D10:K10" si="1">SUM(D8:D9)</f>
        <v>597632</v>
      </c>
      <c r="E10" s="1661">
        <f t="shared" si="1"/>
        <v>0</v>
      </c>
      <c r="F10" s="1661">
        <f t="shared" si="1"/>
        <v>194771</v>
      </c>
      <c r="G10" s="1661">
        <f t="shared" si="1"/>
        <v>153338</v>
      </c>
      <c r="H10" s="1661">
        <f t="shared" si="1"/>
        <v>3323</v>
      </c>
      <c r="I10" s="1661">
        <f t="shared" si="1"/>
        <v>16713</v>
      </c>
      <c r="J10" s="1661">
        <f t="shared" si="1"/>
        <v>49132</v>
      </c>
      <c r="K10" s="1661">
        <f t="shared" si="1"/>
        <v>0</v>
      </c>
      <c r="L10" s="511"/>
    </row>
    <row r="11" spans="1:13" s="512" customFormat="1" ht="16.7" customHeight="1" thickTop="1" x14ac:dyDescent="0.2">
      <c r="A11" s="2182" t="s">
        <v>1176</v>
      </c>
      <c r="B11" s="2183"/>
      <c r="C11" s="1543"/>
      <c r="D11" s="1544"/>
      <c r="E11" s="1544"/>
      <c r="F11" s="1544"/>
      <c r="G11" s="1544"/>
      <c r="H11" s="1544"/>
      <c r="I11" s="1544"/>
      <c r="J11" s="1544"/>
      <c r="K11" s="1545"/>
      <c r="L11" s="511"/>
    </row>
    <row r="12" spans="1:13" ht="15.75" customHeight="1" x14ac:dyDescent="0.2">
      <c r="A12" s="1549" t="s">
        <v>456</v>
      </c>
      <c r="B12" s="1551">
        <v>1000</v>
      </c>
      <c r="C12" s="1715">
        <f>'Expenditures 15-22'!K33</f>
        <v>2348164</v>
      </c>
      <c r="D12" s="513" t="s">
        <v>1169</v>
      </c>
      <c r="E12" s="467" t="s">
        <v>1169</v>
      </c>
      <c r="F12" s="467" t="s">
        <v>1169</v>
      </c>
      <c r="G12" s="1715">
        <f>'Expenditures 15-22'!K229</f>
        <v>52694</v>
      </c>
      <c r="H12" s="514"/>
      <c r="I12" s="467" t="s">
        <v>1169</v>
      </c>
      <c r="J12" s="467" t="s">
        <v>1169</v>
      </c>
      <c r="K12" s="514" t="s">
        <v>1169</v>
      </c>
      <c r="L12" s="347"/>
    </row>
    <row r="13" spans="1:13" ht="15.75" customHeight="1" x14ac:dyDescent="0.2">
      <c r="A13" s="1549" t="s">
        <v>457</v>
      </c>
      <c r="B13" s="1551">
        <v>2000</v>
      </c>
      <c r="C13" s="1716">
        <f>'Expenditures 15-22'!K74</f>
        <v>567478</v>
      </c>
      <c r="D13" s="1716">
        <f>'Expenditures 15-22'!K129</f>
        <v>196069</v>
      </c>
      <c r="E13" s="468" t="s">
        <v>1169</v>
      </c>
      <c r="F13" s="1716">
        <f>'Expenditures 15-22'!K184</f>
        <v>285964</v>
      </c>
      <c r="G13" s="1716">
        <f>'Expenditures 15-22'!K279</f>
        <v>67877</v>
      </c>
      <c r="H13" s="1716">
        <f>'Expenditures 15-22'!K303</f>
        <v>339209</v>
      </c>
      <c r="I13" s="467" t="s">
        <v>1169</v>
      </c>
      <c r="J13" s="1716">
        <f>'Expenditures 15-22'!K330</f>
        <v>47338</v>
      </c>
      <c r="K13" s="1720">
        <f>'Expenditures 15-22'!K352</f>
        <v>0</v>
      </c>
      <c r="L13" s="347"/>
    </row>
    <row r="14" spans="1:13" ht="15.75" customHeight="1" x14ac:dyDescent="0.2">
      <c r="A14" s="1549" t="s">
        <v>449</v>
      </c>
      <c r="B14" s="1551">
        <v>3000</v>
      </c>
      <c r="C14" s="1716">
        <f>'Expenditures 15-22'!K75</f>
        <v>0</v>
      </c>
      <c r="D14" s="1716">
        <f>'Expenditures 15-22'!K130</f>
        <v>0</v>
      </c>
      <c r="E14" s="513" t="s">
        <v>1169</v>
      </c>
      <c r="F14" s="1716">
        <f>'Expenditures 15-22'!K185</f>
        <v>0</v>
      </c>
      <c r="G14" s="1716">
        <f>'Expenditures 15-22'!K280</f>
        <v>0</v>
      </c>
      <c r="H14" s="505"/>
      <c r="I14" s="467" t="s">
        <v>1169</v>
      </c>
      <c r="J14" s="467" t="s">
        <v>1169</v>
      </c>
      <c r="K14" s="505" t="s">
        <v>1169</v>
      </c>
      <c r="L14" s="347"/>
    </row>
    <row r="15" spans="1:13" ht="15.75" customHeight="1" x14ac:dyDescent="0.2">
      <c r="A15" s="1549" t="s">
        <v>107</v>
      </c>
      <c r="B15" s="1551">
        <v>4000</v>
      </c>
      <c r="C15" s="1716">
        <f>'Expenditures 15-22'!K102</f>
        <v>195249</v>
      </c>
      <c r="D15" s="1716">
        <f>'Expenditures 15-22'!K139</f>
        <v>0</v>
      </c>
      <c r="E15" s="1716">
        <f>'Expenditures 15-22'!K160</f>
        <v>0</v>
      </c>
      <c r="F15" s="1716">
        <f>'Expenditures 15-22'!K196</f>
        <v>0</v>
      </c>
      <c r="G15" s="1716">
        <f>'Expenditures 15-22'!K285</f>
        <v>0</v>
      </c>
      <c r="H15" s="1716">
        <f>'Expenditures 15-22'!K310</f>
        <v>0</v>
      </c>
      <c r="I15" s="467" t="s">
        <v>1169</v>
      </c>
      <c r="J15" s="1808">
        <f>'Expenditures 15-22'!K334</f>
        <v>0</v>
      </c>
      <c r="K15" s="1716">
        <f>'Expenditures 15-22'!K357</f>
        <v>0</v>
      </c>
      <c r="L15" s="347"/>
    </row>
    <row r="16" spans="1:13" ht="15.75" customHeight="1" x14ac:dyDescent="0.2">
      <c r="A16" s="1549" t="s">
        <v>450</v>
      </c>
      <c r="B16" s="1551">
        <v>5000</v>
      </c>
      <c r="C16" s="1716">
        <f>'Expenditures 15-22'!K112</f>
        <v>0</v>
      </c>
      <c r="D16" s="1716">
        <f>'Expenditures 15-22'!K149</f>
        <v>0</v>
      </c>
      <c r="E16" s="1716">
        <f>'Expenditures 15-22'!K172</f>
        <v>0</v>
      </c>
      <c r="F16" s="1716">
        <f>'Expenditures 15-22'!K208</f>
        <v>0</v>
      </c>
      <c r="G16" s="1716">
        <f>'Expenditures 15-22'!K293</f>
        <v>0</v>
      </c>
      <c r="H16" s="516"/>
      <c r="I16" s="467" t="s">
        <v>1169</v>
      </c>
      <c r="J16" s="1721">
        <f>'Expenditures 15-22'!K340</f>
        <v>0</v>
      </c>
      <c r="K16" s="1716">
        <f>'Expenditures 15-22'!K365</f>
        <v>0</v>
      </c>
      <c r="L16" s="347"/>
    </row>
    <row r="17" spans="1:12" ht="13.5" thickBot="1" x14ac:dyDescent="0.25">
      <c r="A17" s="1681" t="s">
        <v>48</v>
      </c>
      <c r="B17" s="1682"/>
      <c r="C17" s="1661">
        <f t="shared" ref="C17:H17" si="2">SUM(C12:C16)</f>
        <v>3110891</v>
      </c>
      <c r="D17" s="1661">
        <f t="shared" si="2"/>
        <v>196069</v>
      </c>
      <c r="E17" s="1661">
        <f t="shared" si="2"/>
        <v>0</v>
      </c>
      <c r="F17" s="1661">
        <f t="shared" si="2"/>
        <v>285964</v>
      </c>
      <c r="G17" s="1661">
        <f t="shared" si="2"/>
        <v>120571</v>
      </c>
      <c r="H17" s="1661">
        <f t="shared" si="2"/>
        <v>339209</v>
      </c>
      <c r="I17" s="467"/>
      <c r="J17" s="1661">
        <f>SUM(J12:J16)</f>
        <v>47338</v>
      </c>
      <c r="K17" s="1661">
        <f>SUM(K12:K16)</f>
        <v>0</v>
      </c>
      <c r="L17" s="347"/>
    </row>
    <row r="18" spans="1:12" ht="15" customHeight="1" thickTop="1" x14ac:dyDescent="0.2">
      <c r="A18" s="1717" t="s">
        <v>1654</v>
      </c>
      <c r="B18" s="1718">
        <v>4180</v>
      </c>
      <c r="C18" s="1715">
        <f t="shared" ref="C18:H18" si="3">C9</f>
        <v>1351995</v>
      </c>
      <c r="D18" s="1715">
        <f t="shared" si="3"/>
        <v>0</v>
      </c>
      <c r="E18" s="1715">
        <f t="shared" si="3"/>
        <v>0</v>
      </c>
      <c r="F18" s="1715">
        <f t="shared" si="3"/>
        <v>0</v>
      </c>
      <c r="G18" s="1715">
        <f t="shared" si="3"/>
        <v>0</v>
      </c>
      <c r="H18" s="1715">
        <f t="shared" si="3"/>
        <v>0</v>
      </c>
      <c r="I18" s="467"/>
      <c r="J18" s="1715">
        <f>J9</f>
        <v>0</v>
      </c>
      <c r="K18" s="1715">
        <f>K9</f>
        <v>0</v>
      </c>
      <c r="L18" s="347"/>
    </row>
    <row r="19" spans="1:12" ht="13.5" thickBot="1" x14ac:dyDescent="0.25">
      <c r="A19" s="1681" t="s">
        <v>505</v>
      </c>
      <c r="B19" s="1682"/>
      <c r="C19" s="1661">
        <f t="shared" ref="C19:H19" si="4">SUM(C17:C18)</f>
        <v>4462886</v>
      </c>
      <c r="D19" s="1661">
        <f t="shared" si="4"/>
        <v>196069</v>
      </c>
      <c r="E19" s="1661">
        <f t="shared" si="4"/>
        <v>0</v>
      </c>
      <c r="F19" s="1661">
        <f t="shared" si="4"/>
        <v>285964</v>
      </c>
      <c r="G19" s="1661">
        <f t="shared" si="4"/>
        <v>120571</v>
      </c>
      <c r="H19" s="1661">
        <f t="shared" si="4"/>
        <v>339209</v>
      </c>
      <c r="I19" s="467"/>
      <c r="J19" s="1661">
        <f>SUM(J17:J18)</f>
        <v>47338</v>
      </c>
      <c r="K19" s="1661">
        <f>SUM(K17:K18)</f>
        <v>0</v>
      </c>
      <c r="L19" s="347"/>
    </row>
    <row r="20" spans="1:12" ht="16.5" thickTop="1" thickBot="1" x14ac:dyDescent="0.25">
      <c r="A20" s="2198" t="s">
        <v>1655</v>
      </c>
      <c r="B20" s="2199"/>
      <c r="C20" s="1719">
        <f>C8-C17</f>
        <v>741603</v>
      </c>
      <c r="D20" s="1719">
        <f t="shared" ref="D20:K20" si="5">D8-D17</f>
        <v>401563</v>
      </c>
      <c r="E20" s="1719">
        <f t="shared" si="5"/>
        <v>0</v>
      </c>
      <c r="F20" s="1719">
        <f t="shared" si="5"/>
        <v>-91193</v>
      </c>
      <c r="G20" s="1719">
        <f t="shared" si="5"/>
        <v>32767</v>
      </c>
      <c r="H20" s="1719">
        <f t="shared" si="5"/>
        <v>-335886</v>
      </c>
      <c r="I20" s="1719">
        <f t="shared" si="5"/>
        <v>16713</v>
      </c>
      <c r="J20" s="1719">
        <f t="shared" si="5"/>
        <v>1794</v>
      </c>
      <c r="K20" s="1719">
        <f t="shared" si="5"/>
        <v>0</v>
      </c>
      <c r="L20" s="347"/>
    </row>
    <row r="21" spans="1:12" ht="16.7" customHeight="1" thickTop="1" x14ac:dyDescent="0.2">
      <c r="A21" s="2210" t="s">
        <v>595</v>
      </c>
      <c r="B21" s="2211"/>
      <c r="C21" s="1543"/>
      <c r="D21" s="1544"/>
      <c r="E21" s="1544"/>
      <c r="F21" s="1544"/>
      <c r="G21" s="1544"/>
      <c r="H21" s="1544"/>
      <c r="I21" s="1544"/>
      <c r="J21" s="1544"/>
      <c r="K21" s="1545"/>
      <c r="L21" s="517"/>
    </row>
    <row r="22" spans="1:12" ht="15.75" customHeight="1" collapsed="1" x14ac:dyDescent="0.2">
      <c r="A22" s="2206" t="s">
        <v>596</v>
      </c>
      <c r="B22" s="2207"/>
      <c r="C22" s="473"/>
      <c r="D22" s="473"/>
      <c r="E22" s="473"/>
      <c r="F22" s="473"/>
      <c r="G22" s="473"/>
      <c r="H22" s="473"/>
      <c r="I22" s="473"/>
      <c r="J22" s="473"/>
      <c r="K22" s="473"/>
      <c r="L22" s="347"/>
    </row>
    <row r="23" spans="1:12" s="481" customFormat="1" ht="15.75" customHeight="1" x14ac:dyDescent="0.2">
      <c r="A23" s="2202" t="s">
        <v>293</v>
      </c>
      <c r="B23" s="2203"/>
      <c r="C23" s="476"/>
      <c r="D23" s="473"/>
      <c r="E23" s="473"/>
      <c r="F23" s="473"/>
      <c r="G23" s="473"/>
      <c r="H23" s="473"/>
      <c r="I23" s="473"/>
      <c r="J23" s="473"/>
      <c r="K23" s="473"/>
      <c r="L23" s="517"/>
    </row>
    <row r="24" spans="1:12" s="481" customFormat="1" ht="13.5" customHeight="1" x14ac:dyDescent="0.2">
      <c r="A24" s="1462" t="s">
        <v>1656</v>
      </c>
      <c r="B24" s="518">
        <v>7110</v>
      </c>
      <c r="C24" s="1922"/>
      <c r="D24" s="473"/>
      <c r="E24" s="473"/>
      <c r="F24" s="473"/>
      <c r="G24" s="473"/>
      <c r="H24" s="473"/>
      <c r="I24" s="473"/>
      <c r="J24" s="473"/>
      <c r="K24" s="473"/>
      <c r="L24" s="517"/>
    </row>
    <row r="25" spans="1:12" s="481" customFormat="1" ht="13.5" customHeight="1" x14ac:dyDescent="0.2">
      <c r="A25" s="1462" t="s">
        <v>1657</v>
      </c>
      <c r="B25" s="518">
        <v>7110</v>
      </c>
      <c r="C25" s="1922">
        <v>0</v>
      </c>
      <c r="D25" s="1922">
        <v>0</v>
      </c>
      <c r="E25" s="1922">
        <v>0</v>
      </c>
      <c r="F25" s="1922">
        <v>0</v>
      </c>
      <c r="G25" s="1922">
        <v>0</v>
      </c>
      <c r="H25" s="1922">
        <v>0</v>
      </c>
      <c r="I25" s="473"/>
      <c r="J25" s="1922">
        <v>0</v>
      </c>
      <c r="K25" s="1922">
        <v>0</v>
      </c>
      <c r="L25" s="517"/>
    </row>
    <row r="26" spans="1:12" s="481" customFormat="1" ht="13.5" customHeight="1" x14ac:dyDescent="0.2">
      <c r="A26" s="1462" t="s">
        <v>184</v>
      </c>
      <c r="B26" s="479">
        <v>7120</v>
      </c>
      <c r="C26" s="1922">
        <v>0</v>
      </c>
      <c r="D26" s="1922">
        <v>0</v>
      </c>
      <c r="E26" s="1922">
        <v>0</v>
      </c>
      <c r="F26" s="1922">
        <v>0</v>
      </c>
      <c r="G26" s="1922">
        <v>0</v>
      </c>
      <c r="H26" s="1922">
        <v>0</v>
      </c>
      <c r="I26" s="473"/>
      <c r="J26" s="1922">
        <v>0</v>
      </c>
      <c r="K26" s="1922">
        <v>0</v>
      </c>
      <c r="L26" s="517"/>
    </row>
    <row r="27" spans="1:12" s="481" customFormat="1" ht="13.5" customHeight="1" x14ac:dyDescent="0.2">
      <c r="A27" s="1462" t="s">
        <v>185</v>
      </c>
      <c r="B27" s="479">
        <v>7130</v>
      </c>
      <c r="C27" s="1922">
        <v>0</v>
      </c>
      <c r="D27" s="1922">
        <v>0</v>
      </c>
      <c r="E27" s="519"/>
      <c r="F27" s="1922">
        <v>0</v>
      </c>
      <c r="G27" s="476"/>
      <c r="H27" s="476"/>
      <c r="I27" s="476"/>
      <c r="J27" s="476"/>
      <c r="K27" s="476"/>
      <c r="L27" s="517"/>
    </row>
    <row r="28" spans="1:12" s="481" customFormat="1" ht="13.5" customHeight="1" x14ac:dyDescent="0.2">
      <c r="A28" s="1462" t="s">
        <v>1398</v>
      </c>
      <c r="B28" s="479">
        <v>7140</v>
      </c>
      <c r="C28" s="1922">
        <v>0</v>
      </c>
      <c r="D28" s="1922">
        <v>0</v>
      </c>
      <c r="E28" s="1922">
        <v>0</v>
      </c>
      <c r="F28" s="1922">
        <v>0</v>
      </c>
      <c r="G28" s="1922">
        <v>0</v>
      </c>
      <c r="H28" s="1922">
        <v>0</v>
      </c>
      <c r="I28" s="1922">
        <v>0</v>
      </c>
      <c r="J28" s="1922">
        <v>0</v>
      </c>
      <c r="K28" s="1922">
        <v>0</v>
      </c>
      <c r="L28" s="517"/>
    </row>
    <row r="29" spans="1:12" s="481" customFormat="1" ht="13.5" customHeight="1" x14ac:dyDescent="0.2">
      <c r="A29" s="1462" t="s">
        <v>294</v>
      </c>
      <c r="B29" s="479">
        <v>7150</v>
      </c>
      <c r="C29" s="472"/>
      <c r="D29" s="1922">
        <v>0</v>
      </c>
      <c r="E29" s="472"/>
      <c r="F29" s="472"/>
      <c r="G29" s="472"/>
      <c r="H29" s="472"/>
      <c r="I29" s="472"/>
      <c r="J29" s="472"/>
      <c r="K29" s="472"/>
      <c r="L29" s="517"/>
    </row>
    <row r="30" spans="1:12" s="481" customFormat="1" ht="26.25" x14ac:dyDescent="0.2">
      <c r="A30" s="1462" t="s">
        <v>1794</v>
      </c>
      <c r="B30" s="520">
        <v>7160</v>
      </c>
      <c r="C30" s="473"/>
      <c r="D30" s="1922">
        <v>0</v>
      </c>
      <c r="E30" s="473"/>
      <c r="F30" s="473"/>
      <c r="G30" s="473"/>
      <c r="H30" s="473"/>
      <c r="I30" s="473"/>
      <c r="J30" s="473"/>
      <c r="K30" s="473"/>
      <c r="L30" s="517"/>
    </row>
    <row r="31" spans="1:12" s="481" customFormat="1" ht="26.25" x14ac:dyDescent="0.2">
      <c r="A31" s="1462" t="s">
        <v>1798</v>
      </c>
      <c r="B31" s="520">
        <v>7170</v>
      </c>
      <c r="C31" s="473"/>
      <c r="D31" s="473"/>
      <c r="E31" s="1923">
        <v>0</v>
      </c>
      <c r="F31" s="473"/>
      <c r="G31" s="473"/>
      <c r="H31" s="473"/>
      <c r="I31" s="473"/>
      <c r="J31" s="473"/>
      <c r="K31" s="473"/>
      <c r="L31" s="517"/>
    </row>
    <row r="32" spans="1:12" s="481" customFormat="1" ht="15.75" customHeight="1" x14ac:dyDescent="0.2">
      <c r="A32" s="2204" t="s">
        <v>981</v>
      </c>
      <c r="B32" s="2205"/>
      <c r="C32" s="473"/>
      <c r="D32" s="473"/>
      <c r="E32" s="472"/>
      <c r="F32" s="473"/>
      <c r="G32" s="473"/>
      <c r="H32" s="473"/>
      <c r="I32" s="473"/>
      <c r="J32" s="473"/>
      <c r="K32" s="473"/>
      <c r="L32" s="517"/>
    </row>
    <row r="33" spans="1:12" s="481" customFormat="1" x14ac:dyDescent="0.2">
      <c r="A33" s="1462" t="s">
        <v>412</v>
      </c>
      <c r="B33" s="518">
        <v>7210</v>
      </c>
      <c r="C33" s="1922">
        <v>0</v>
      </c>
      <c r="D33" s="1922">
        <v>0</v>
      </c>
      <c r="E33" s="1922">
        <v>0</v>
      </c>
      <c r="F33" s="1922">
        <v>0</v>
      </c>
      <c r="G33" s="473"/>
      <c r="H33" s="1922">
        <v>0</v>
      </c>
      <c r="I33" s="1922">
        <v>0</v>
      </c>
      <c r="J33" s="1922">
        <v>0</v>
      </c>
      <c r="K33" s="1922">
        <v>0</v>
      </c>
      <c r="L33" s="517"/>
    </row>
    <row r="34" spans="1:12" s="481" customFormat="1" x14ac:dyDescent="0.2">
      <c r="A34" s="1462" t="s">
        <v>1001</v>
      </c>
      <c r="B34" s="518">
        <v>7220</v>
      </c>
      <c r="C34" s="1922">
        <v>0</v>
      </c>
      <c r="D34" s="1922">
        <v>0</v>
      </c>
      <c r="E34" s="1922">
        <v>0</v>
      </c>
      <c r="F34" s="1922">
        <v>0</v>
      </c>
      <c r="G34" s="473"/>
      <c r="H34" s="474">
        <v>0</v>
      </c>
      <c r="I34" s="474">
        <v>0</v>
      </c>
      <c r="J34" s="474">
        <v>0</v>
      </c>
      <c r="K34" s="474">
        <v>0</v>
      </c>
      <c r="L34" s="517"/>
    </row>
    <row r="35" spans="1:12" s="481" customFormat="1" x14ac:dyDescent="0.2">
      <c r="A35" s="1462" t="s">
        <v>990</v>
      </c>
      <c r="B35" s="518">
        <v>7230</v>
      </c>
      <c r="C35" s="1922">
        <v>0</v>
      </c>
      <c r="D35" s="1922">
        <v>0</v>
      </c>
      <c r="E35" s="1922">
        <v>0</v>
      </c>
      <c r="F35" s="1922">
        <v>0</v>
      </c>
      <c r="G35" s="476"/>
      <c r="H35" s="1922">
        <v>0</v>
      </c>
      <c r="I35" s="1922">
        <v>0</v>
      </c>
      <c r="J35" s="1922">
        <v>0</v>
      </c>
      <c r="K35" s="1922">
        <v>0</v>
      </c>
      <c r="L35" s="517"/>
    </row>
    <row r="36" spans="1:12" s="481" customFormat="1" ht="15" x14ac:dyDescent="0.2">
      <c r="A36" s="1462" t="s">
        <v>1658</v>
      </c>
      <c r="B36" s="518">
        <v>7300</v>
      </c>
      <c r="C36" s="1922">
        <v>0</v>
      </c>
      <c r="D36" s="1922">
        <v>0</v>
      </c>
      <c r="E36" s="1922">
        <v>0</v>
      </c>
      <c r="F36" s="1922">
        <v>0</v>
      </c>
      <c r="G36" s="1922">
        <v>0</v>
      </c>
      <c r="H36" s="1922">
        <v>0</v>
      </c>
      <c r="I36" s="472"/>
      <c r="J36" s="1922">
        <v>0</v>
      </c>
      <c r="K36" s="1922">
        <v>0</v>
      </c>
      <c r="L36" s="517"/>
    </row>
    <row r="37" spans="1:12" s="481" customFormat="1" x14ac:dyDescent="0.2">
      <c r="A37" s="1462" t="s">
        <v>441</v>
      </c>
      <c r="B37" s="518">
        <v>7400</v>
      </c>
      <c r="C37" s="472"/>
      <c r="D37" s="472"/>
      <c r="E37" s="1716">
        <f>SUM(C54:D57,H54:H57)</f>
        <v>0</v>
      </c>
      <c r="F37" s="472"/>
      <c r="G37" s="472"/>
      <c r="H37" s="472"/>
      <c r="I37" s="473"/>
      <c r="J37" s="472"/>
      <c r="K37" s="472"/>
      <c r="L37" s="517"/>
    </row>
    <row r="38" spans="1:12" s="481" customFormat="1" x14ac:dyDescent="0.2">
      <c r="A38" s="1462" t="s">
        <v>442</v>
      </c>
      <c r="B38" s="518">
        <v>7500</v>
      </c>
      <c r="C38" s="473"/>
      <c r="D38" s="473"/>
      <c r="E38" s="1716">
        <f>SUM(C58:D61,H58:H61)</f>
        <v>0</v>
      </c>
      <c r="F38" s="473"/>
      <c r="G38" s="473"/>
      <c r="H38" s="473"/>
      <c r="I38" s="473"/>
      <c r="J38" s="473"/>
      <c r="K38" s="473"/>
      <c r="L38" s="517"/>
    </row>
    <row r="39" spans="1:12" s="481" customFormat="1" x14ac:dyDescent="0.2">
      <c r="A39" s="1462" t="s">
        <v>443</v>
      </c>
      <c r="B39" s="518">
        <v>7600</v>
      </c>
      <c r="C39" s="473"/>
      <c r="D39" s="473"/>
      <c r="E39" s="1716">
        <f>SUM(C62:D65)</f>
        <v>0</v>
      </c>
      <c r="F39" s="473"/>
      <c r="G39" s="473"/>
      <c r="H39" s="473"/>
      <c r="I39" s="473"/>
      <c r="J39" s="473"/>
      <c r="K39" s="473"/>
      <c r="L39" s="517"/>
    </row>
    <row r="40" spans="1:12" s="481" customFormat="1" ht="13.5" customHeight="1" x14ac:dyDescent="0.2">
      <c r="A40" s="1462" t="s">
        <v>642</v>
      </c>
      <c r="B40" s="479">
        <v>7700</v>
      </c>
      <c r="C40" s="473"/>
      <c r="D40" s="473"/>
      <c r="E40" s="1716">
        <f>SUM(C66:D69)</f>
        <v>0</v>
      </c>
      <c r="F40" s="473"/>
      <c r="G40" s="473"/>
      <c r="H40" s="476"/>
      <c r="I40" s="473"/>
      <c r="J40" s="473"/>
      <c r="K40" s="473"/>
      <c r="L40" s="517"/>
    </row>
    <row r="41" spans="1:12" s="481" customFormat="1" ht="13.5" customHeight="1" x14ac:dyDescent="0.2">
      <c r="A41" s="1462" t="s">
        <v>640</v>
      </c>
      <c r="B41" s="479">
        <v>7800</v>
      </c>
      <c r="C41" s="476"/>
      <c r="D41" s="476"/>
      <c r="E41" s="519"/>
      <c r="F41" s="476"/>
      <c r="G41" s="476"/>
      <c r="H41" s="1716">
        <f>SUM(C70:D73)</f>
        <v>360000</v>
      </c>
      <c r="I41" s="473"/>
      <c r="J41" s="473"/>
      <c r="K41" s="476"/>
      <c r="L41" s="517"/>
    </row>
    <row r="42" spans="1:12" s="481" customFormat="1" ht="13.5" customHeight="1" x14ac:dyDescent="0.2">
      <c r="A42" s="1462" t="s">
        <v>641</v>
      </c>
      <c r="B42" s="479">
        <v>7900</v>
      </c>
      <c r="C42" s="1922">
        <v>0</v>
      </c>
      <c r="D42" s="1922">
        <v>0</v>
      </c>
      <c r="E42" s="1922">
        <v>0</v>
      </c>
      <c r="F42" s="1922">
        <v>0</v>
      </c>
      <c r="G42" s="1922">
        <v>0</v>
      </c>
      <c r="H42" s="1922">
        <v>0</v>
      </c>
      <c r="I42" s="476"/>
      <c r="J42" s="476"/>
      <c r="K42" s="1922">
        <v>0</v>
      </c>
      <c r="L42" s="517"/>
    </row>
    <row r="43" spans="1:12" s="481" customFormat="1" ht="13.5" customHeight="1" x14ac:dyDescent="0.2">
      <c r="A43" s="1462" t="s">
        <v>373</v>
      </c>
      <c r="B43" s="479">
        <v>7990</v>
      </c>
      <c r="C43" s="1922">
        <v>0</v>
      </c>
      <c r="D43" s="1922">
        <v>0</v>
      </c>
      <c r="E43" s="1922">
        <v>0</v>
      </c>
      <c r="F43" s="1922">
        <v>0</v>
      </c>
      <c r="G43" s="1922">
        <v>0</v>
      </c>
      <c r="H43" s="1922">
        <v>0</v>
      </c>
      <c r="I43" s="1922">
        <v>0</v>
      </c>
      <c r="J43" s="1922">
        <v>0</v>
      </c>
      <c r="K43" s="1922">
        <v>0</v>
      </c>
      <c r="L43" s="517"/>
    </row>
    <row r="44" spans="1:12" s="481" customFormat="1" ht="13.5" customHeight="1" thickBot="1" x14ac:dyDescent="0.25">
      <c r="A44" s="2212" t="s">
        <v>374</v>
      </c>
      <c r="B44" s="2213"/>
      <c r="C44" s="1676">
        <f>SUM(C24:C43)</f>
        <v>0</v>
      </c>
      <c r="D44" s="1676">
        <f t="shared" ref="D44:K44" si="6">SUM(D24:D43)</f>
        <v>0</v>
      </c>
      <c r="E44" s="1676">
        <f t="shared" si="6"/>
        <v>0</v>
      </c>
      <c r="F44" s="1676">
        <f t="shared" si="6"/>
        <v>0</v>
      </c>
      <c r="G44" s="1676">
        <f t="shared" si="6"/>
        <v>0</v>
      </c>
      <c r="H44" s="1676">
        <f t="shared" si="6"/>
        <v>360000</v>
      </c>
      <c r="I44" s="1676">
        <f t="shared" si="6"/>
        <v>0</v>
      </c>
      <c r="J44" s="1676">
        <f t="shared" si="6"/>
        <v>0</v>
      </c>
      <c r="K44" s="1676">
        <f t="shared" si="6"/>
        <v>0</v>
      </c>
      <c r="L44" s="517"/>
    </row>
    <row r="45" spans="1:12" ht="15.75" customHeight="1" thickTop="1" x14ac:dyDescent="0.2">
      <c r="A45" s="2206" t="s">
        <v>108</v>
      </c>
      <c r="B45" s="2207"/>
      <c r="C45" s="521"/>
      <c r="D45" s="521"/>
      <c r="E45" s="521"/>
      <c r="F45" s="521"/>
      <c r="G45" s="521"/>
      <c r="H45" s="521"/>
      <c r="I45" s="521"/>
      <c r="J45" s="521"/>
      <c r="K45" s="521"/>
      <c r="L45" s="347"/>
    </row>
    <row r="46" spans="1:12" s="481" customFormat="1" ht="15.75" customHeight="1" x14ac:dyDescent="0.2">
      <c r="A46" s="2214" t="s">
        <v>109</v>
      </c>
      <c r="B46" s="2215"/>
      <c r="C46" s="473"/>
      <c r="D46" s="473"/>
      <c r="E46" s="473"/>
      <c r="F46" s="473"/>
      <c r="G46" s="473"/>
      <c r="H46" s="473"/>
      <c r="I46" s="476"/>
      <c r="J46" s="473"/>
      <c r="K46" s="473"/>
      <c r="L46" s="522"/>
    </row>
    <row r="47" spans="1:12" s="481" customFormat="1" ht="15" x14ac:dyDescent="0.2">
      <c r="A47" s="1463" t="s">
        <v>1659</v>
      </c>
      <c r="B47" s="479">
        <v>8110</v>
      </c>
      <c r="C47" s="473"/>
      <c r="D47" s="473"/>
      <c r="E47" s="473"/>
      <c r="F47" s="473"/>
      <c r="G47" s="473"/>
      <c r="H47" s="473"/>
      <c r="I47" s="1716">
        <f>SUM(C24,C25:H25,J25:K25)</f>
        <v>0</v>
      </c>
      <c r="J47" s="473"/>
      <c r="K47" s="473"/>
      <c r="L47" s="522"/>
    </row>
    <row r="48" spans="1:12" s="481" customFormat="1" ht="15" x14ac:dyDescent="0.2">
      <c r="A48" s="1463" t="s">
        <v>1660</v>
      </c>
      <c r="B48" s="479">
        <v>8120</v>
      </c>
      <c r="C48" s="476"/>
      <c r="D48" s="476"/>
      <c r="E48" s="473"/>
      <c r="F48" s="476"/>
      <c r="G48" s="473"/>
      <c r="H48" s="473"/>
      <c r="I48" s="1716">
        <f>SUM(C26:H26,J26,K26)</f>
        <v>0</v>
      </c>
      <c r="J48" s="473"/>
      <c r="K48" s="473"/>
      <c r="L48" s="522"/>
    </row>
    <row r="49" spans="1:12" s="481" customFormat="1" x14ac:dyDescent="0.2">
      <c r="A49" s="1463" t="s">
        <v>185</v>
      </c>
      <c r="B49" s="479">
        <v>8130</v>
      </c>
      <c r="C49" s="1922">
        <v>0</v>
      </c>
      <c r="D49" s="1922">
        <v>0</v>
      </c>
      <c r="E49" s="476"/>
      <c r="F49" s="1922">
        <v>0</v>
      </c>
      <c r="G49" s="476"/>
      <c r="H49" s="476"/>
      <c r="I49" s="473"/>
      <c r="J49" s="476"/>
      <c r="K49" s="473"/>
      <c r="L49" s="517"/>
    </row>
    <row r="50" spans="1:12" s="481" customFormat="1" x14ac:dyDescent="0.2">
      <c r="A50" s="1463" t="s">
        <v>1398</v>
      </c>
      <c r="B50" s="479">
        <v>8140</v>
      </c>
      <c r="C50" s="1922">
        <v>0</v>
      </c>
      <c r="D50" s="1922">
        <v>0</v>
      </c>
      <c r="E50" s="1922">
        <v>0</v>
      </c>
      <c r="F50" s="1922">
        <v>0</v>
      </c>
      <c r="G50" s="1922">
        <v>0</v>
      </c>
      <c r="H50" s="1922">
        <v>0</v>
      </c>
      <c r="I50" s="473"/>
      <c r="J50" s="1922">
        <v>0</v>
      </c>
      <c r="K50" s="473"/>
      <c r="L50" s="517"/>
    </row>
    <row r="51" spans="1:12" s="481" customFormat="1" x14ac:dyDescent="0.2">
      <c r="A51" s="1463" t="s">
        <v>294</v>
      </c>
      <c r="B51" s="479">
        <v>8150</v>
      </c>
      <c r="C51" s="472"/>
      <c r="D51" s="472"/>
      <c r="E51" s="472"/>
      <c r="F51" s="472"/>
      <c r="G51" s="472"/>
      <c r="H51" s="1716">
        <f>SUM(D29)</f>
        <v>0</v>
      </c>
      <c r="I51" s="473"/>
      <c r="J51" s="472"/>
      <c r="K51" s="476"/>
      <c r="L51" s="517"/>
    </row>
    <row r="52" spans="1:12" s="481" customFormat="1" ht="26.25" x14ac:dyDescent="0.2">
      <c r="A52" s="1463" t="s">
        <v>1797</v>
      </c>
      <c r="B52" s="479">
        <v>8160</v>
      </c>
      <c r="C52" s="473"/>
      <c r="D52" s="473"/>
      <c r="E52" s="473"/>
      <c r="F52" s="473"/>
      <c r="G52" s="473"/>
      <c r="H52" s="473"/>
      <c r="I52" s="473"/>
      <c r="J52" s="473"/>
      <c r="K52" s="1716">
        <f>D30</f>
        <v>0</v>
      </c>
      <c r="L52" s="517"/>
    </row>
    <row r="53" spans="1:12" s="481" customFormat="1" ht="26.25" x14ac:dyDescent="0.2">
      <c r="A53" s="1463" t="s">
        <v>1796</v>
      </c>
      <c r="B53" s="479">
        <v>8170</v>
      </c>
      <c r="C53" s="476"/>
      <c r="D53" s="476"/>
      <c r="E53" s="473"/>
      <c r="F53" s="473"/>
      <c r="G53" s="473"/>
      <c r="H53" s="476"/>
      <c r="I53" s="473"/>
      <c r="J53" s="473"/>
      <c r="K53" s="1716">
        <f>E31</f>
        <v>0</v>
      </c>
      <c r="L53" s="517"/>
    </row>
    <row r="54" spans="1:12" s="481" customFormat="1" ht="13.5" thickBot="1" x14ac:dyDescent="0.25">
      <c r="A54" s="1463" t="s">
        <v>692</v>
      </c>
      <c r="B54" s="479">
        <v>8410</v>
      </c>
      <c r="C54" s="1924">
        <v>0</v>
      </c>
      <c r="D54" s="1924">
        <v>0</v>
      </c>
      <c r="E54" s="473"/>
      <c r="F54" s="473"/>
      <c r="G54" s="473"/>
      <c r="H54" s="1928">
        <v>0</v>
      </c>
      <c r="I54" s="473"/>
      <c r="J54" s="473"/>
      <c r="K54" s="472"/>
      <c r="L54" s="517"/>
    </row>
    <row r="55" spans="1:12" s="481" customFormat="1" ht="14.25" thickTop="1" thickBot="1" x14ac:dyDescent="0.25">
      <c r="A55" s="1464" t="s">
        <v>693</v>
      </c>
      <c r="B55" s="479">
        <v>8420</v>
      </c>
      <c r="C55" s="1925">
        <v>0</v>
      </c>
      <c r="D55" s="1925">
        <v>0</v>
      </c>
      <c r="E55" s="473"/>
      <c r="F55" s="473"/>
      <c r="G55" s="473"/>
      <c r="H55" s="1928">
        <v>0</v>
      </c>
      <c r="I55" s="473"/>
      <c r="J55" s="473"/>
      <c r="K55" s="473"/>
      <c r="L55" s="517"/>
    </row>
    <row r="56" spans="1:12" s="481" customFormat="1" ht="14.25" thickTop="1" thickBot="1" x14ac:dyDescent="0.25">
      <c r="A56" s="1463" t="s">
        <v>581</v>
      </c>
      <c r="B56" s="479">
        <v>8430</v>
      </c>
      <c r="C56" s="1925">
        <v>0</v>
      </c>
      <c r="D56" s="1925">
        <v>0</v>
      </c>
      <c r="E56" s="473"/>
      <c r="F56" s="473"/>
      <c r="G56" s="473"/>
      <c r="H56" s="1928">
        <v>0</v>
      </c>
      <c r="I56" s="473"/>
      <c r="J56" s="473"/>
      <c r="K56" s="473"/>
      <c r="L56" s="517"/>
    </row>
    <row r="57" spans="1:12" s="481" customFormat="1" ht="14.25" thickTop="1" thickBot="1" x14ac:dyDescent="0.25">
      <c r="A57" s="1464" t="s">
        <v>578</v>
      </c>
      <c r="B57" s="479">
        <v>8440</v>
      </c>
      <c r="C57" s="1925">
        <v>0</v>
      </c>
      <c r="D57" s="1925">
        <v>0</v>
      </c>
      <c r="E57" s="473"/>
      <c r="F57" s="473"/>
      <c r="G57" s="473"/>
      <c r="H57" s="1928">
        <v>0</v>
      </c>
      <c r="I57" s="473"/>
      <c r="J57" s="473"/>
      <c r="K57" s="473"/>
      <c r="L57" s="517"/>
    </row>
    <row r="58" spans="1:12" s="481" customFormat="1" ht="14.25" thickTop="1" thickBot="1" x14ac:dyDescent="0.25">
      <c r="A58" s="1463" t="s">
        <v>579</v>
      </c>
      <c r="B58" s="479">
        <v>8510</v>
      </c>
      <c r="C58" s="1925">
        <v>0</v>
      </c>
      <c r="D58" s="1925">
        <v>0</v>
      </c>
      <c r="E58" s="473"/>
      <c r="F58" s="473"/>
      <c r="G58" s="473"/>
      <c r="H58" s="1928">
        <v>0</v>
      </c>
      <c r="I58" s="473"/>
      <c r="J58" s="473"/>
      <c r="K58" s="473"/>
      <c r="L58" s="517"/>
    </row>
    <row r="59" spans="1:12" s="481" customFormat="1" ht="14.25" thickTop="1" thickBot="1" x14ac:dyDescent="0.25">
      <c r="A59" s="1465" t="s">
        <v>694</v>
      </c>
      <c r="B59" s="479">
        <v>8520</v>
      </c>
      <c r="C59" s="1925">
        <v>0</v>
      </c>
      <c r="D59" s="1925">
        <v>0</v>
      </c>
      <c r="E59" s="473"/>
      <c r="F59" s="473"/>
      <c r="G59" s="473"/>
      <c r="H59" s="1928">
        <v>0</v>
      </c>
      <c r="I59" s="473"/>
      <c r="J59" s="473"/>
      <c r="K59" s="473"/>
      <c r="L59" s="517"/>
    </row>
    <row r="60" spans="1:12" s="481" customFormat="1" ht="14.25" thickTop="1" thickBot="1" x14ac:dyDescent="0.25">
      <c r="A60" s="1463" t="s">
        <v>580</v>
      </c>
      <c r="B60" s="479">
        <v>8530</v>
      </c>
      <c r="C60" s="1925">
        <v>0</v>
      </c>
      <c r="D60" s="1925">
        <v>0</v>
      </c>
      <c r="E60" s="473"/>
      <c r="F60" s="473"/>
      <c r="G60" s="473"/>
      <c r="H60" s="1928">
        <v>0</v>
      </c>
      <c r="I60" s="473"/>
      <c r="J60" s="473"/>
      <c r="K60" s="473"/>
      <c r="L60" s="517"/>
    </row>
    <row r="61" spans="1:12" s="481" customFormat="1" ht="14.25" thickTop="1" thickBot="1" x14ac:dyDescent="0.25">
      <c r="A61" s="1464" t="s">
        <v>743</v>
      </c>
      <c r="B61" s="479">
        <v>8540</v>
      </c>
      <c r="C61" s="1925">
        <v>0</v>
      </c>
      <c r="D61" s="1925">
        <v>0</v>
      </c>
      <c r="E61" s="473"/>
      <c r="F61" s="473"/>
      <c r="G61" s="473"/>
      <c r="H61" s="1928">
        <v>0</v>
      </c>
      <c r="I61" s="473"/>
      <c r="J61" s="473"/>
      <c r="K61" s="473"/>
      <c r="L61" s="517"/>
    </row>
    <row r="62" spans="1:12" s="481" customFormat="1" ht="13.5" customHeight="1" thickTop="1" thickBot="1" x14ac:dyDescent="0.25">
      <c r="A62" s="1463" t="s">
        <v>744</v>
      </c>
      <c r="B62" s="479">
        <v>8610</v>
      </c>
      <c r="C62" s="1925">
        <v>0</v>
      </c>
      <c r="D62" s="1925">
        <v>0</v>
      </c>
      <c r="E62" s="473"/>
      <c r="F62" s="473"/>
      <c r="G62" s="473"/>
      <c r="H62" s="473"/>
      <c r="I62" s="473"/>
      <c r="J62" s="473"/>
      <c r="K62" s="473"/>
      <c r="L62" s="517"/>
    </row>
    <row r="63" spans="1:12" s="481" customFormat="1" ht="14.25" thickTop="1" thickBot="1" x14ac:dyDescent="0.25">
      <c r="A63" s="1464" t="s">
        <v>695</v>
      </c>
      <c r="B63" s="479">
        <v>8620</v>
      </c>
      <c r="C63" s="1925">
        <v>0</v>
      </c>
      <c r="D63" s="1925">
        <v>0</v>
      </c>
      <c r="E63" s="473"/>
      <c r="F63" s="473"/>
      <c r="G63" s="473"/>
      <c r="H63" s="473"/>
      <c r="I63" s="473"/>
      <c r="J63" s="473"/>
      <c r="K63" s="473"/>
      <c r="L63" s="517"/>
    </row>
    <row r="64" spans="1:12" s="481" customFormat="1" ht="13.5" customHeight="1" thickTop="1" thickBot="1" x14ac:dyDescent="0.25">
      <c r="A64" s="1463" t="s">
        <v>745</v>
      </c>
      <c r="B64" s="479">
        <v>8630</v>
      </c>
      <c r="C64" s="1925">
        <v>0</v>
      </c>
      <c r="D64" s="1925">
        <v>0</v>
      </c>
      <c r="E64" s="473"/>
      <c r="F64" s="473"/>
      <c r="G64" s="473"/>
      <c r="H64" s="473"/>
      <c r="I64" s="473"/>
      <c r="J64" s="473"/>
      <c r="K64" s="473"/>
      <c r="L64" s="517"/>
    </row>
    <row r="65" spans="1:12" s="481" customFormat="1" ht="14.25" thickTop="1" thickBot="1" x14ac:dyDescent="0.25">
      <c r="A65" s="1464" t="s">
        <v>746</v>
      </c>
      <c r="B65" s="479">
        <v>8640</v>
      </c>
      <c r="C65" s="1925">
        <v>0</v>
      </c>
      <c r="D65" s="1925">
        <v>0</v>
      </c>
      <c r="E65" s="473"/>
      <c r="F65" s="473"/>
      <c r="G65" s="473"/>
      <c r="H65" s="473"/>
      <c r="I65" s="473"/>
      <c r="J65" s="473"/>
      <c r="K65" s="473"/>
      <c r="L65" s="517"/>
    </row>
    <row r="66" spans="1:12" s="481" customFormat="1" ht="14.25" thickTop="1" thickBot="1" x14ac:dyDescent="0.25">
      <c r="A66" s="1463" t="s">
        <v>747</v>
      </c>
      <c r="B66" s="479">
        <v>8710</v>
      </c>
      <c r="C66" s="1925">
        <v>0</v>
      </c>
      <c r="D66" s="1925">
        <v>0</v>
      </c>
      <c r="E66" s="473"/>
      <c r="F66" s="473"/>
      <c r="G66" s="473"/>
      <c r="H66" s="473"/>
      <c r="I66" s="473"/>
      <c r="J66" s="473"/>
      <c r="K66" s="473"/>
      <c r="L66" s="517"/>
    </row>
    <row r="67" spans="1:12" s="481" customFormat="1" ht="14.25" thickTop="1" thickBot="1" x14ac:dyDescent="0.25">
      <c r="A67" s="1464" t="s">
        <v>696</v>
      </c>
      <c r="B67" s="479">
        <v>8720</v>
      </c>
      <c r="C67" s="1925">
        <v>0</v>
      </c>
      <c r="D67" s="1925">
        <v>0</v>
      </c>
      <c r="E67" s="473"/>
      <c r="F67" s="473"/>
      <c r="G67" s="473"/>
      <c r="H67" s="473"/>
      <c r="I67" s="473"/>
      <c r="J67" s="473"/>
      <c r="K67" s="473"/>
      <c r="L67" s="517"/>
    </row>
    <row r="68" spans="1:12" s="481" customFormat="1" ht="14.25" thickTop="1" thickBot="1" x14ac:dyDescent="0.25">
      <c r="A68" s="1465" t="s">
        <v>748</v>
      </c>
      <c r="B68" s="479">
        <v>8730</v>
      </c>
      <c r="C68" s="1925">
        <v>0</v>
      </c>
      <c r="D68" s="1925">
        <v>0</v>
      </c>
      <c r="E68" s="473"/>
      <c r="F68" s="473"/>
      <c r="G68" s="473"/>
      <c r="H68" s="473"/>
      <c r="I68" s="473"/>
      <c r="J68" s="473"/>
      <c r="K68" s="473"/>
      <c r="L68" s="517"/>
    </row>
    <row r="69" spans="1:12" s="481" customFormat="1" ht="14.25" thickTop="1" thickBot="1" x14ac:dyDescent="0.25">
      <c r="A69" s="1464" t="s">
        <v>749</v>
      </c>
      <c r="B69" s="479">
        <v>8740</v>
      </c>
      <c r="C69" s="1925">
        <v>0</v>
      </c>
      <c r="D69" s="1925">
        <v>0</v>
      </c>
      <c r="E69" s="473"/>
      <c r="F69" s="473"/>
      <c r="G69" s="473"/>
      <c r="H69" s="473"/>
      <c r="I69" s="473"/>
      <c r="J69" s="473"/>
      <c r="K69" s="473"/>
      <c r="L69" s="517"/>
    </row>
    <row r="70" spans="1:12" s="481" customFormat="1" ht="14.25" thickTop="1" thickBot="1" x14ac:dyDescent="0.25">
      <c r="A70" s="1463" t="s">
        <v>750</v>
      </c>
      <c r="B70" s="479">
        <v>8810</v>
      </c>
      <c r="C70" s="1925">
        <v>0</v>
      </c>
      <c r="D70" s="1925">
        <v>0</v>
      </c>
      <c r="E70" s="473"/>
      <c r="F70" s="473"/>
      <c r="G70" s="473"/>
      <c r="H70" s="473"/>
      <c r="I70" s="473"/>
      <c r="J70" s="473"/>
      <c r="K70" s="473"/>
      <c r="L70" s="517"/>
    </row>
    <row r="71" spans="1:12" s="481" customFormat="1" ht="14.25" thickTop="1" thickBot="1" x14ac:dyDescent="0.25">
      <c r="A71" s="1463" t="s">
        <v>754</v>
      </c>
      <c r="B71" s="479">
        <v>8820</v>
      </c>
      <c r="C71" s="1925">
        <v>0</v>
      </c>
      <c r="D71" s="1925">
        <v>0</v>
      </c>
      <c r="E71" s="473"/>
      <c r="F71" s="473"/>
      <c r="G71" s="473"/>
      <c r="H71" s="473"/>
      <c r="I71" s="473"/>
      <c r="J71" s="473"/>
      <c r="K71" s="473"/>
      <c r="L71" s="517"/>
    </row>
    <row r="72" spans="1:12" s="481" customFormat="1" ht="14.25" thickTop="1" thickBot="1" x14ac:dyDescent="0.25">
      <c r="A72" s="1463" t="s">
        <v>751</v>
      </c>
      <c r="B72" s="479">
        <v>8830</v>
      </c>
      <c r="C72" s="1925">
        <v>0</v>
      </c>
      <c r="D72" s="1925">
        <v>0</v>
      </c>
      <c r="E72" s="473"/>
      <c r="F72" s="473"/>
      <c r="G72" s="473"/>
      <c r="H72" s="473"/>
      <c r="I72" s="473"/>
      <c r="J72" s="473"/>
      <c r="K72" s="473"/>
      <c r="L72" s="517"/>
    </row>
    <row r="73" spans="1:12" s="481" customFormat="1" ht="14.25" thickTop="1" thickBot="1" x14ac:dyDescent="0.25">
      <c r="A73" s="1463" t="s">
        <v>752</v>
      </c>
      <c r="B73" s="479">
        <v>8840</v>
      </c>
      <c r="C73" s="1925">
        <v>0</v>
      </c>
      <c r="D73" s="1925">
        <v>360000</v>
      </c>
      <c r="E73" s="473"/>
      <c r="F73" s="473"/>
      <c r="G73" s="473"/>
      <c r="H73" s="473"/>
      <c r="I73" s="473"/>
      <c r="J73" s="473"/>
      <c r="K73" s="476"/>
      <c r="L73" s="517"/>
    </row>
    <row r="74" spans="1:12" s="481" customFormat="1" ht="14.25" thickTop="1" thickBot="1" x14ac:dyDescent="0.25">
      <c r="A74" s="1463" t="s">
        <v>375</v>
      </c>
      <c r="B74" s="479">
        <v>8910</v>
      </c>
      <c r="C74" s="1925">
        <v>0</v>
      </c>
      <c r="D74" s="1925">
        <v>0</v>
      </c>
      <c r="E74" s="476"/>
      <c r="F74" s="1928">
        <v>0</v>
      </c>
      <c r="G74" s="1928">
        <v>0</v>
      </c>
      <c r="H74" s="1928">
        <v>0</v>
      </c>
      <c r="I74" s="476"/>
      <c r="J74" s="476"/>
      <c r="K74" s="1928">
        <v>0</v>
      </c>
      <c r="L74" s="517"/>
    </row>
    <row r="75" spans="1:12" s="481" customFormat="1" ht="14.25" thickTop="1" thickBot="1" x14ac:dyDescent="0.25">
      <c r="A75" s="1466" t="s">
        <v>439</v>
      </c>
      <c r="B75" s="479">
        <v>8990</v>
      </c>
      <c r="C75" s="1925">
        <v>0</v>
      </c>
      <c r="D75" s="1925">
        <v>0</v>
      </c>
      <c r="E75" s="1928">
        <v>0</v>
      </c>
      <c r="F75" s="1929">
        <v>0</v>
      </c>
      <c r="G75" s="1929">
        <v>0</v>
      </c>
      <c r="H75" s="1929">
        <v>0</v>
      </c>
      <c r="I75" s="1928">
        <v>0</v>
      </c>
      <c r="J75" s="1928">
        <v>0</v>
      </c>
      <c r="K75" s="1929">
        <v>0</v>
      </c>
      <c r="L75" s="517"/>
    </row>
    <row r="76" spans="1:12" s="481" customFormat="1" ht="14.25" thickTop="1" thickBot="1" x14ac:dyDescent="0.25">
      <c r="A76" s="2188" t="s">
        <v>440</v>
      </c>
      <c r="B76" s="2189"/>
      <c r="C76" s="1676">
        <f t="shared" ref="C76:K76" si="7">SUM(C47:C75)</f>
        <v>0</v>
      </c>
      <c r="D76" s="1676">
        <f t="shared" si="7"/>
        <v>360000</v>
      </c>
      <c r="E76" s="1676">
        <f t="shared" si="7"/>
        <v>0</v>
      </c>
      <c r="F76" s="1676">
        <f t="shared" si="7"/>
        <v>0</v>
      </c>
      <c r="G76" s="1676">
        <f t="shared" si="7"/>
        <v>0</v>
      </c>
      <c r="H76" s="1676">
        <f t="shared" si="7"/>
        <v>0</v>
      </c>
      <c r="I76" s="1676">
        <f t="shared" si="7"/>
        <v>0</v>
      </c>
      <c r="J76" s="1676">
        <f t="shared" si="7"/>
        <v>0</v>
      </c>
      <c r="K76" s="1676">
        <f t="shared" si="7"/>
        <v>0</v>
      </c>
      <c r="L76" s="517"/>
    </row>
    <row r="77" spans="1:12" ht="14.25" thickTop="1" thickBot="1" x14ac:dyDescent="0.25">
      <c r="A77" s="2190" t="s">
        <v>1177</v>
      </c>
      <c r="B77" s="2191"/>
      <c r="C77" s="1676">
        <f t="shared" ref="C77:K77" si="8">C44-C76</f>
        <v>0</v>
      </c>
      <c r="D77" s="1676">
        <f t="shared" si="8"/>
        <v>-360000</v>
      </c>
      <c r="E77" s="1676">
        <f t="shared" si="8"/>
        <v>0</v>
      </c>
      <c r="F77" s="1676">
        <f t="shared" si="8"/>
        <v>0</v>
      </c>
      <c r="G77" s="1676">
        <f t="shared" si="8"/>
        <v>0</v>
      </c>
      <c r="H77" s="1676">
        <f t="shared" si="8"/>
        <v>360000</v>
      </c>
      <c r="I77" s="1676">
        <f t="shared" si="8"/>
        <v>0</v>
      </c>
      <c r="J77" s="1676">
        <f t="shared" si="8"/>
        <v>0</v>
      </c>
      <c r="K77" s="1676">
        <f t="shared" si="8"/>
        <v>0</v>
      </c>
      <c r="L77" s="347"/>
    </row>
    <row r="78" spans="1:12" ht="21.75" customHeight="1" thickTop="1" thickBot="1" x14ac:dyDescent="0.25">
      <c r="A78" s="2194" t="s">
        <v>597</v>
      </c>
      <c r="B78" s="2195"/>
      <c r="C78" s="1675">
        <f t="shared" ref="C78:K78" si="9">C20+C77</f>
        <v>741603</v>
      </c>
      <c r="D78" s="1675">
        <f t="shared" si="9"/>
        <v>41563</v>
      </c>
      <c r="E78" s="1675">
        <f t="shared" si="9"/>
        <v>0</v>
      </c>
      <c r="F78" s="1675">
        <f t="shared" si="9"/>
        <v>-91193</v>
      </c>
      <c r="G78" s="1675">
        <f t="shared" si="9"/>
        <v>32767</v>
      </c>
      <c r="H78" s="1675">
        <f t="shared" si="9"/>
        <v>24114</v>
      </c>
      <c r="I78" s="1675">
        <f t="shared" si="9"/>
        <v>16713</v>
      </c>
      <c r="J78" s="1675">
        <f t="shared" si="9"/>
        <v>1794</v>
      </c>
      <c r="K78" s="1675">
        <f t="shared" si="9"/>
        <v>0</v>
      </c>
      <c r="L78" s="524"/>
    </row>
    <row r="79" spans="1:12" ht="13.5" thickTop="1" x14ac:dyDescent="0.2">
      <c r="A79" s="1467" t="s">
        <v>1949</v>
      </c>
      <c r="B79" s="525"/>
      <c r="C79" s="474">
        <v>7351469</v>
      </c>
      <c r="D79" s="1930">
        <v>1344374</v>
      </c>
      <c r="E79" s="1930">
        <v>0</v>
      </c>
      <c r="F79" s="1930">
        <v>885811</v>
      </c>
      <c r="G79" s="1930">
        <v>154731</v>
      </c>
      <c r="H79" s="1930">
        <v>299059</v>
      </c>
      <c r="I79" s="1930">
        <v>6374</v>
      </c>
      <c r="J79" s="1930">
        <v>127688</v>
      </c>
      <c r="K79" s="1930">
        <v>0</v>
      </c>
      <c r="L79" s="347"/>
    </row>
    <row r="80" spans="1:12" x14ac:dyDescent="0.2">
      <c r="A80" s="2200" t="s">
        <v>1795</v>
      </c>
      <c r="B80" s="2201"/>
      <c r="C80" s="466"/>
      <c r="D80" s="466"/>
      <c r="E80" s="466"/>
      <c r="F80" s="466"/>
      <c r="G80" s="466"/>
      <c r="H80" s="466"/>
      <c r="I80" s="466"/>
      <c r="J80" s="466"/>
      <c r="K80" s="466"/>
      <c r="L80" s="347"/>
    </row>
    <row r="81" spans="1:12" ht="13.5" thickBot="1" x14ac:dyDescent="0.25">
      <c r="A81" s="2192" t="s">
        <v>1950</v>
      </c>
      <c r="B81" s="2193"/>
      <c r="C81" s="1661">
        <f>(SUM(C78:C80))</f>
        <v>8093072</v>
      </c>
      <c r="D81" s="1661">
        <f>SUM(D78:D80)</f>
        <v>1385937</v>
      </c>
      <c r="E81" s="1661">
        <f t="shared" ref="E81:K81" si="10">SUM(E78:E80)</f>
        <v>0</v>
      </c>
      <c r="F81" s="1661">
        <f t="shared" si="10"/>
        <v>794618</v>
      </c>
      <c r="G81" s="1661">
        <f t="shared" si="10"/>
        <v>187498</v>
      </c>
      <c r="H81" s="1661">
        <f t="shared" si="10"/>
        <v>323173</v>
      </c>
      <c r="I81" s="1661">
        <f t="shared" si="10"/>
        <v>23087</v>
      </c>
      <c r="J81" s="1661">
        <f t="shared" si="10"/>
        <v>129482</v>
      </c>
      <c r="K81" s="1661">
        <f t="shared" si="10"/>
        <v>0</v>
      </c>
      <c r="L81" s="347"/>
    </row>
    <row r="82" spans="1:12" ht="0.75" customHeight="1" thickTop="1" thickBot="1" x14ac:dyDescent="0.25">
      <c r="A82" s="526" t="s">
        <v>343</v>
      </c>
      <c r="B82" s="527"/>
      <c r="C82" s="528">
        <f>(C81-C79)</f>
        <v>741603</v>
      </c>
      <c r="D82" s="528">
        <f t="shared" ref="D82:K82" si="11">(D81-D79)</f>
        <v>41563</v>
      </c>
      <c r="E82" s="528">
        <f t="shared" si="11"/>
        <v>0</v>
      </c>
      <c r="F82" s="528">
        <f t="shared" si="11"/>
        <v>-91193</v>
      </c>
      <c r="G82" s="528">
        <f t="shared" si="11"/>
        <v>32767</v>
      </c>
      <c r="H82" s="528">
        <f t="shared" si="11"/>
        <v>24114</v>
      </c>
      <c r="I82" s="528">
        <f t="shared" si="11"/>
        <v>16713</v>
      </c>
      <c r="J82" s="528">
        <f t="shared" si="11"/>
        <v>1794</v>
      </c>
      <c r="K82" s="528">
        <f t="shared" si="11"/>
        <v>0</v>
      </c>
    </row>
    <row r="83" spans="1:12" ht="14.25" hidden="1" thickTop="1" thickBot="1" x14ac:dyDescent="0.25">
      <c r="A83" s="529" t="s">
        <v>344</v>
      </c>
      <c r="B83" s="464"/>
      <c r="C83" s="530">
        <f>C82/C81</f>
        <v>9.1634301535930981E-2</v>
      </c>
      <c r="D83" s="530">
        <f t="shared" ref="D83:K83" si="12">D82/D81</f>
        <v>2.9989097628535785E-2</v>
      </c>
      <c r="E83" s="530" t="e">
        <f t="shared" si="12"/>
        <v>#DIV/0!</v>
      </c>
      <c r="F83" s="530">
        <f t="shared" si="12"/>
        <v>-0.1147633202368937</v>
      </c>
      <c r="G83" s="530">
        <f t="shared" si="12"/>
        <v>0.17475919743143928</v>
      </c>
      <c r="H83" s="530">
        <f t="shared" si="12"/>
        <v>7.4616381937847531E-2</v>
      </c>
      <c r="I83" s="530">
        <f t="shared" si="12"/>
        <v>0.72391389093429204</v>
      </c>
      <c r="J83" s="530">
        <f t="shared" si="12"/>
        <v>1.3855207673653482E-2</v>
      </c>
      <c r="K83" s="530" t="e">
        <f t="shared" si="12"/>
        <v>#DIV/0!</v>
      </c>
    </row>
    <row r="84" spans="1:12" ht="13.5" thickTop="1" x14ac:dyDescent="0.2"/>
    <row r="86" spans="1:12" x14ac:dyDescent="0.2">
      <c r="C86" s="496"/>
      <c r="D86" s="496"/>
      <c r="E86" s="496"/>
      <c r="F86" s="496"/>
      <c r="G86" s="496"/>
      <c r="H86" s="496"/>
      <c r="I86" s="496"/>
      <c r="J86" s="496"/>
    </row>
    <row r="87" spans="1:12" x14ac:dyDescent="0.2">
      <c r="C87" s="496"/>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20"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L279"/>
  <sheetViews>
    <sheetView showGridLines="0" defaultGridColor="0" colorId="8" zoomScale="110" zoomScaleNormal="110" zoomScaleSheetLayoutView="75" workbookViewId="0">
      <pane ySplit="2" topLeftCell="A3" activePane="bottomLeft" state="frozen"/>
      <selection activeCell="AF22" sqref="AF22"/>
      <selection pane="bottomLeft" activeCell="C7" sqref="C7"/>
    </sheetView>
  </sheetViews>
  <sheetFormatPr defaultColWidth="9.140625" defaultRowHeight="12.75" x14ac:dyDescent="0.2"/>
  <cols>
    <col min="1" max="1" width="54.140625" style="571" customWidth="1"/>
    <col min="2" max="2" width="4.7109375" style="572" customWidth="1"/>
    <col min="3" max="11" width="13.7109375" style="384" customWidth="1"/>
    <col min="12" max="16384" width="9.140625" style="384"/>
  </cols>
  <sheetData>
    <row r="1" spans="1:12" x14ac:dyDescent="0.2">
      <c r="A1" s="2196" t="s">
        <v>1802</v>
      </c>
      <c r="B1" s="452"/>
      <c r="C1" s="453" t="s">
        <v>425</v>
      </c>
      <c r="D1" s="453" t="s">
        <v>426</v>
      </c>
      <c r="E1" s="453" t="s">
        <v>427</v>
      </c>
      <c r="F1" s="453" t="s">
        <v>428</v>
      </c>
      <c r="G1" s="453" t="s">
        <v>429</v>
      </c>
      <c r="H1" s="453" t="s">
        <v>430</v>
      </c>
      <c r="I1" s="453" t="s">
        <v>431</v>
      </c>
      <c r="J1" s="453" t="s">
        <v>432</v>
      </c>
      <c r="K1" s="453" t="s">
        <v>756</v>
      </c>
    </row>
    <row r="2" spans="1:12" ht="36" x14ac:dyDescent="0.2">
      <c r="A2" s="2197"/>
      <c r="B2" s="531" t="s">
        <v>378</v>
      </c>
      <c r="C2" s="532" t="s">
        <v>1155</v>
      </c>
      <c r="D2" s="532" t="s">
        <v>870</v>
      </c>
      <c r="E2" s="532" t="s">
        <v>438</v>
      </c>
      <c r="F2" s="532" t="s">
        <v>155</v>
      </c>
      <c r="G2" s="532" t="s">
        <v>989</v>
      </c>
      <c r="H2" s="532" t="s">
        <v>437</v>
      </c>
      <c r="I2" s="532" t="s">
        <v>407</v>
      </c>
      <c r="J2" s="532" t="s">
        <v>436</v>
      </c>
      <c r="K2" s="532" t="s">
        <v>157</v>
      </c>
    </row>
    <row r="3" spans="1:12" ht="16.7" customHeight="1" x14ac:dyDescent="0.2">
      <c r="A3" s="1552" t="s">
        <v>113</v>
      </c>
      <c r="B3" s="1553"/>
      <c r="C3" s="1554"/>
      <c r="D3" s="1554"/>
      <c r="E3" s="1554"/>
      <c r="F3" s="1555"/>
      <c r="G3" s="1556"/>
      <c r="H3" s="1555"/>
      <c r="I3" s="1555"/>
      <c r="J3" s="1555"/>
      <c r="K3" s="1557"/>
    </row>
    <row r="4" spans="1:12" ht="15.75" customHeight="1" x14ac:dyDescent="0.2">
      <c r="A4" s="1563" t="s">
        <v>379</v>
      </c>
      <c r="B4" s="1564">
        <v>1100</v>
      </c>
      <c r="C4" s="533"/>
      <c r="D4" s="533"/>
      <c r="E4" s="533"/>
      <c r="F4" s="534"/>
      <c r="G4" s="535"/>
      <c r="H4" s="536"/>
      <c r="I4" s="536"/>
      <c r="J4" s="536"/>
      <c r="K4" s="536"/>
    </row>
    <row r="5" spans="1:12" ht="15" x14ac:dyDescent="0.2">
      <c r="A5" s="486" t="s">
        <v>1661</v>
      </c>
      <c r="B5" s="537"/>
      <c r="C5" s="477">
        <v>3057207</v>
      </c>
      <c r="D5" s="477">
        <v>592102</v>
      </c>
      <c r="E5" s="1926">
        <v>0</v>
      </c>
      <c r="F5" s="1934">
        <v>7291</v>
      </c>
      <c r="G5" s="1932">
        <v>98228</v>
      </c>
      <c r="H5" s="1932">
        <v>0</v>
      </c>
      <c r="I5" s="1932">
        <v>16607</v>
      </c>
      <c r="J5" s="1936">
        <v>45699</v>
      </c>
      <c r="K5" s="1935">
        <v>0</v>
      </c>
    </row>
    <row r="6" spans="1:12" ht="15" x14ac:dyDescent="0.2">
      <c r="A6" s="463" t="s">
        <v>1662</v>
      </c>
      <c r="B6" s="469">
        <v>1130</v>
      </c>
      <c r="C6" s="1926">
        <v>0</v>
      </c>
      <c r="D6" s="1926">
        <v>0</v>
      </c>
      <c r="E6" s="472"/>
      <c r="F6" s="472"/>
      <c r="G6" s="467"/>
      <c r="H6" s="467"/>
      <c r="I6" s="467"/>
      <c r="J6" s="467"/>
      <c r="K6" s="467"/>
    </row>
    <row r="7" spans="1:12" x14ac:dyDescent="0.2">
      <c r="A7" s="463" t="s">
        <v>110</v>
      </c>
      <c r="B7" s="538">
        <v>1140</v>
      </c>
      <c r="C7" s="1926">
        <v>150679</v>
      </c>
      <c r="D7" s="1926">
        <v>0</v>
      </c>
      <c r="E7" s="467"/>
      <c r="F7" s="1933">
        <v>0</v>
      </c>
      <c r="G7" s="1933">
        <v>0</v>
      </c>
      <c r="H7" s="1933">
        <v>0</v>
      </c>
      <c r="I7" s="467"/>
      <c r="J7" s="467"/>
      <c r="K7" s="467"/>
    </row>
    <row r="8" spans="1:12" x14ac:dyDescent="0.2">
      <c r="A8" s="463" t="s">
        <v>413</v>
      </c>
      <c r="B8" s="469">
        <v>1150</v>
      </c>
      <c r="C8" s="472"/>
      <c r="D8" s="472"/>
      <c r="E8" s="473"/>
      <c r="F8" s="473"/>
      <c r="G8" s="477">
        <v>49378</v>
      </c>
      <c r="H8" s="467"/>
      <c r="I8" s="467"/>
      <c r="J8" s="467"/>
      <c r="K8" s="467"/>
    </row>
    <row r="9" spans="1:12" x14ac:dyDescent="0.2">
      <c r="A9" s="471" t="s">
        <v>111</v>
      </c>
      <c r="B9" s="469">
        <v>1160</v>
      </c>
      <c r="C9" s="467"/>
      <c r="D9" s="1927">
        <v>0</v>
      </c>
      <c r="E9" s="1933">
        <v>0</v>
      </c>
      <c r="F9" s="468"/>
      <c r="G9" s="472"/>
      <c r="H9" s="1933">
        <v>0</v>
      </c>
      <c r="I9" s="467"/>
      <c r="J9" s="467"/>
      <c r="K9" s="467"/>
    </row>
    <row r="10" spans="1:12" x14ac:dyDescent="0.2">
      <c r="A10" s="471" t="s">
        <v>112</v>
      </c>
      <c r="B10" s="469">
        <v>1170</v>
      </c>
      <c r="C10" s="1927">
        <v>0</v>
      </c>
      <c r="D10" s="519"/>
      <c r="E10" s="519"/>
      <c r="F10" s="468"/>
      <c r="G10" s="467"/>
      <c r="H10" s="467"/>
      <c r="I10" s="467"/>
      <c r="J10" s="467"/>
      <c r="K10" s="467"/>
    </row>
    <row r="11" spans="1:12" x14ac:dyDescent="0.2">
      <c r="A11" s="471" t="s">
        <v>414</v>
      </c>
      <c r="B11" s="539">
        <v>1190</v>
      </c>
      <c r="C11" s="1931">
        <v>0</v>
      </c>
      <c r="D11" s="1926">
        <v>0</v>
      </c>
      <c r="E11" s="1932">
        <v>0</v>
      </c>
      <c r="F11" s="1932">
        <v>0</v>
      </c>
      <c r="G11" s="1932">
        <v>0</v>
      </c>
      <c r="H11" s="1932">
        <v>0</v>
      </c>
      <c r="I11" s="1932">
        <v>0</v>
      </c>
      <c r="J11" s="1936">
        <v>0</v>
      </c>
      <c r="K11" s="1935">
        <v>0</v>
      </c>
      <c r="L11" s="540"/>
    </row>
    <row r="12" spans="1:12" ht="12.75" customHeight="1" thickBot="1" x14ac:dyDescent="0.25">
      <c r="A12" s="1678" t="s">
        <v>29</v>
      </c>
      <c r="B12" s="1679"/>
      <c r="C12" s="1680">
        <f t="shared" ref="C12:K12" si="0">SUM(C5:C11)</f>
        <v>3207886</v>
      </c>
      <c r="D12" s="1680">
        <f t="shared" si="0"/>
        <v>592102</v>
      </c>
      <c r="E12" s="1680">
        <f t="shared" si="0"/>
        <v>0</v>
      </c>
      <c r="F12" s="1680">
        <f t="shared" si="0"/>
        <v>7291</v>
      </c>
      <c r="G12" s="1680">
        <f t="shared" si="0"/>
        <v>147606</v>
      </c>
      <c r="H12" s="1680">
        <f t="shared" si="0"/>
        <v>0</v>
      </c>
      <c r="I12" s="1680">
        <f t="shared" si="0"/>
        <v>16607</v>
      </c>
      <c r="J12" s="1680">
        <f t="shared" si="0"/>
        <v>45699</v>
      </c>
      <c r="K12" s="1661">
        <f t="shared" si="0"/>
        <v>0</v>
      </c>
    </row>
    <row r="13" spans="1:12" ht="15.75" customHeight="1" thickTop="1" x14ac:dyDescent="0.2">
      <c r="A13" s="1565" t="s">
        <v>451</v>
      </c>
      <c r="B13" s="1566">
        <v>1200</v>
      </c>
      <c r="C13" s="541"/>
      <c r="D13" s="541"/>
      <c r="E13" s="541"/>
      <c r="F13" s="541"/>
      <c r="G13" s="541"/>
      <c r="H13" s="541"/>
      <c r="I13" s="541"/>
      <c r="J13" s="541"/>
      <c r="K13" s="467"/>
    </row>
    <row r="14" spans="1:12" x14ac:dyDescent="0.2">
      <c r="A14" s="463" t="s">
        <v>3</v>
      </c>
      <c r="B14" s="469">
        <v>1210</v>
      </c>
      <c r="C14" s="1940">
        <v>0</v>
      </c>
      <c r="D14" s="1935">
        <v>0</v>
      </c>
      <c r="E14" s="1935">
        <v>0</v>
      </c>
      <c r="F14" s="1935">
        <v>0</v>
      </c>
      <c r="G14" s="1935">
        <v>0</v>
      </c>
      <c r="H14" s="1935">
        <v>0</v>
      </c>
      <c r="I14" s="1935">
        <v>0</v>
      </c>
      <c r="J14" s="1936">
        <v>0</v>
      </c>
      <c r="K14" s="1935">
        <v>0</v>
      </c>
    </row>
    <row r="15" spans="1:12" ht="12.75" customHeight="1" x14ac:dyDescent="0.2">
      <c r="A15" s="463" t="s">
        <v>95</v>
      </c>
      <c r="B15" s="469">
        <v>1220</v>
      </c>
      <c r="C15" s="1940">
        <v>0</v>
      </c>
      <c r="D15" s="1935">
        <v>0</v>
      </c>
      <c r="E15" s="1935">
        <v>0</v>
      </c>
      <c r="F15" s="1935">
        <v>0</v>
      </c>
      <c r="G15" s="1935">
        <v>0</v>
      </c>
      <c r="H15" s="1935">
        <v>0</v>
      </c>
      <c r="I15" s="1935">
        <v>0</v>
      </c>
      <c r="J15" s="1936">
        <v>0</v>
      </c>
      <c r="K15" s="1935">
        <v>0</v>
      </c>
    </row>
    <row r="16" spans="1:12" ht="15" customHeight="1" x14ac:dyDescent="0.2">
      <c r="A16" s="463" t="s">
        <v>1663</v>
      </c>
      <c r="B16" s="538">
        <v>1230</v>
      </c>
      <c r="C16" s="1940">
        <v>0</v>
      </c>
      <c r="D16" s="1935">
        <v>0</v>
      </c>
      <c r="E16" s="1935">
        <v>0</v>
      </c>
      <c r="F16" s="1935">
        <v>24166</v>
      </c>
      <c r="G16" s="1935">
        <v>4350</v>
      </c>
      <c r="H16" s="1935">
        <v>0</v>
      </c>
      <c r="I16" s="1935">
        <v>0</v>
      </c>
      <c r="J16" s="1936">
        <v>0</v>
      </c>
      <c r="K16" s="1935">
        <v>0</v>
      </c>
    </row>
    <row r="17" spans="1:11" ht="12.75" customHeight="1" x14ac:dyDescent="0.2">
      <c r="A17" s="463" t="s">
        <v>807</v>
      </c>
      <c r="B17" s="469">
        <v>1290</v>
      </c>
      <c r="C17" s="1940">
        <v>0</v>
      </c>
      <c r="D17" s="1935">
        <v>0</v>
      </c>
      <c r="E17" s="1935">
        <v>0</v>
      </c>
      <c r="F17" s="1935">
        <v>0</v>
      </c>
      <c r="G17" s="1935">
        <v>0</v>
      </c>
      <c r="H17" s="1935">
        <v>0</v>
      </c>
      <c r="I17" s="1935">
        <v>0</v>
      </c>
      <c r="J17" s="1936">
        <v>0</v>
      </c>
      <c r="K17" s="1935">
        <v>0</v>
      </c>
    </row>
    <row r="18" spans="1:11" ht="12.75" customHeight="1" thickBot="1" x14ac:dyDescent="0.25">
      <c r="A18" s="1681" t="s">
        <v>537</v>
      </c>
      <c r="B18" s="1682"/>
      <c r="C18" s="1683">
        <f>SUM(C14:C17)</f>
        <v>0</v>
      </c>
      <c r="D18" s="1683">
        <f t="shared" ref="D18:K18" si="1">SUM(D14:D17)</f>
        <v>0</v>
      </c>
      <c r="E18" s="1683">
        <f t="shared" si="1"/>
        <v>0</v>
      </c>
      <c r="F18" s="1683">
        <f t="shared" si="1"/>
        <v>24166</v>
      </c>
      <c r="G18" s="1683">
        <f t="shared" si="1"/>
        <v>4350</v>
      </c>
      <c r="H18" s="1683">
        <f t="shared" si="1"/>
        <v>0</v>
      </c>
      <c r="I18" s="1683">
        <f t="shared" si="1"/>
        <v>0</v>
      </c>
      <c r="J18" s="1683">
        <f t="shared" si="1"/>
        <v>0</v>
      </c>
      <c r="K18" s="1684">
        <f t="shared" si="1"/>
        <v>0</v>
      </c>
    </row>
    <row r="19" spans="1:11" ht="15.75" customHeight="1" thickTop="1" x14ac:dyDescent="0.2">
      <c r="A19" s="1565" t="s">
        <v>452</v>
      </c>
      <c r="B19" s="1566">
        <v>1300</v>
      </c>
      <c r="C19" s="542"/>
      <c r="D19" s="542"/>
      <c r="E19" s="542"/>
      <c r="F19" s="542"/>
      <c r="G19" s="541"/>
      <c r="H19" s="542"/>
      <c r="I19" s="542"/>
      <c r="J19" s="542"/>
      <c r="K19" s="543"/>
    </row>
    <row r="20" spans="1:11" x14ac:dyDescent="0.2">
      <c r="A20" s="463" t="s">
        <v>1073</v>
      </c>
      <c r="B20" s="469">
        <v>1311</v>
      </c>
      <c r="C20" s="1935">
        <v>0</v>
      </c>
      <c r="D20" s="467"/>
      <c r="E20" s="467"/>
      <c r="F20" s="467"/>
      <c r="G20" s="467"/>
      <c r="H20" s="467"/>
      <c r="I20" s="467"/>
      <c r="J20" s="467"/>
      <c r="K20" s="467"/>
    </row>
    <row r="21" spans="1:11" ht="12.75" customHeight="1" x14ac:dyDescent="0.2">
      <c r="A21" s="463" t="s">
        <v>832</v>
      </c>
      <c r="B21" s="469">
        <v>1312</v>
      </c>
      <c r="C21" s="1940">
        <v>0</v>
      </c>
      <c r="D21" s="467"/>
      <c r="E21" s="467"/>
      <c r="F21" s="467"/>
      <c r="G21" s="467"/>
      <c r="H21" s="467"/>
      <c r="I21" s="467"/>
      <c r="J21" s="467"/>
      <c r="K21" s="467"/>
    </row>
    <row r="22" spans="1:11" ht="12.75" customHeight="1" x14ac:dyDescent="0.2">
      <c r="A22" s="463" t="s">
        <v>1074</v>
      </c>
      <c r="B22" s="469">
        <v>1313</v>
      </c>
      <c r="C22" s="1940">
        <v>0</v>
      </c>
      <c r="D22" s="467"/>
      <c r="E22" s="467"/>
      <c r="F22" s="467"/>
      <c r="G22" s="467"/>
      <c r="H22" s="467"/>
      <c r="I22" s="467"/>
      <c r="J22" s="467"/>
      <c r="K22" s="467"/>
    </row>
    <row r="23" spans="1:11" ht="12.75" customHeight="1" x14ac:dyDescent="0.2">
      <c r="A23" s="463" t="s">
        <v>1075</v>
      </c>
      <c r="B23" s="469">
        <v>1314</v>
      </c>
      <c r="C23" s="1939">
        <v>0</v>
      </c>
      <c r="D23" s="467"/>
      <c r="E23" s="467"/>
      <c r="F23" s="467"/>
      <c r="G23" s="467"/>
      <c r="H23" s="467"/>
      <c r="I23" s="467"/>
      <c r="J23" s="467"/>
      <c r="K23" s="467"/>
    </row>
    <row r="24" spans="1:11" ht="12.75" customHeight="1" x14ac:dyDescent="0.2">
      <c r="A24" s="463" t="s">
        <v>1027</v>
      </c>
      <c r="B24" s="469">
        <v>1321</v>
      </c>
      <c r="C24" s="1940">
        <v>0</v>
      </c>
      <c r="D24" s="467"/>
      <c r="E24" s="467"/>
      <c r="F24" s="467"/>
      <c r="G24" s="467"/>
      <c r="H24" s="467"/>
      <c r="I24" s="467"/>
      <c r="J24" s="467"/>
      <c r="K24" s="467"/>
    </row>
    <row r="25" spans="1:11" ht="12.75" customHeight="1" x14ac:dyDescent="0.2">
      <c r="A25" s="463" t="s">
        <v>833</v>
      </c>
      <c r="B25" s="469">
        <v>1322</v>
      </c>
      <c r="C25" s="1940">
        <v>0</v>
      </c>
      <c r="D25" s="467"/>
      <c r="E25" s="467"/>
      <c r="F25" s="467"/>
      <c r="G25" s="467"/>
      <c r="H25" s="467"/>
      <c r="I25" s="467"/>
      <c r="J25" s="467"/>
      <c r="K25" s="467"/>
    </row>
    <row r="26" spans="1:11" ht="12.75" customHeight="1" x14ac:dyDescent="0.2">
      <c r="A26" s="463" t="s">
        <v>1101</v>
      </c>
      <c r="B26" s="469">
        <v>1323</v>
      </c>
      <c r="C26" s="1940">
        <v>0</v>
      </c>
      <c r="D26" s="467"/>
      <c r="E26" s="467"/>
      <c r="F26" s="467"/>
      <c r="G26" s="467"/>
      <c r="H26" s="467"/>
      <c r="I26" s="467"/>
      <c r="J26" s="467"/>
      <c r="K26" s="467"/>
    </row>
    <row r="27" spans="1:11" ht="12.75" customHeight="1" x14ac:dyDescent="0.2">
      <c r="A27" s="463" t="s">
        <v>1023</v>
      </c>
      <c r="B27" s="469">
        <v>1324</v>
      </c>
      <c r="C27" s="1939">
        <v>0</v>
      </c>
      <c r="D27" s="467"/>
      <c r="E27" s="467"/>
      <c r="F27" s="467"/>
      <c r="G27" s="467"/>
      <c r="H27" s="467"/>
      <c r="I27" s="467"/>
      <c r="J27" s="467"/>
      <c r="K27" s="467"/>
    </row>
    <row r="28" spans="1:11" ht="12.75" customHeight="1" x14ac:dyDescent="0.2">
      <c r="A28" s="463" t="s">
        <v>1024</v>
      </c>
      <c r="B28" s="469">
        <v>1331</v>
      </c>
      <c r="C28" s="1940">
        <v>0</v>
      </c>
      <c r="D28" s="467"/>
      <c r="E28" s="467"/>
      <c r="F28" s="467"/>
      <c r="G28" s="467"/>
      <c r="H28" s="467"/>
      <c r="I28" s="467"/>
      <c r="J28" s="467"/>
      <c r="K28" s="467"/>
    </row>
    <row r="29" spans="1:11" ht="12.75" customHeight="1" x14ac:dyDescent="0.2">
      <c r="A29" s="463" t="s">
        <v>834</v>
      </c>
      <c r="B29" s="469">
        <v>1332</v>
      </c>
      <c r="C29" s="1940">
        <v>0</v>
      </c>
      <c r="D29" s="467"/>
      <c r="E29" s="467"/>
      <c r="F29" s="467"/>
      <c r="G29" s="467"/>
      <c r="H29" s="467"/>
      <c r="I29" s="467"/>
      <c r="J29" s="467"/>
      <c r="K29" s="467"/>
    </row>
    <row r="30" spans="1:11" ht="12.75" customHeight="1" x14ac:dyDescent="0.2">
      <c r="A30" s="463" t="s">
        <v>1026</v>
      </c>
      <c r="B30" s="469">
        <v>1333</v>
      </c>
      <c r="C30" s="1940">
        <v>0</v>
      </c>
      <c r="D30" s="467"/>
      <c r="E30" s="467"/>
      <c r="F30" s="467"/>
      <c r="G30" s="467"/>
      <c r="H30" s="467"/>
      <c r="I30" s="467"/>
      <c r="J30" s="467"/>
      <c r="K30" s="467"/>
    </row>
    <row r="31" spans="1:11" ht="12.75" customHeight="1" x14ac:dyDescent="0.2">
      <c r="A31" s="463" t="s">
        <v>1025</v>
      </c>
      <c r="B31" s="469">
        <v>1334</v>
      </c>
      <c r="C31" s="1939">
        <v>0</v>
      </c>
      <c r="D31" s="467"/>
      <c r="E31" s="467"/>
      <c r="F31" s="467"/>
      <c r="G31" s="467"/>
      <c r="H31" s="467"/>
      <c r="I31" s="467"/>
      <c r="J31" s="467"/>
      <c r="K31" s="467"/>
    </row>
    <row r="32" spans="1:11" ht="12.75" customHeight="1" x14ac:dyDescent="0.2">
      <c r="A32" s="463" t="s">
        <v>494</v>
      </c>
      <c r="B32" s="469">
        <v>1341</v>
      </c>
      <c r="C32" s="1940">
        <v>0</v>
      </c>
      <c r="D32" s="467"/>
      <c r="E32" s="467"/>
      <c r="F32" s="467"/>
      <c r="G32" s="467"/>
      <c r="H32" s="467"/>
      <c r="I32" s="467"/>
      <c r="J32" s="467"/>
      <c r="K32" s="467"/>
    </row>
    <row r="33" spans="1:11" ht="12.75" customHeight="1" x14ac:dyDescent="0.2">
      <c r="A33" s="463" t="s">
        <v>835</v>
      </c>
      <c r="B33" s="469">
        <v>1342</v>
      </c>
      <c r="C33" s="1940">
        <v>0</v>
      </c>
      <c r="D33" s="467"/>
      <c r="E33" s="467"/>
      <c r="F33" s="467"/>
      <c r="G33" s="467"/>
      <c r="H33" s="467"/>
      <c r="I33" s="467"/>
      <c r="J33" s="467"/>
      <c r="K33" s="467"/>
    </row>
    <row r="34" spans="1:11" ht="12.75" customHeight="1" x14ac:dyDescent="0.2">
      <c r="A34" s="463" t="s">
        <v>495</v>
      </c>
      <c r="B34" s="469">
        <v>1343</v>
      </c>
      <c r="C34" s="1940">
        <v>0</v>
      </c>
      <c r="D34" s="467"/>
      <c r="E34" s="467"/>
      <c r="F34" s="467"/>
      <c r="G34" s="467"/>
      <c r="H34" s="467"/>
      <c r="I34" s="467"/>
      <c r="J34" s="467"/>
      <c r="K34" s="467"/>
    </row>
    <row r="35" spans="1:11" ht="12.75" customHeight="1" x14ac:dyDescent="0.2">
      <c r="A35" s="463" t="s">
        <v>493</v>
      </c>
      <c r="B35" s="469">
        <v>1344</v>
      </c>
      <c r="C35" s="1939">
        <v>0</v>
      </c>
      <c r="D35" s="467"/>
      <c r="E35" s="467"/>
      <c r="F35" s="467"/>
      <c r="G35" s="467"/>
      <c r="H35" s="467"/>
      <c r="I35" s="467"/>
      <c r="J35" s="467"/>
      <c r="K35" s="467"/>
    </row>
    <row r="36" spans="1:11" ht="12.75" customHeight="1" x14ac:dyDescent="0.2">
      <c r="A36" s="463" t="s">
        <v>831</v>
      </c>
      <c r="B36" s="469">
        <v>1351</v>
      </c>
      <c r="C36" s="1940">
        <v>0</v>
      </c>
      <c r="D36" s="467"/>
      <c r="E36" s="467"/>
      <c r="F36" s="467"/>
      <c r="G36" s="467"/>
      <c r="H36" s="467"/>
      <c r="I36" s="467"/>
      <c r="J36" s="467"/>
      <c r="K36" s="467"/>
    </row>
    <row r="37" spans="1:11" ht="12.75" customHeight="1" x14ac:dyDescent="0.2">
      <c r="A37" s="463" t="s">
        <v>836</v>
      </c>
      <c r="B37" s="469">
        <v>1352</v>
      </c>
      <c r="C37" s="1940">
        <v>0</v>
      </c>
      <c r="D37" s="467"/>
      <c r="E37" s="467"/>
      <c r="F37" s="467"/>
      <c r="G37" s="467"/>
      <c r="H37" s="467"/>
      <c r="I37" s="467"/>
      <c r="J37" s="467"/>
      <c r="K37" s="467"/>
    </row>
    <row r="38" spans="1:11" ht="12.75" customHeight="1" x14ac:dyDescent="0.2">
      <c r="A38" s="463" t="s">
        <v>593</v>
      </c>
      <c r="B38" s="469">
        <v>1353</v>
      </c>
      <c r="C38" s="1940">
        <v>0</v>
      </c>
      <c r="D38" s="467"/>
      <c r="E38" s="467"/>
      <c r="F38" s="467"/>
      <c r="G38" s="467"/>
      <c r="H38" s="467"/>
      <c r="I38" s="467"/>
      <c r="J38" s="467"/>
      <c r="K38" s="467"/>
    </row>
    <row r="39" spans="1:11" ht="12.75" customHeight="1" x14ac:dyDescent="0.2">
      <c r="A39" s="1468" t="s">
        <v>594</v>
      </c>
      <c r="B39" s="544">
        <v>1354</v>
      </c>
      <c r="C39" s="1939">
        <v>0</v>
      </c>
      <c r="D39" s="467"/>
      <c r="E39" s="467"/>
      <c r="F39" s="467"/>
      <c r="G39" s="467"/>
      <c r="H39" s="467"/>
      <c r="I39" s="467"/>
      <c r="J39" s="467"/>
      <c r="K39" s="467"/>
    </row>
    <row r="40" spans="1:11" ht="12.75" customHeight="1" thickBot="1" x14ac:dyDescent="0.25">
      <c r="A40" s="1681" t="s">
        <v>538</v>
      </c>
      <c r="B40" s="1682"/>
      <c r="C40" s="1661">
        <f>SUM(C20:C39)</f>
        <v>0</v>
      </c>
      <c r="D40" s="467"/>
      <c r="E40" s="467"/>
      <c r="F40" s="467"/>
      <c r="G40" s="467"/>
      <c r="H40" s="467"/>
      <c r="I40" s="467"/>
      <c r="J40" s="467"/>
      <c r="K40" s="467"/>
    </row>
    <row r="41" spans="1:11" ht="15.75" customHeight="1" thickTop="1" x14ac:dyDescent="0.2">
      <c r="A41" s="1565" t="s">
        <v>274</v>
      </c>
      <c r="B41" s="1566">
        <v>1400</v>
      </c>
      <c r="C41" s="467"/>
      <c r="D41" s="467"/>
      <c r="E41" s="467"/>
      <c r="F41" s="514"/>
      <c r="G41" s="467"/>
      <c r="H41" s="467"/>
      <c r="I41" s="467"/>
      <c r="J41" s="467"/>
      <c r="K41" s="467"/>
    </row>
    <row r="42" spans="1:11" ht="12.75" customHeight="1" x14ac:dyDescent="0.2">
      <c r="A42" s="463" t="s">
        <v>1076</v>
      </c>
      <c r="B42" s="469">
        <v>1411</v>
      </c>
      <c r="C42" s="467"/>
      <c r="D42" s="467"/>
      <c r="E42" s="467"/>
      <c r="F42" s="477">
        <v>0</v>
      </c>
      <c r="G42" s="467"/>
      <c r="H42" s="467"/>
      <c r="I42" s="467"/>
      <c r="J42" s="467"/>
      <c r="K42" s="467"/>
    </row>
    <row r="43" spans="1:11" ht="12.75" customHeight="1" x14ac:dyDescent="0.2">
      <c r="A43" s="463" t="s">
        <v>837</v>
      </c>
      <c r="B43" s="469">
        <v>1412</v>
      </c>
      <c r="C43" s="467"/>
      <c r="D43" s="467"/>
      <c r="E43" s="467"/>
      <c r="F43" s="1935">
        <v>0</v>
      </c>
      <c r="G43" s="467"/>
      <c r="H43" s="467"/>
      <c r="I43" s="467"/>
      <c r="J43" s="467"/>
      <c r="K43" s="467"/>
    </row>
    <row r="44" spans="1:11" ht="12.75" customHeight="1" x14ac:dyDescent="0.2">
      <c r="A44" s="463" t="s">
        <v>384</v>
      </c>
      <c r="B44" s="469">
        <v>1413</v>
      </c>
      <c r="C44" s="467"/>
      <c r="D44" s="467"/>
      <c r="E44" s="467"/>
      <c r="F44" s="1935">
        <v>0</v>
      </c>
      <c r="G44" s="467"/>
      <c r="H44" s="467"/>
      <c r="I44" s="467"/>
      <c r="J44" s="467"/>
      <c r="K44" s="467"/>
    </row>
    <row r="45" spans="1:11" ht="12.75" customHeight="1" x14ac:dyDescent="0.2">
      <c r="A45" s="463" t="s">
        <v>240</v>
      </c>
      <c r="B45" s="469">
        <v>1415</v>
      </c>
      <c r="C45" s="467"/>
      <c r="D45" s="467"/>
      <c r="E45" s="467"/>
      <c r="F45" s="1935">
        <v>0</v>
      </c>
      <c r="G45" s="467"/>
      <c r="H45" s="467"/>
      <c r="I45" s="467"/>
      <c r="J45" s="467"/>
      <c r="K45" s="467"/>
    </row>
    <row r="46" spans="1:11" ht="12.75" customHeight="1" x14ac:dyDescent="0.2">
      <c r="A46" s="463" t="s">
        <v>1174</v>
      </c>
      <c r="B46" s="469">
        <v>1416</v>
      </c>
      <c r="C46" s="467"/>
      <c r="D46" s="467"/>
      <c r="E46" s="467"/>
      <c r="F46" s="1936">
        <v>0</v>
      </c>
      <c r="G46" s="467"/>
      <c r="H46" s="467"/>
      <c r="I46" s="467"/>
      <c r="J46" s="467"/>
      <c r="K46" s="467"/>
    </row>
    <row r="47" spans="1:11" ht="12.75" customHeight="1" x14ac:dyDescent="0.2">
      <c r="A47" s="463" t="s">
        <v>57</v>
      </c>
      <c r="B47" s="469">
        <v>1421</v>
      </c>
      <c r="C47" s="467"/>
      <c r="D47" s="467"/>
      <c r="E47" s="467"/>
      <c r="F47" s="1935">
        <v>0</v>
      </c>
      <c r="G47" s="467"/>
      <c r="H47" s="467"/>
      <c r="I47" s="467"/>
      <c r="J47" s="467"/>
      <c r="K47" s="467"/>
    </row>
    <row r="48" spans="1:11" ht="12.75" customHeight="1" x14ac:dyDescent="0.2">
      <c r="A48" s="463" t="s">
        <v>838</v>
      </c>
      <c r="B48" s="469">
        <v>1422</v>
      </c>
      <c r="C48" s="467"/>
      <c r="D48" s="467"/>
      <c r="E48" s="467"/>
      <c r="F48" s="1935">
        <v>0</v>
      </c>
      <c r="G48" s="467"/>
      <c r="H48" s="467"/>
      <c r="I48" s="467"/>
      <c r="J48" s="467"/>
      <c r="K48" s="467"/>
    </row>
    <row r="49" spans="1:11" ht="12.75" customHeight="1" x14ac:dyDescent="0.2">
      <c r="A49" s="463" t="s">
        <v>58</v>
      </c>
      <c r="B49" s="469">
        <v>1423</v>
      </c>
      <c r="C49" s="467"/>
      <c r="D49" s="467"/>
      <c r="E49" s="467"/>
      <c r="F49" s="1935">
        <v>0</v>
      </c>
      <c r="G49" s="467"/>
      <c r="H49" s="467"/>
      <c r="I49" s="467"/>
      <c r="J49" s="467"/>
      <c r="K49" s="467"/>
    </row>
    <row r="50" spans="1:11" ht="12.75" customHeight="1" x14ac:dyDescent="0.2">
      <c r="A50" s="463" t="s">
        <v>59</v>
      </c>
      <c r="B50" s="469">
        <v>1424</v>
      </c>
      <c r="C50" s="467"/>
      <c r="D50" s="467"/>
      <c r="E50" s="467"/>
      <c r="F50" s="1936">
        <v>0</v>
      </c>
      <c r="G50" s="467"/>
      <c r="H50" s="467"/>
      <c r="I50" s="467"/>
      <c r="J50" s="467"/>
      <c r="K50" s="467"/>
    </row>
    <row r="51" spans="1:11" ht="12.75" customHeight="1" x14ac:dyDescent="0.2">
      <c r="A51" s="1469" t="s">
        <v>60</v>
      </c>
      <c r="B51" s="545">
        <v>1431</v>
      </c>
      <c r="C51" s="467"/>
      <c r="D51" s="467"/>
      <c r="E51" s="467"/>
      <c r="F51" s="1935">
        <v>0</v>
      </c>
      <c r="G51" s="467"/>
      <c r="H51" s="467"/>
      <c r="I51" s="467"/>
      <c r="J51" s="467"/>
      <c r="K51" s="467"/>
    </row>
    <row r="52" spans="1:11" ht="12.75" customHeight="1" x14ac:dyDescent="0.2">
      <c r="A52" s="1469" t="s">
        <v>1106</v>
      </c>
      <c r="B52" s="545">
        <v>1432</v>
      </c>
      <c r="C52" s="467"/>
      <c r="D52" s="467"/>
      <c r="E52" s="467"/>
      <c r="F52" s="1935">
        <v>0</v>
      </c>
      <c r="G52" s="467"/>
      <c r="H52" s="467"/>
      <c r="I52" s="467"/>
      <c r="J52" s="467"/>
      <c r="K52" s="467"/>
    </row>
    <row r="53" spans="1:11" ht="12.75" customHeight="1" x14ac:dyDescent="0.2">
      <c r="A53" s="1469" t="s">
        <v>61</v>
      </c>
      <c r="B53" s="545">
        <v>1433</v>
      </c>
      <c r="C53" s="467"/>
      <c r="D53" s="467"/>
      <c r="E53" s="467"/>
      <c r="F53" s="1935">
        <v>0</v>
      </c>
      <c r="G53" s="467"/>
      <c r="H53" s="467"/>
      <c r="I53" s="467"/>
      <c r="J53" s="467"/>
      <c r="K53" s="467"/>
    </row>
    <row r="54" spans="1:11" ht="12.75" customHeight="1" x14ac:dyDescent="0.2">
      <c r="A54" s="1469" t="s">
        <v>62</v>
      </c>
      <c r="B54" s="545">
        <v>1434</v>
      </c>
      <c r="C54" s="467"/>
      <c r="D54" s="467"/>
      <c r="E54" s="467"/>
      <c r="F54" s="1936">
        <v>0</v>
      </c>
      <c r="G54" s="467"/>
      <c r="H54" s="467"/>
      <c r="I54" s="467"/>
      <c r="J54" s="467"/>
      <c r="K54" s="467"/>
    </row>
    <row r="55" spans="1:11" ht="12.75" customHeight="1" x14ac:dyDescent="0.2">
      <c r="A55" s="1469" t="s">
        <v>63</v>
      </c>
      <c r="B55" s="545">
        <v>1441</v>
      </c>
      <c r="C55" s="467"/>
      <c r="D55" s="467"/>
      <c r="E55" s="467"/>
      <c r="F55" s="1935">
        <v>0</v>
      </c>
      <c r="G55" s="467"/>
      <c r="H55" s="467"/>
      <c r="I55" s="467"/>
      <c r="J55" s="467"/>
      <c r="K55" s="467"/>
    </row>
    <row r="56" spans="1:11" ht="12.75" customHeight="1" x14ac:dyDescent="0.2">
      <c r="A56" s="1469" t="s">
        <v>1107</v>
      </c>
      <c r="B56" s="545">
        <v>1442</v>
      </c>
      <c r="C56" s="467"/>
      <c r="D56" s="467"/>
      <c r="E56" s="467"/>
      <c r="F56" s="1935">
        <v>0</v>
      </c>
      <c r="G56" s="467"/>
      <c r="H56" s="467"/>
      <c r="I56" s="467"/>
      <c r="J56" s="467"/>
      <c r="K56" s="467"/>
    </row>
    <row r="57" spans="1:11" ht="12.75" customHeight="1" x14ac:dyDescent="0.2">
      <c r="A57" s="1469" t="s">
        <v>489</v>
      </c>
      <c r="B57" s="545">
        <v>1443</v>
      </c>
      <c r="C57" s="467"/>
      <c r="D57" s="467"/>
      <c r="E57" s="467"/>
      <c r="F57" s="1935">
        <v>0</v>
      </c>
      <c r="G57" s="467"/>
      <c r="H57" s="467"/>
      <c r="I57" s="467"/>
      <c r="J57" s="467"/>
      <c r="K57" s="467"/>
    </row>
    <row r="58" spans="1:11" ht="12.75" customHeight="1" x14ac:dyDescent="0.2">
      <c r="A58" s="1469" t="s">
        <v>65</v>
      </c>
      <c r="B58" s="545">
        <v>1444</v>
      </c>
      <c r="C58" s="467"/>
      <c r="D58" s="467"/>
      <c r="E58" s="467"/>
      <c r="F58" s="1935">
        <v>0</v>
      </c>
      <c r="G58" s="467"/>
      <c r="H58" s="467"/>
      <c r="I58" s="467"/>
      <c r="J58" s="467"/>
      <c r="K58" s="467"/>
    </row>
    <row r="59" spans="1:11" ht="12.75" customHeight="1" x14ac:dyDescent="0.2">
      <c r="A59" s="1469" t="s">
        <v>878</v>
      </c>
      <c r="B59" s="545">
        <v>1451</v>
      </c>
      <c r="C59" s="467"/>
      <c r="D59" s="467"/>
      <c r="E59" s="467"/>
      <c r="F59" s="1935">
        <v>0</v>
      </c>
      <c r="G59" s="467"/>
      <c r="H59" s="467"/>
      <c r="I59" s="467"/>
      <c r="J59" s="467"/>
      <c r="K59" s="467"/>
    </row>
    <row r="60" spans="1:11" ht="12.75" customHeight="1" x14ac:dyDescent="0.2">
      <c r="A60" s="1469" t="s">
        <v>1108</v>
      </c>
      <c r="B60" s="545">
        <v>1452</v>
      </c>
      <c r="C60" s="467"/>
      <c r="D60" s="467"/>
      <c r="E60" s="467"/>
      <c r="F60" s="1935">
        <v>0</v>
      </c>
      <c r="G60" s="467"/>
      <c r="H60" s="467"/>
      <c r="I60" s="467"/>
      <c r="J60" s="467"/>
      <c r="K60" s="467"/>
    </row>
    <row r="61" spans="1:11" ht="12.75" customHeight="1" x14ac:dyDescent="0.2">
      <c r="A61" s="551" t="s">
        <v>879</v>
      </c>
      <c r="B61" s="545">
        <v>1453</v>
      </c>
      <c r="C61" s="467"/>
      <c r="D61" s="467"/>
      <c r="E61" s="467"/>
      <c r="F61" s="1935">
        <v>0</v>
      </c>
      <c r="G61" s="467"/>
      <c r="H61" s="467"/>
      <c r="I61" s="467"/>
      <c r="J61" s="467"/>
      <c r="K61" s="467"/>
    </row>
    <row r="62" spans="1:11" ht="12.75" customHeight="1" x14ac:dyDescent="0.2">
      <c r="A62" s="1470" t="s">
        <v>880</v>
      </c>
      <c r="B62" s="546">
        <v>1454</v>
      </c>
      <c r="C62" s="467"/>
      <c r="D62" s="467"/>
      <c r="E62" s="467"/>
      <c r="F62" s="1936">
        <v>0</v>
      </c>
      <c r="G62" s="467"/>
      <c r="H62" s="467"/>
      <c r="I62" s="467"/>
      <c r="J62" s="467"/>
      <c r="K62" s="467"/>
    </row>
    <row r="63" spans="1:11" ht="12.75" customHeight="1" thickBot="1" x14ac:dyDescent="0.25">
      <c r="A63" s="1681" t="s">
        <v>485</v>
      </c>
      <c r="B63" s="1682"/>
      <c r="C63" s="467"/>
      <c r="D63" s="467"/>
      <c r="E63" s="467"/>
      <c r="F63" s="1661">
        <f>SUM(F42:F62)</f>
        <v>0</v>
      </c>
      <c r="G63" s="467"/>
      <c r="H63" s="467"/>
      <c r="I63" s="467"/>
      <c r="J63" s="467"/>
      <c r="K63" s="467"/>
    </row>
    <row r="64" spans="1:11" ht="15.75" customHeight="1" thickTop="1" x14ac:dyDescent="0.2">
      <c r="A64" s="1565" t="s">
        <v>454</v>
      </c>
      <c r="B64" s="1566">
        <v>1500</v>
      </c>
      <c r="C64" s="467"/>
      <c r="D64" s="467"/>
      <c r="E64" s="467"/>
      <c r="F64" s="467"/>
      <c r="G64" s="467"/>
      <c r="H64" s="467"/>
      <c r="I64" s="467"/>
      <c r="J64" s="467"/>
      <c r="K64" s="467"/>
    </row>
    <row r="65" spans="1:11" ht="12.75" customHeight="1" x14ac:dyDescent="0.2">
      <c r="A65" s="463" t="s">
        <v>547</v>
      </c>
      <c r="B65" s="469">
        <v>1510</v>
      </c>
      <c r="C65" s="1935">
        <v>29846</v>
      </c>
      <c r="D65" s="1935">
        <v>5530</v>
      </c>
      <c r="E65" s="1935">
        <v>0</v>
      </c>
      <c r="F65" s="1936">
        <v>64</v>
      </c>
      <c r="G65" s="1935">
        <v>1382</v>
      </c>
      <c r="H65" s="1935">
        <v>0</v>
      </c>
      <c r="I65" s="1935">
        <v>106</v>
      </c>
      <c r="J65" s="1936">
        <v>459</v>
      </c>
      <c r="K65" s="1935">
        <v>0</v>
      </c>
    </row>
    <row r="66" spans="1:11" ht="12.75" customHeight="1" x14ac:dyDescent="0.2">
      <c r="A66" s="463" t="s">
        <v>679</v>
      </c>
      <c r="B66" s="469">
        <v>1520</v>
      </c>
      <c r="C66" s="1935">
        <v>0</v>
      </c>
      <c r="D66" s="1935">
        <v>0</v>
      </c>
      <c r="E66" s="1935">
        <v>0</v>
      </c>
      <c r="F66" s="1935">
        <v>0</v>
      </c>
      <c r="G66" s="1935">
        <v>0</v>
      </c>
      <c r="H66" s="1935">
        <v>0</v>
      </c>
      <c r="I66" s="1935">
        <v>0</v>
      </c>
      <c r="J66" s="1936">
        <v>0</v>
      </c>
      <c r="K66" s="1935">
        <v>0</v>
      </c>
    </row>
    <row r="67" spans="1:11" ht="12.75" customHeight="1" thickBot="1" x14ac:dyDescent="0.25">
      <c r="A67" s="1681" t="s">
        <v>486</v>
      </c>
      <c r="B67" s="1682"/>
      <c r="C67" s="1661">
        <f>SUM(C65:C66)</f>
        <v>29846</v>
      </c>
      <c r="D67" s="1661">
        <f t="shared" ref="D67:K67" si="2">SUM(D65:D66)</f>
        <v>5530</v>
      </c>
      <c r="E67" s="1661">
        <f t="shared" si="2"/>
        <v>0</v>
      </c>
      <c r="F67" s="1661">
        <f t="shared" si="2"/>
        <v>64</v>
      </c>
      <c r="G67" s="1661">
        <f t="shared" si="2"/>
        <v>1382</v>
      </c>
      <c r="H67" s="1661">
        <f t="shared" si="2"/>
        <v>0</v>
      </c>
      <c r="I67" s="1661">
        <f t="shared" si="2"/>
        <v>106</v>
      </c>
      <c r="J67" s="1661">
        <f t="shared" si="2"/>
        <v>459</v>
      </c>
      <c r="K67" s="1661">
        <f t="shared" si="2"/>
        <v>0</v>
      </c>
    </row>
    <row r="68" spans="1:11" ht="15.75" customHeight="1" thickTop="1" x14ac:dyDescent="0.2">
      <c r="A68" s="1565" t="s">
        <v>455</v>
      </c>
      <c r="B68" s="1567">
        <v>1600</v>
      </c>
      <c r="C68" s="541"/>
      <c r="D68" s="467"/>
      <c r="E68" s="467"/>
      <c r="F68" s="467"/>
      <c r="G68" s="467"/>
      <c r="H68" s="467"/>
      <c r="I68" s="467"/>
      <c r="J68" s="467"/>
      <c r="K68" s="467"/>
    </row>
    <row r="69" spans="1:11" ht="12.75" customHeight="1" x14ac:dyDescent="0.2">
      <c r="A69" s="463" t="s">
        <v>666</v>
      </c>
      <c r="B69" s="469">
        <v>1611</v>
      </c>
      <c r="C69" s="1935">
        <v>46326</v>
      </c>
      <c r="D69" s="467"/>
      <c r="E69" s="467"/>
      <c r="F69" s="467"/>
      <c r="G69" s="467"/>
      <c r="H69" s="467"/>
      <c r="I69" s="467"/>
      <c r="J69" s="467"/>
      <c r="K69" s="467"/>
    </row>
    <row r="70" spans="1:11" ht="12.75" customHeight="1" x14ac:dyDescent="0.2">
      <c r="A70" s="463" t="s">
        <v>997</v>
      </c>
      <c r="B70" s="469">
        <v>1612</v>
      </c>
      <c r="C70" s="1940">
        <v>0</v>
      </c>
      <c r="D70" s="467"/>
      <c r="E70" s="467"/>
      <c r="F70" s="467"/>
      <c r="G70" s="467"/>
      <c r="H70" s="467"/>
      <c r="I70" s="467"/>
      <c r="J70" s="467"/>
      <c r="K70" s="467"/>
    </row>
    <row r="71" spans="1:11" ht="12.75" customHeight="1" x14ac:dyDescent="0.2">
      <c r="A71" s="463" t="s">
        <v>273</v>
      </c>
      <c r="B71" s="469">
        <v>1613</v>
      </c>
      <c r="C71" s="1940">
        <v>0</v>
      </c>
      <c r="D71" s="467"/>
      <c r="E71" s="467"/>
      <c r="F71" s="467"/>
      <c r="G71" s="467"/>
      <c r="H71" s="467"/>
      <c r="I71" s="467"/>
      <c r="J71" s="467"/>
      <c r="K71" s="467"/>
    </row>
    <row r="72" spans="1:11" ht="12.75" customHeight="1" x14ac:dyDescent="0.2">
      <c r="A72" s="463" t="s">
        <v>24</v>
      </c>
      <c r="B72" s="469">
        <v>1614</v>
      </c>
      <c r="C72" s="1940">
        <v>0</v>
      </c>
      <c r="D72" s="467"/>
      <c r="E72" s="467"/>
      <c r="F72" s="467"/>
      <c r="G72" s="467"/>
      <c r="H72" s="467"/>
      <c r="I72" s="467"/>
      <c r="J72" s="467"/>
      <c r="K72" s="467"/>
    </row>
    <row r="73" spans="1:11" ht="12.75" customHeight="1" x14ac:dyDescent="0.2">
      <c r="A73" s="463" t="s">
        <v>998</v>
      </c>
      <c r="B73" s="469">
        <v>1620</v>
      </c>
      <c r="C73" s="1940">
        <v>845</v>
      </c>
      <c r="D73" s="467"/>
      <c r="E73" s="467"/>
      <c r="F73" s="467"/>
      <c r="G73" s="467"/>
      <c r="H73" s="467"/>
      <c r="I73" s="467"/>
      <c r="J73" s="467"/>
      <c r="K73" s="467"/>
    </row>
    <row r="74" spans="1:11" ht="12.75" customHeight="1" x14ac:dyDescent="0.2">
      <c r="A74" s="463" t="s">
        <v>25</v>
      </c>
      <c r="B74" s="469">
        <v>1690</v>
      </c>
      <c r="C74" s="1940">
        <v>0</v>
      </c>
      <c r="D74" s="467"/>
      <c r="E74" s="467"/>
      <c r="F74" s="467"/>
      <c r="G74" s="467"/>
      <c r="H74" s="467"/>
      <c r="I74" s="467"/>
      <c r="J74" s="467"/>
      <c r="K74" s="467"/>
    </row>
    <row r="75" spans="1:11" ht="12.75" customHeight="1" thickBot="1" x14ac:dyDescent="0.25">
      <c r="A75" s="1681" t="s">
        <v>548</v>
      </c>
      <c r="B75" s="1682"/>
      <c r="C75" s="1661">
        <f>SUM(C69:C74)</f>
        <v>47171</v>
      </c>
      <c r="D75" s="467"/>
      <c r="E75" s="467"/>
      <c r="F75" s="467"/>
      <c r="G75" s="467"/>
      <c r="H75" s="467"/>
      <c r="I75" s="467"/>
      <c r="J75" s="467"/>
      <c r="K75" s="467"/>
    </row>
    <row r="76" spans="1:11" ht="15.75" customHeight="1" thickTop="1" x14ac:dyDescent="0.2">
      <c r="A76" s="1565" t="s">
        <v>881</v>
      </c>
      <c r="B76" s="1567">
        <v>1700</v>
      </c>
      <c r="C76" s="541"/>
      <c r="D76" s="467"/>
      <c r="E76" s="467"/>
      <c r="F76" s="467"/>
      <c r="G76" s="467"/>
      <c r="H76" s="467"/>
      <c r="I76" s="467"/>
      <c r="J76" s="467"/>
      <c r="K76" s="467"/>
    </row>
    <row r="77" spans="1:11" ht="12.75" customHeight="1" x14ac:dyDescent="0.2">
      <c r="A77" s="463" t="s">
        <v>549</v>
      </c>
      <c r="B77" s="469">
        <v>1711</v>
      </c>
      <c r="C77" s="509">
        <v>1590</v>
      </c>
      <c r="D77" s="1935">
        <v>0</v>
      </c>
      <c r="E77" s="467"/>
      <c r="F77" s="467"/>
      <c r="G77" s="467"/>
      <c r="H77" s="467"/>
      <c r="I77" s="467"/>
      <c r="J77" s="467"/>
      <c r="K77" s="467"/>
    </row>
    <row r="78" spans="1:11" ht="12.75" customHeight="1" x14ac:dyDescent="0.2">
      <c r="A78" s="463" t="s">
        <v>76</v>
      </c>
      <c r="B78" s="469">
        <v>1719</v>
      </c>
      <c r="C78" s="1940">
        <v>0</v>
      </c>
      <c r="D78" s="1935">
        <v>0</v>
      </c>
      <c r="E78" s="467"/>
      <c r="F78" s="467"/>
      <c r="G78" s="467"/>
      <c r="H78" s="467"/>
      <c r="I78" s="467"/>
      <c r="J78" s="467"/>
      <c r="K78" s="467"/>
    </row>
    <row r="79" spans="1:11" ht="12.75" customHeight="1" x14ac:dyDescent="0.2">
      <c r="A79" s="463" t="s">
        <v>550</v>
      </c>
      <c r="B79" s="469">
        <v>1720</v>
      </c>
      <c r="C79" s="1940">
        <v>12601</v>
      </c>
      <c r="D79" s="1935">
        <v>0</v>
      </c>
      <c r="E79" s="467"/>
      <c r="F79" s="467"/>
      <c r="G79" s="467"/>
      <c r="H79" s="467"/>
      <c r="I79" s="467"/>
      <c r="J79" s="467"/>
      <c r="K79" s="467"/>
    </row>
    <row r="80" spans="1:11" ht="12.75" customHeight="1" x14ac:dyDescent="0.2">
      <c r="A80" s="463" t="s">
        <v>551</v>
      </c>
      <c r="B80" s="469">
        <v>1730</v>
      </c>
      <c r="C80" s="1940">
        <v>0</v>
      </c>
      <c r="D80" s="1935">
        <v>0</v>
      </c>
      <c r="E80" s="467"/>
      <c r="F80" s="467"/>
      <c r="G80" s="467"/>
      <c r="H80" s="467"/>
      <c r="I80" s="467"/>
      <c r="J80" s="467"/>
      <c r="K80" s="467"/>
    </row>
    <row r="81" spans="1:11" ht="12.75" customHeight="1" x14ac:dyDescent="0.2">
      <c r="A81" s="463" t="s">
        <v>26</v>
      </c>
      <c r="B81" s="469">
        <v>1790</v>
      </c>
      <c r="C81" s="1940">
        <v>4352</v>
      </c>
      <c r="D81" s="1935">
        <v>0</v>
      </c>
      <c r="E81" s="467"/>
      <c r="F81" s="467"/>
      <c r="G81" s="467"/>
      <c r="H81" s="467"/>
      <c r="I81" s="467"/>
      <c r="J81" s="467"/>
      <c r="K81" s="467"/>
    </row>
    <row r="82" spans="1:11" ht="12.75" customHeight="1" thickBot="1" x14ac:dyDescent="0.25">
      <c r="A82" s="1681" t="s">
        <v>241</v>
      </c>
      <c r="B82" s="1682"/>
      <c r="C82" s="1680">
        <f>SUM(C77:C81)</f>
        <v>18543</v>
      </c>
      <c r="D82" s="1661">
        <f>SUM(D77:D81)</f>
        <v>0</v>
      </c>
      <c r="E82" s="467"/>
      <c r="F82" s="467"/>
      <c r="G82" s="467"/>
      <c r="H82" s="467"/>
      <c r="I82" s="467"/>
      <c r="J82" s="467"/>
      <c r="K82" s="467"/>
    </row>
    <row r="83" spans="1:11" ht="15.75" customHeight="1" thickTop="1" x14ac:dyDescent="0.2">
      <c r="A83" s="1565" t="s">
        <v>242</v>
      </c>
      <c r="B83" s="1567">
        <v>1800</v>
      </c>
      <c r="C83" s="541"/>
      <c r="D83" s="467"/>
      <c r="E83" s="467"/>
      <c r="F83" s="467"/>
      <c r="G83" s="467"/>
      <c r="H83" s="467"/>
      <c r="I83" s="467"/>
      <c r="J83" s="467"/>
      <c r="K83" s="467"/>
    </row>
    <row r="84" spans="1:11" ht="12.75" customHeight="1" x14ac:dyDescent="0.2">
      <c r="A84" s="463" t="s">
        <v>552</v>
      </c>
      <c r="B84" s="469">
        <v>1811</v>
      </c>
      <c r="C84" s="1935">
        <v>21574</v>
      </c>
      <c r="D84" s="467"/>
      <c r="E84" s="467"/>
      <c r="F84" s="467"/>
      <c r="G84" s="467"/>
      <c r="H84" s="467"/>
      <c r="I84" s="467"/>
      <c r="J84" s="467"/>
      <c r="K84" s="467"/>
    </row>
    <row r="85" spans="1:11" ht="12.75" customHeight="1" x14ac:dyDescent="0.2">
      <c r="A85" s="463" t="s">
        <v>553</v>
      </c>
      <c r="B85" s="469">
        <v>1812</v>
      </c>
      <c r="C85" s="1940">
        <v>0</v>
      </c>
      <c r="D85" s="467"/>
      <c r="E85" s="467"/>
      <c r="F85" s="467"/>
      <c r="G85" s="467"/>
      <c r="H85" s="467"/>
      <c r="I85" s="467"/>
      <c r="J85" s="467"/>
      <c r="K85" s="467"/>
    </row>
    <row r="86" spans="1:11" ht="12.75" customHeight="1" x14ac:dyDescent="0.2">
      <c r="A86" s="463" t="s">
        <v>999</v>
      </c>
      <c r="B86" s="469">
        <v>1813</v>
      </c>
      <c r="C86" s="1940">
        <v>0</v>
      </c>
      <c r="D86" s="467"/>
      <c r="E86" s="467"/>
      <c r="F86" s="467"/>
      <c r="G86" s="467"/>
      <c r="H86" s="467"/>
      <c r="I86" s="467"/>
      <c r="J86" s="467"/>
      <c r="K86" s="467"/>
    </row>
    <row r="87" spans="1:11" ht="12.75" customHeight="1" x14ac:dyDescent="0.2">
      <c r="A87" s="463" t="s">
        <v>77</v>
      </c>
      <c r="B87" s="469">
        <v>1819</v>
      </c>
      <c r="C87" s="1940">
        <v>0</v>
      </c>
      <c r="D87" s="467"/>
      <c r="E87" s="467"/>
      <c r="F87" s="467"/>
      <c r="G87" s="467"/>
      <c r="H87" s="467"/>
      <c r="I87" s="467"/>
      <c r="J87" s="467"/>
      <c r="K87" s="467"/>
    </row>
    <row r="88" spans="1:11" ht="12.75" customHeight="1" x14ac:dyDescent="0.2">
      <c r="A88" s="463" t="s">
        <v>554</v>
      </c>
      <c r="B88" s="469">
        <v>1821</v>
      </c>
      <c r="C88" s="1940">
        <v>0</v>
      </c>
      <c r="D88" s="467"/>
      <c r="E88" s="467"/>
      <c r="F88" s="467"/>
      <c r="G88" s="467"/>
      <c r="H88" s="467"/>
      <c r="I88" s="467"/>
      <c r="J88" s="467"/>
      <c r="K88" s="467"/>
    </row>
    <row r="89" spans="1:11" ht="12.75" customHeight="1" x14ac:dyDescent="0.2">
      <c r="A89" s="463" t="s">
        <v>714</v>
      </c>
      <c r="B89" s="469">
        <v>1822</v>
      </c>
      <c r="C89" s="1940">
        <v>0</v>
      </c>
      <c r="D89" s="467"/>
      <c r="E89" s="467"/>
      <c r="F89" s="467"/>
      <c r="G89" s="467"/>
      <c r="H89" s="467"/>
      <c r="I89" s="467"/>
      <c r="J89" s="467"/>
      <c r="K89" s="467"/>
    </row>
    <row r="90" spans="1:11" ht="12.75" customHeight="1" x14ac:dyDescent="0.2">
      <c r="A90" s="463" t="s">
        <v>139</v>
      </c>
      <c r="B90" s="469">
        <v>1823</v>
      </c>
      <c r="C90" s="1940">
        <v>0</v>
      </c>
      <c r="D90" s="467"/>
      <c r="E90" s="467"/>
      <c r="F90" s="467"/>
      <c r="G90" s="467"/>
      <c r="H90" s="467"/>
      <c r="I90" s="467"/>
      <c r="J90" s="467"/>
      <c r="K90" s="467"/>
    </row>
    <row r="91" spans="1:11" ht="12.75" customHeight="1" x14ac:dyDescent="0.2">
      <c r="A91" s="463" t="s">
        <v>27</v>
      </c>
      <c r="B91" s="469">
        <v>1829</v>
      </c>
      <c r="C91" s="1940">
        <v>0</v>
      </c>
      <c r="D91" s="467"/>
      <c r="E91" s="467"/>
      <c r="F91" s="467"/>
      <c r="G91" s="467"/>
      <c r="H91" s="467"/>
      <c r="I91" s="467"/>
      <c r="J91" s="467"/>
      <c r="K91" s="467"/>
    </row>
    <row r="92" spans="1:11" ht="12.75" customHeight="1" x14ac:dyDescent="0.2">
      <c r="A92" s="463" t="s">
        <v>762</v>
      </c>
      <c r="B92" s="469">
        <v>1890</v>
      </c>
      <c r="C92" s="1940">
        <v>0</v>
      </c>
      <c r="D92" s="467"/>
      <c r="E92" s="467"/>
      <c r="F92" s="467"/>
      <c r="G92" s="467"/>
      <c r="H92" s="467"/>
      <c r="I92" s="467"/>
      <c r="J92" s="467"/>
      <c r="K92" s="467"/>
    </row>
    <row r="93" spans="1:11" ht="12.75" customHeight="1" thickBot="1" x14ac:dyDescent="0.25">
      <c r="A93" s="1681" t="s">
        <v>243</v>
      </c>
      <c r="B93" s="1682"/>
      <c r="C93" s="1661">
        <f>SUM(C84:C92)</f>
        <v>21574</v>
      </c>
      <c r="D93" s="467"/>
      <c r="E93" s="467"/>
      <c r="F93" s="467"/>
      <c r="G93" s="467"/>
      <c r="H93" s="467"/>
      <c r="I93" s="467"/>
      <c r="J93" s="467"/>
      <c r="K93" s="467"/>
    </row>
    <row r="94" spans="1:11" ht="15.75" customHeight="1" thickTop="1" x14ac:dyDescent="0.2">
      <c r="A94" s="1565" t="s">
        <v>1137</v>
      </c>
      <c r="B94" s="1567">
        <v>1900</v>
      </c>
      <c r="C94" s="541"/>
      <c r="D94" s="514"/>
      <c r="E94" s="467"/>
      <c r="F94" s="467"/>
      <c r="G94" s="467"/>
      <c r="H94" s="467"/>
      <c r="I94" s="467"/>
      <c r="J94" s="467"/>
      <c r="K94" s="467"/>
    </row>
    <row r="95" spans="1:11" ht="12.75" customHeight="1" x14ac:dyDescent="0.2">
      <c r="A95" s="463" t="s">
        <v>1064</v>
      </c>
      <c r="B95" s="469">
        <v>1910</v>
      </c>
      <c r="C95" s="1935">
        <v>0</v>
      </c>
      <c r="D95" s="1940">
        <v>0</v>
      </c>
      <c r="E95" s="514"/>
      <c r="F95" s="514"/>
      <c r="G95" s="514"/>
      <c r="H95" s="514"/>
      <c r="I95" s="514"/>
      <c r="J95" s="514"/>
      <c r="K95" s="514"/>
    </row>
    <row r="96" spans="1:11" ht="12.75" customHeight="1" x14ac:dyDescent="0.2">
      <c r="A96" s="463" t="s">
        <v>391</v>
      </c>
      <c r="B96" s="469">
        <v>1920</v>
      </c>
      <c r="C96" s="1940">
        <v>7278</v>
      </c>
      <c r="D96" s="1940">
        <v>0</v>
      </c>
      <c r="E96" s="1938">
        <v>0</v>
      </c>
      <c r="F96" s="474">
        <v>0</v>
      </c>
      <c r="G96" s="474">
        <v>0</v>
      </c>
      <c r="H96" s="474">
        <v>3323</v>
      </c>
      <c r="I96" s="474">
        <v>0</v>
      </c>
      <c r="J96" s="474">
        <v>0</v>
      </c>
      <c r="K96" s="474">
        <v>0</v>
      </c>
    </row>
    <row r="97" spans="1:12" ht="12.75" customHeight="1" x14ac:dyDescent="0.2">
      <c r="A97" s="1468" t="s">
        <v>244</v>
      </c>
      <c r="B97" s="547">
        <v>1930</v>
      </c>
      <c r="C97" s="1939">
        <v>0</v>
      </c>
      <c r="D97" s="1936">
        <v>0</v>
      </c>
      <c r="E97" s="1937">
        <v>0</v>
      </c>
      <c r="F97" s="1936">
        <v>0</v>
      </c>
      <c r="G97" s="1942">
        <v>0</v>
      </c>
      <c r="H97" s="1942">
        <v>0</v>
      </c>
      <c r="I97" s="1942">
        <v>0</v>
      </c>
      <c r="J97" s="1942">
        <v>0</v>
      </c>
      <c r="K97" s="1942">
        <v>0</v>
      </c>
    </row>
    <row r="98" spans="1:12" ht="12.75" customHeight="1" x14ac:dyDescent="0.2">
      <c r="A98" s="463" t="s">
        <v>189</v>
      </c>
      <c r="B98" s="469">
        <v>1940</v>
      </c>
      <c r="C98" s="1939">
        <v>0</v>
      </c>
      <c r="D98" s="1935">
        <v>0</v>
      </c>
      <c r="E98" s="505"/>
      <c r="F98" s="1935">
        <v>0</v>
      </c>
      <c r="G98" s="505"/>
      <c r="H98" s="505"/>
      <c r="I98" s="503"/>
      <c r="J98" s="505"/>
      <c r="K98" s="505"/>
    </row>
    <row r="99" spans="1:12" ht="12.75" customHeight="1" x14ac:dyDescent="0.2">
      <c r="A99" s="463" t="s">
        <v>821</v>
      </c>
      <c r="B99" s="469">
        <v>1950</v>
      </c>
      <c r="C99" s="1939">
        <v>0</v>
      </c>
      <c r="D99" s="1935">
        <v>0</v>
      </c>
      <c r="E99" s="1935">
        <v>0</v>
      </c>
      <c r="F99" s="1935">
        <v>0</v>
      </c>
      <c r="G99" s="1941">
        <v>0</v>
      </c>
      <c r="H99" s="1941">
        <v>0</v>
      </c>
      <c r="I99" s="467"/>
      <c r="J99" s="1942">
        <v>0</v>
      </c>
      <c r="K99" s="1941">
        <v>0</v>
      </c>
    </row>
    <row r="100" spans="1:12" ht="12.75" customHeight="1" x14ac:dyDescent="0.2">
      <c r="A100" s="463" t="s">
        <v>245</v>
      </c>
      <c r="B100" s="469">
        <v>1960</v>
      </c>
      <c r="C100" s="1939">
        <v>0</v>
      </c>
      <c r="D100" s="1939">
        <v>0</v>
      </c>
      <c r="E100" s="1939">
        <v>0</v>
      </c>
      <c r="F100" s="1939">
        <v>0</v>
      </c>
      <c r="G100" s="1943">
        <v>0</v>
      </c>
      <c r="H100" s="1943">
        <v>0</v>
      </c>
      <c r="I100" s="1942">
        <v>0</v>
      </c>
      <c r="J100" s="1943">
        <v>0</v>
      </c>
      <c r="K100" s="1942">
        <v>0</v>
      </c>
    </row>
    <row r="101" spans="1:12" ht="12.75" customHeight="1" x14ac:dyDescent="0.2">
      <c r="A101" s="463" t="s">
        <v>246</v>
      </c>
      <c r="B101" s="469">
        <v>1970</v>
      </c>
      <c r="C101" s="1939">
        <v>0</v>
      </c>
      <c r="D101" s="519"/>
      <c r="E101" s="476"/>
      <c r="F101" s="519"/>
      <c r="G101" s="472"/>
      <c r="H101" s="519"/>
      <c r="I101" s="467"/>
      <c r="J101" s="472"/>
      <c r="K101" s="472"/>
    </row>
    <row r="102" spans="1:12" ht="12.75" customHeight="1" x14ac:dyDescent="0.2">
      <c r="A102" s="463" t="s">
        <v>247</v>
      </c>
      <c r="B102" s="469">
        <v>1980</v>
      </c>
      <c r="C102" s="1939">
        <v>0</v>
      </c>
      <c r="D102" s="1939">
        <v>0</v>
      </c>
      <c r="E102" s="1939">
        <v>0</v>
      </c>
      <c r="F102" s="1943">
        <v>0</v>
      </c>
      <c r="G102" s="1943">
        <v>0</v>
      </c>
      <c r="H102" s="1943">
        <v>0</v>
      </c>
      <c r="I102" s="1942">
        <v>0</v>
      </c>
      <c r="J102" s="1943">
        <v>0</v>
      </c>
      <c r="K102" s="1942">
        <v>0</v>
      </c>
    </row>
    <row r="103" spans="1:12" ht="12.75" customHeight="1" x14ac:dyDescent="0.2">
      <c r="A103" s="463" t="s">
        <v>345</v>
      </c>
      <c r="B103" s="469">
        <v>1983</v>
      </c>
      <c r="C103" s="467"/>
      <c r="D103" s="467"/>
      <c r="E103" s="548">
        <v>0</v>
      </c>
      <c r="F103" s="467"/>
      <c r="G103" s="467"/>
      <c r="H103" s="1943">
        <v>0</v>
      </c>
      <c r="I103" s="467"/>
      <c r="J103" s="503"/>
      <c r="K103" s="503"/>
    </row>
    <row r="104" spans="1:12" ht="12.75" customHeight="1" x14ac:dyDescent="0.2">
      <c r="A104" s="463" t="s">
        <v>830</v>
      </c>
      <c r="B104" s="469">
        <v>1991</v>
      </c>
      <c r="C104" s="1939">
        <v>0</v>
      </c>
      <c r="D104" s="1935">
        <v>0</v>
      </c>
      <c r="E104" s="477">
        <v>0</v>
      </c>
      <c r="F104" s="1942">
        <v>0</v>
      </c>
      <c r="G104" s="1942">
        <v>0</v>
      </c>
      <c r="H104" s="1941">
        <v>0</v>
      </c>
      <c r="I104" s="467"/>
      <c r="J104" s="467"/>
      <c r="K104" s="467"/>
    </row>
    <row r="105" spans="1:12" ht="12.75" customHeight="1" x14ac:dyDescent="0.2">
      <c r="A105" s="463" t="s">
        <v>822</v>
      </c>
      <c r="B105" s="469">
        <v>1992</v>
      </c>
      <c r="C105" s="1935">
        <v>0</v>
      </c>
      <c r="D105" s="549"/>
      <c r="E105" s="467"/>
      <c r="F105" s="467"/>
      <c r="G105" s="467"/>
      <c r="H105" s="503"/>
      <c r="I105" s="467"/>
      <c r="J105" s="467"/>
      <c r="K105" s="467"/>
    </row>
    <row r="106" spans="1:12" ht="12.75" customHeight="1" x14ac:dyDescent="0.2">
      <c r="A106" s="463" t="s">
        <v>1430</v>
      </c>
      <c r="B106" s="469">
        <v>1993</v>
      </c>
      <c r="C106" s="1935">
        <v>49599</v>
      </c>
      <c r="D106" s="1939">
        <v>0</v>
      </c>
      <c r="E106" s="1936">
        <v>0</v>
      </c>
      <c r="F106" s="1942">
        <v>0</v>
      </c>
      <c r="G106" s="1942">
        <v>0</v>
      </c>
      <c r="H106" s="1942">
        <v>0</v>
      </c>
      <c r="I106" s="514"/>
      <c r="J106" s="1942">
        <v>0</v>
      </c>
      <c r="K106" s="1942">
        <v>0</v>
      </c>
    </row>
    <row r="107" spans="1:12" ht="12.75" customHeight="1" x14ac:dyDescent="0.2">
      <c r="A107" s="463" t="s">
        <v>78</v>
      </c>
      <c r="B107" s="469">
        <v>1999</v>
      </c>
      <c r="C107" s="1940">
        <v>3851</v>
      </c>
      <c r="D107" s="1935">
        <v>0</v>
      </c>
      <c r="E107" s="1935">
        <v>0</v>
      </c>
      <c r="F107" s="1941">
        <v>545</v>
      </c>
      <c r="G107" s="1941">
        <v>0</v>
      </c>
      <c r="H107" s="1941">
        <v>0</v>
      </c>
      <c r="I107" s="1941">
        <v>0</v>
      </c>
      <c r="J107" s="1942">
        <v>2974</v>
      </c>
      <c r="K107" s="1941">
        <v>0</v>
      </c>
    </row>
    <row r="108" spans="1:12" ht="12.75" customHeight="1" thickBot="1" x14ac:dyDescent="0.25">
      <c r="A108" s="1681" t="s">
        <v>487</v>
      </c>
      <c r="B108" s="1685"/>
      <c r="C108" s="1680">
        <f>SUM(C95:C107)</f>
        <v>60728</v>
      </c>
      <c r="D108" s="1680">
        <f t="shared" ref="D108:K108" si="3">SUM(D95:D107)</f>
        <v>0</v>
      </c>
      <c r="E108" s="1680">
        <f t="shared" si="3"/>
        <v>0</v>
      </c>
      <c r="F108" s="1680">
        <f t="shared" si="3"/>
        <v>545</v>
      </c>
      <c r="G108" s="1680">
        <f t="shared" si="3"/>
        <v>0</v>
      </c>
      <c r="H108" s="1680">
        <f t="shared" si="3"/>
        <v>3323</v>
      </c>
      <c r="I108" s="1680">
        <f t="shared" si="3"/>
        <v>0</v>
      </c>
      <c r="J108" s="1680">
        <f t="shared" si="3"/>
        <v>2974</v>
      </c>
      <c r="K108" s="1661">
        <f t="shared" si="3"/>
        <v>0</v>
      </c>
    </row>
    <row r="109" spans="1:12" ht="14.25" thickTop="1" thickBot="1" x14ac:dyDescent="0.25">
      <c r="A109" s="1686" t="s">
        <v>248</v>
      </c>
      <c r="B109" s="1687" t="s">
        <v>570</v>
      </c>
      <c r="C109" s="1688">
        <f t="shared" ref="C109:K109" si="4">SUM(C12,C18,C40,C63,C67,C75,C82,C93,C108,)</f>
        <v>3385748</v>
      </c>
      <c r="D109" s="1688">
        <f t="shared" si="4"/>
        <v>597632</v>
      </c>
      <c r="E109" s="1688">
        <f t="shared" si="4"/>
        <v>0</v>
      </c>
      <c r="F109" s="1688">
        <f t="shared" si="4"/>
        <v>32066</v>
      </c>
      <c r="G109" s="1688">
        <f t="shared" si="4"/>
        <v>153338</v>
      </c>
      <c r="H109" s="1688">
        <f t="shared" si="4"/>
        <v>3323</v>
      </c>
      <c r="I109" s="1688">
        <f t="shared" si="4"/>
        <v>16713</v>
      </c>
      <c r="J109" s="1688">
        <f t="shared" si="4"/>
        <v>49132</v>
      </c>
      <c r="K109" s="1675">
        <f t="shared" si="4"/>
        <v>0</v>
      </c>
    </row>
    <row r="110" spans="1:12" ht="30" customHeight="1" thickTop="1" x14ac:dyDescent="0.2">
      <c r="A110" s="1558" t="s">
        <v>346</v>
      </c>
      <c r="B110" s="1559"/>
      <c r="C110" s="1544"/>
      <c r="D110" s="1544"/>
      <c r="E110" s="1544"/>
      <c r="F110" s="1544"/>
      <c r="G110" s="1544"/>
      <c r="H110" s="1544"/>
      <c r="I110" s="1544"/>
      <c r="J110" s="1544"/>
      <c r="K110" s="1545"/>
    </row>
    <row r="111" spans="1:12" ht="12.75" customHeight="1" x14ac:dyDescent="0.2">
      <c r="A111" s="486" t="s">
        <v>823</v>
      </c>
      <c r="B111" s="485">
        <v>2100</v>
      </c>
      <c r="C111" s="509">
        <v>0</v>
      </c>
      <c r="D111" s="477">
        <v>0</v>
      </c>
      <c r="E111" s="549"/>
      <c r="F111" s="477">
        <v>0</v>
      </c>
      <c r="G111" s="477">
        <v>0</v>
      </c>
      <c r="H111" s="549"/>
      <c r="I111" s="467"/>
      <c r="J111" s="467"/>
      <c r="K111" s="467"/>
    </row>
    <row r="112" spans="1:12" ht="12.75" customHeight="1" x14ac:dyDescent="0.2">
      <c r="A112" s="463" t="s">
        <v>824</v>
      </c>
      <c r="B112" s="469">
        <v>2200</v>
      </c>
      <c r="C112" s="1944">
        <v>0</v>
      </c>
      <c r="D112" s="1941">
        <v>0</v>
      </c>
      <c r="E112" s="549"/>
      <c r="F112" s="1941">
        <v>0</v>
      </c>
      <c r="G112" s="1941">
        <v>0</v>
      </c>
      <c r="H112" s="549"/>
      <c r="I112" s="467"/>
      <c r="J112" s="467"/>
      <c r="K112" s="467"/>
      <c r="L112" s="540"/>
    </row>
    <row r="113" spans="1:11" ht="12.75" customHeight="1" x14ac:dyDescent="0.2">
      <c r="A113" s="463" t="s">
        <v>28</v>
      </c>
      <c r="B113" s="469">
        <v>2300</v>
      </c>
      <c r="C113" s="1944">
        <v>0</v>
      </c>
      <c r="D113" s="1941">
        <v>0</v>
      </c>
      <c r="E113" s="549"/>
      <c r="F113" s="1941">
        <v>0</v>
      </c>
      <c r="G113" s="1941">
        <v>0</v>
      </c>
      <c r="H113" s="549"/>
      <c r="I113" s="467"/>
      <c r="J113" s="467"/>
      <c r="K113" s="467"/>
    </row>
    <row r="114" spans="1:11" ht="13.5" thickBot="1" x14ac:dyDescent="0.25">
      <c r="A114" s="1689" t="s">
        <v>806</v>
      </c>
      <c r="B114" s="1690" t="s">
        <v>569</v>
      </c>
      <c r="C114" s="1691">
        <f>SUM(C111:C113)</f>
        <v>0</v>
      </c>
      <c r="D114" s="1691">
        <f>SUM(D111:D113)</f>
        <v>0</v>
      </c>
      <c r="E114" s="549" t="s">
        <v>1169</v>
      </c>
      <c r="F114" s="1691">
        <f>SUM(F111:F113)</f>
        <v>0</v>
      </c>
      <c r="G114" s="1691">
        <f>SUM(G111:G113)</f>
        <v>0</v>
      </c>
      <c r="H114" s="549"/>
      <c r="I114" s="467"/>
      <c r="J114" s="467"/>
      <c r="K114" s="467"/>
    </row>
    <row r="115" spans="1:11" ht="16.7" customHeight="1" thickTop="1" x14ac:dyDescent="0.2">
      <c r="A115" s="1560" t="s">
        <v>803</v>
      </c>
      <c r="B115" s="1561"/>
      <c r="C115" s="1543"/>
      <c r="D115" s="1544"/>
      <c r="E115" s="1544"/>
      <c r="F115" s="1544"/>
      <c r="G115" s="1544"/>
      <c r="H115" s="1544"/>
      <c r="I115" s="1544"/>
      <c r="J115" s="1544"/>
      <c r="K115" s="1545"/>
    </row>
    <row r="116" spans="1:11" ht="18" customHeight="1" x14ac:dyDescent="0.2">
      <c r="A116" s="1568" t="s">
        <v>1491</v>
      </c>
      <c r="B116" s="1569"/>
      <c r="C116" s="515"/>
      <c r="D116" s="514"/>
      <c r="E116" s="549"/>
      <c r="F116" s="514"/>
      <c r="G116" s="514"/>
      <c r="H116" s="549"/>
      <c r="I116" s="467"/>
      <c r="J116" s="514"/>
      <c r="K116" s="514"/>
    </row>
    <row r="117" spans="1:11" ht="12.75" customHeight="1" x14ac:dyDescent="0.2">
      <c r="A117" s="463" t="s">
        <v>1667</v>
      </c>
      <c r="B117" s="550">
        <v>3001</v>
      </c>
      <c r="C117" s="509">
        <v>231180</v>
      </c>
      <c r="D117" s="477">
        <v>0</v>
      </c>
      <c r="E117" s="1941">
        <v>0</v>
      </c>
      <c r="F117" s="477">
        <v>0</v>
      </c>
      <c r="G117" s="477">
        <v>0</v>
      </c>
      <c r="H117" s="1941">
        <v>0</v>
      </c>
      <c r="I117" s="467"/>
      <c r="J117" s="1942">
        <v>0</v>
      </c>
      <c r="K117" s="1941">
        <v>0</v>
      </c>
    </row>
    <row r="118" spans="1:11" ht="12.75" customHeight="1" x14ac:dyDescent="0.2">
      <c r="A118" s="463" t="s">
        <v>1799</v>
      </c>
      <c r="B118" s="550">
        <v>3002</v>
      </c>
      <c r="C118" s="1944">
        <v>0</v>
      </c>
      <c r="D118" s="1941">
        <v>0</v>
      </c>
      <c r="E118" s="1941">
        <v>0</v>
      </c>
      <c r="F118" s="1941">
        <v>0</v>
      </c>
      <c r="G118" s="1941">
        <v>0</v>
      </c>
      <c r="H118" s="1941">
        <v>0</v>
      </c>
      <c r="I118" s="467"/>
      <c r="J118" s="1942">
        <v>0</v>
      </c>
      <c r="K118" s="1941">
        <v>0</v>
      </c>
    </row>
    <row r="119" spans="1:11" ht="12.75" customHeight="1" x14ac:dyDescent="0.2">
      <c r="A119" s="463" t="s">
        <v>1800</v>
      </c>
      <c r="B119" s="550">
        <v>3005</v>
      </c>
      <c r="C119" s="1944">
        <v>0</v>
      </c>
      <c r="D119" s="1941">
        <v>0</v>
      </c>
      <c r="E119" s="1941">
        <v>0</v>
      </c>
      <c r="F119" s="1941">
        <v>0</v>
      </c>
      <c r="G119" s="1941">
        <v>0</v>
      </c>
      <c r="H119" s="1941">
        <v>0</v>
      </c>
      <c r="I119" s="467"/>
      <c r="J119" s="1942">
        <v>0</v>
      </c>
      <c r="K119" s="1941">
        <v>0</v>
      </c>
    </row>
    <row r="120" spans="1:11" ht="12.75" customHeight="1" x14ac:dyDescent="0.2">
      <c r="A120" s="1903" t="s">
        <v>1936</v>
      </c>
      <c r="B120" s="550">
        <v>3030</v>
      </c>
      <c r="C120" s="1944">
        <v>0</v>
      </c>
      <c r="D120" s="1941">
        <v>0</v>
      </c>
      <c r="E120" s="1941">
        <v>0</v>
      </c>
      <c r="F120" s="1941">
        <v>0</v>
      </c>
      <c r="G120" s="1941">
        <v>0</v>
      </c>
      <c r="H120" s="1941">
        <v>0</v>
      </c>
      <c r="I120" s="467"/>
      <c r="J120" s="466">
        <v>0</v>
      </c>
      <c r="K120" s="465">
        <v>0</v>
      </c>
    </row>
    <row r="121" spans="1:11" x14ac:dyDescent="0.2">
      <c r="A121" s="1469" t="s">
        <v>1801</v>
      </c>
      <c r="B121" s="552">
        <v>3099</v>
      </c>
      <c r="C121" s="1944">
        <v>0</v>
      </c>
      <c r="D121" s="1941">
        <v>0</v>
      </c>
      <c r="E121" s="1941">
        <v>0</v>
      </c>
      <c r="F121" s="1941">
        <v>0</v>
      </c>
      <c r="G121" s="1941">
        <v>0</v>
      </c>
      <c r="H121" s="1941">
        <v>0</v>
      </c>
      <c r="I121" s="467"/>
      <c r="J121" s="1942">
        <v>0</v>
      </c>
      <c r="K121" s="1941">
        <v>0</v>
      </c>
    </row>
    <row r="122" spans="1:11" ht="12.6" customHeight="1" thickBot="1" x14ac:dyDescent="0.25">
      <c r="A122" s="1681" t="s">
        <v>488</v>
      </c>
      <c r="B122" s="1692"/>
      <c r="C122" s="1680">
        <f t="shared" ref="C122:H122" si="5">SUM(C117:C121)</f>
        <v>231180</v>
      </c>
      <c r="D122" s="1680">
        <f t="shared" si="5"/>
        <v>0</v>
      </c>
      <c r="E122" s="1680">
        <f t="shared" si="5"/>
        <v>0</v>
      </c>
      <c r="F122" s="1680">
        <f t="shared" si="5"/>
        <v>0</v>
      </c>
      <c r="G122" s="1680">
        <f t="shared" si="5"/>
        <v>0</v>
      </c>
      <c r="H122" s="1680">
        <f t="shared" si="5"/>
        <v>0</v>
      </c>
      <c r="I122" s="467"/>
      <c r="J122" s="1680">
        <f>SUM(J117:J121)</f>
        <v>0</v>
      </c>
      <c r="K122" s="1661">
        <f>SUM(K117:K121)</f>
        <v>0</v>
      </c>
    </row>
    <row r="123" spans="1:11" ht="15.75" customHeight="1" thickTop="1" x14ac:dyDescent="0.2">
      <c r="A123" s="1565" t="s">
        <v>1490</v>
      </c>
      <c r="B123" s="1570"/>
      <c r="C123" s="553"/>
      <c r="D123" s="502"/>
      <c r="E123" s="467"/>
      <c r="F123" s="554"/>
      <c r="G123" s="467"/>
      <c r="H123" s="467"/>
      <c r="I123" s="467"/>
      <c r="J123" s="467"/>
      <c r="K123" s="467"/>
    </row>
    <row r="124" spans="1:11" ht="15" customHeight="1" x14ac:dyDescent="0.2">
      <c r="A124" s="1571" t="s">
        <v>667</v>
      </c>
      <c r="B124" s="1572"/>
      <c r="C124" s="514"/>
      <c r="D124" s="502"/>
      <c r="E124" s="467"/>
      <c r="F124" s="514"/>
      <c r="G124" s="467"/>
      <c r="H124" s="467"/>
      <c r="I124" s="467"/>
      <c r="J124" s="467"/>
      <c r="K124" s="467"/>
    </row>
    <row r="125" spans="1:11" ht="12.75" customHeight="1" x14ac:dyDescent="0.2">
      <c r="A125" s="463" t="s">
        <v>866</v>
      </c>
      <c r="B125" s="555">
        <v>3100</v>
      </c>
      <c r="C125" s="477">
        <v>0</v>
      </c>
      <c r="D125" s="549"/>
      <c r="E125" s="467"/>
      <c r="F125" s="1953">
        <v>0</v>
      </c>
      <c r="G125" s="467"/>
      <c r="H125" s="467"/>
      <c r="I125" s="467"/>
      <c r="J125" s="467"/>
      <c r="K125" s="467"/>
    </row>
    <row r="126" spans="1:11" ht="12.75" customHeight="1" x14ac:dyDescent="0.2">
      <c r="A126" s="463" t="s">
        <v>1446</v>
      </c>
      <c r="B126" s="550">
        <v>3105</v>
      </c>
      <c r="C126" s="1941">
        <v>0</v>
      </c>
      <c r="D126" s="549"/>
      <c r="E126" s="467"/>
      <c r="F126" s="1945">
        <v>0</v>
      </c>
      <c r="G126" s="467"/>
      <c r="H126" s="467"/>
      <c r="I126" s="467"/>
      <c r="J126" s="467"/>
      <c r="K126" s="467"/>
    </row>
    <row r="127" spans="1:11" ht="12.75" customHeight="1" x14ac:dyDescent="0.2">
      <c r="A127" s="463" t="s">
        <v>867</v>
      </c>
      <c r="B127" s="550">
        <v>3110</v>
      </c>
      <c r="C127" s="1944">
        <v>0</v>
      </c>
      <c r="D127" s="1945">
        <v>0</v>
      </c>
      <c r="E127" s="467"/>
      <c r="F127" s="1945">
        <v>0</v>
      </c>
      <c r="G127" s="467"/>
      <c r="H127" s="467"/>
      <c r="I127" s="467"/>
      <c r="J127" s="467"/>
      <c r="K127" s="467"/>
    </row>
    <row r="128" spans="1:11" ht="12.75" customHeight="1" x14ac:dyDescent="0.2">
      <c r="A128" s="463" t="s">
        <v>105</v>
      </c>
      <c r="B128" s="550">
        <v>3120</v>
      </c>
      <c r="C128" s="1941">
        <v>22133</v>
      </c>
      <c r="D128" s="549"/>
      <c r="E128" s="467"/>
      <c r="F128" s="1945">
        <v>0</v>
      </c>
      <c r="G128" s="467"/>
      <c r="H128" s="467"/>
      <c r="I128" s="467"/>
      <c r="J128" s="467"/>
      <c r="K128" s="467"/>
    </row>
    <row r="129" spans="1:11" ht="12.75" customHeight="1" x14ac:dyDescent="0.2">
      <c r="A129" s="463" t="s">
        <v>1447</v>
      </c>
      <c r="B129" s="550">
        <v>3130</v>
      </c>
      <c r="C129" s="1941">
        <v>0</v>
      </c>
      <c r="D129" s="549"/>
      <c r="E129" s="467"/>
      <c r="F129" s="1945">
        <v>0</v>
      </c>
      <c r="G129" s="467"/>
      <c r="H129" s="467"/>
      <c r="I129" s="467"/>
      <c r="J129" s="467"/>
      <c r="K129" s="467"/>
    </row>
    <row r="130" spans="1:11" ht="12.75" customHeight="1" x14ac:dyDescent="0.2">
      <c r="A130" s="463" t="s">
        <v>137</v>
      </c>
      <c r="B130" s="550">
        <v>3145</v>
      </c>
      <c r="C130" s="1941">
        <v>0</v>
      </c>
      <c r="D130" s="549"/>
      <c r="E130" s="467"/>
      <c r="F130" s="1945">
        <v>0</v>
      </c>
      <c r="G130" s="467"/>
      <c r="H130" s="467"/>
      <c r="I130" s="467"/>
      <c r="J130" s="467"/>
      <c r="K130" s="467"/>
    </row>
    <row r="131" spans="1:11" ht="12.75" customHeight="1" x14ac:dyDescent="0.2">
      <c r="A131" s="463" t="s">
        <v>66</v>
      </c>
      <c r="B131" s="550">
        <v>3199</v>
      </c>
      <c r="C131" s="1944">
        <v>0</v>
      </c>
      <c r="D131" s="1946">
        <v>0</v>
      </c>
      <c r="E131" s="467"/>
      <c r="F131" s="1945">
        <v>0</v>
      </c>
      <c r="G131" s="467"/>
      <c r="H131" s="467"/>
      <c r="I131" s="467"/>
      <c r="J131" s="467"/>
      <c r="K131" s="467"/>
    </row>
    <row r="132" spans="1:11" ht="12.75" customHeight="1" thickBot="1" x14ac:dyDescent="0.25">
      <c r="A132" s="1681" t="s">
        <v>1032</v>
      </c>
      <c r="B132" s="1693"/>
      <c r="C132" s="1680">
        <f>SUM(C125:C131)</f>
        <v>22133</v>
      </c>
      <c r="D132" s="1680">
        <f>SUM(D125:D131)</f>
        <v>0</v>
      </c>
      <c r="E132" s="468" t="s">
        <v>1169</v>
      </c>
      <c r="F132" s="1680">
        <f>SUM(F125:F131)</f>
        <v>0</v>
      </c>
      <c r="G132" s="467" t="s">
        <v>1169</v>
      </c>
      <c r="H132" s="467" t="s">
        <v>1169</v>
      </c>
      <c r="I132" s="467" t="s">
        <v>1169</v>
      </c>
      <c r="J132" s="467" t="s">
        <v>1169</v>
      </c>
      <c r="K132" s="467" t="s">
        <v>1169</v>
      </c>
    </row>
    <row r="133" spans="1:11" ht="15.75" customHeight="1" thickTop="1" x14ac:dyDescent="0.2">
      <c r="A133" s="1573" t="s">
        <v>250</v>
      </c>
      <c r="B133" s="1574"/>
      <c r="C133" s="541"/>
      <c r="D133" s="541"/>
      <c r="E133" s="502"/>
      <c r="F133" s="541"/>
      <c r="G133" s="467"/>
      <c r="H133" s="467"/>
      <c r="I133" s="467"/>
      <c r="J133" s="467"/>
      <c r="K133" s="467"/>
    </row>
    <row r="134" spans="1:11" x14ac:dyDescent="0.2">
      <c r="A134" s="463" t="s">
        <v>599</v>
      </c>
      <c r="B134" s="550">
        <v>3200</v>
      </c>
      <c r="C134" s="1954">
        <v>0</v>
      </c>
      <c r="D134" s="1945">
        <v>0</v>
      </c>
      <c r="E134" s="549"/>
      <c r="F134" s="467"/>
      <c r="G134" s="1945">
        <v>0</v>
      </c>
      <c r="H134" s="467"/>
      <c r="I134" s="467"/>
      <c r="J134" s="467"/>
      <c r="K134" s="467"/>
    </row>
    <row r="135" spans="1:11" ht="12.75" customHeight="1" x14ac:dyDescent="0.2">
      <c r="A135" s="463" t="s">
        <v>669</v>
      </c>
      <c r="B135" s="550">
        <v>3220</v>
      </c>
      <c r="C135" s="1954">
        <v>0</v>
      </c>
      <c r="D135" s="1945">
        <v>0</v>
      </c>
      <c r="E135" s="549"/>
      <c r="F135" s="467"/>
      <c r="G135" s="1946">
        <v>0</v>
      </c>
      <c r="H135" s="467"/>
      <c r="I135" s="467"/>
      <c r="J135" s="467"/>
      <c r="K135" s="467"/>
    </row>
    <row r="136" spans="1:11" ht="12.75" customHeight="1" x14ac:dyDescent="0.2">
      <c r="A136" s="463" t="s">
        <v>249</v>
      </c>
      <c r="B136" s="550">
        <v>3225</v>
      </c>
      <c r="C136" s="1954">
        <v>0</v>
      </c>
      <c r="D136" s="1945">
        <v>0</v>
      </c>
      <c r="E136" s="549"/>
      <c r="F136" s="467"/>
      <c r="G136" s="1946">
        <v>0</v>
      </c>
      <c r="H136" s="467"/>
      <c r="I136" s="467"/>
      <c r="J136" s="467"/>
      <c r="K136" s="467"/>
    </row>
    <row r="137" spans="1:11" ht="12.75" customHeight="1" x14ac:dyDescent="0.2">
      <c r="A137" s="463" t="s">
        <v>600</v>
      </c>
      <c r="B137" s="550">
        <v>3235</v>
      </c>
      <c r="C137" s="1949">
        <v>0</v>
      </c>
      <c r="D137" s="1946">
        <v>0</v>
      </c>
      <c r="E137" s="549"/>
      <c r="F137" s="467"/>
      <c r="G137" s="1946">
        <v>0</v>
      </c>
      <c r="H137" s="467"/>
      <c r="I137" s="467"/>
      <c r="J137" s="467"/>
      <c r="K137" s="467"/>
    </row>
    <row r="138" spans="1:11" ht="12.75" customHeight="1" x14ac:dyDescent="0.2">
      <c r="A138" s="463" t="s">
        <v>601</v>
      </c>
      <c r="B138" s="550">
        <v>3240</v>
      </c>
      <c r="C138" s="1949">
        <v>0</v>
      </c>
      <c r="D138" s="1946">
        <v>0</v>
      </c>
      <c r="E138" s="549"/>
      <c r="F138" s="467"/>
      <c r="G138" s="1946">
        <v>0</v>
      </c>
      <c r="H138" s="467"/>
      <c r="I138" s="467"/>
      <c r="J138" s="467"/>
      <c r="K138" s="467"/>
    </row>
    <row r="139" spans="1:11" ht="12.75" customHeight="1" x14ac:dyDescent="0.2">
      <c r="A139" s="463" t="s">
        <v>602</v>
      </c>
      <c r="B139" s="550">
        <v>3270</v>
      </c>
      <c r="C139" s="1949">
        <v>0</v>
      </c>
      <c r="D139" s="1946">
        <v>0</v>
      </c>
      <c r="E139" s="549"/>
      <c r="F139" s="467"/>
      <c r="G139" s="1946">
        <v>0</v>
      </c>
      <c r="H139" s="467"/>
      <c r="I139" s="467"/>
      <c r="J139" s="467"/>
      <c r="K139" s="467"/>
    </row>
    <row r="140" spans="1:11" ht="12.75" customHeight="1" x14ac:dyDescent="0.2">
      <c r="A140" s="463" t="s">
        <v>67</v>
      </c>
      <c r="B140" s="550">
        <v>3299</v>
      </c>
      <c r="C140" s="1954">
        <v>0</v>
      </c>
      <c r="D140" s="1945">
        <v>0</v>
      </c>
      <c r="E140" s="549"/>
      <c r="F140" s="473"/>
      <c r="G140" s="1946">
        <v>0</v>
      </c>
      <c r="H140" s="467"/>
      <c r="I140" s="467"/>
      <c r="J140" s="467"/>
      <c r="K140" s="467"/>
    </row>
    <row r="141" spans="1:11" ht="12.75" customHeight="1" thickBot="1" x14ac:dyDescent="0.25">
      <c r="A141" s="1681" t="s">
        <v>603</v>
      </c>
      <c r="B141" s="1693"/>
      <c r="C141" s="1680">
        <f>SUM(C134:C140)</f>
        <v>0</v>
      </c>
      <c r="D141" s="1680">
        <f>SUM(D134:D140)</f>
        <v>0</v>
      </c>
      <c r="E141" s="549" t="s">
        <v>1169</v>
      </c>
      <c r="F141" s="473"/>
      <c r="G141" s="1680">
        <f>SUM(G134:G140)</f>
        <v>0</v>
      </c>
      <c r="H141" s="467" t="s">
        <v>1169</v>
      </c>
      <c r="I141" s="467" t="s">
        <v>1169</v>
      </c>
      <c r="J141" s="467" t="s">
        <v>1169</v>
      </c>
      <c r="K141" s="467" t="s">
        <v>1169</v>
      </c>
    </row>
    <row r="142" spans="1:11" ht="15.75" customHeight="1" thickTop="1" x14ac:dyDescent="0.2">
      <c r="A142" s="1573" t="s">
        <v>670</v>
      </c>
      <c r="B142" s="1574"/>
      <c r="C142" s="541"/>
      <c r="D142" s="554"/>
      <c r="E142" s="549"/>
      <c r="F142" s="541"/>
      <c r="G142" s="541"/>
      <c r="H142" s="467"/>
      <c r="I142" s="467"/>
      <c r="J142" s="467"/>
      <c r="K142" s="467"/>
    </row>
    <row r="143" spans="1:11" ht="12.75" customHeight="1" x14ac:dyDescent="0.2">
      <c r="A143" s="463" t="s">
        <v>604</v>
      </c>
      <c r="B143" s="550">
        <v>3305</v>
      </c>
      <c r="C143" s="1945">
        <v>0</v>
      </c>
      <c r="D143" s="467"/>
      <c r="E143" s="549"/>
      <c r="F143" s="467"/>
      <c r="G143" s="1945">
        <v>0</v>
      </c>
      <c r="H143" s="467"/>
      <c r="I143" s="467"/>
      <c r="J143" s="467"/>
      <c r="K143" s="467"/>
    </row>
    <row r="144" spans="1:11" ht="12.75" customHeight="1" x14ac:dyDescent="0.2">
      <c r="A144" s="463" t="s">
        <v>347</v>
      </c>
      <c r="B144" s="550">
        <v>3310</v>
      </c>
      <c r="C144" s="1954">
        <v>0</v>
      </c>
      <c r="D144" s="467"/>
      <c r="E144" s="549"/>
      <c r="F144" s="467"/>
      <c r="G144" s="1945">
        <v>0</v>
      </c>
      <c r="H144" s="467"/>
      <c r="I144" s="467"/>
      <c r="J144" s="467"/>
      <c r="K144" s="467"/>
    </row>
    <row r="145" spans="1:11" s="202" customFormat="1" ht="13.5" thickBot="1" x14ac:dyDescent="0.25">
      <c r="A145" s="1681" t="s">
        <v>396</v>
      </c>
      <c r="B145" s="1693"/>
      <c r="C145" s="1661">
        <f>SUM(C143:C144)</f>
        <v>0</v>
      </c>
      <c r="D145" s="467"/>
      <c r="E145" s="502"/>
      <c r="F145" s="467"/>
      <c r="G145" s="1694">
        <f>SUM(G143:G144)</f>
        <v>0</v>
      </c>
      <c r="H145" s="467"/>
      <c r="I145" s="467"/>
      <c r="J145" s="467"/>
      <c r="K145" s="467"/>
    </row>
    <row r="146" spans="1:11" s="202" customFormat="1" ht="12.75" customHeight="1" thickTop="1" x14ac:dyDescent="0.2">
      <c r="A146" s="1471" t="s">
        <v>1056</v>
      </c>
      <c r="B146" s="556">
        <v>3360</v>
      </c>
      <c r="C146" s="1948">
        <v>524</v>
      </c>
      <c r="D146" s="557"/>
      <c r="E146" s="502"/>
      <c r="F146" s="467"/>
      <c r="G146" s="558"/>
      <c r="H146" s="467"/>
      <c r="I146" s="467"/>
      <c r="J146" s="467"/>
      <c r="K146" s="467"/>
    </row>
    <row r="147" spans="1:11" ht="12.75" customHeight="1" thickBot="1" x14ac:dyDescent="0.25">
      <c r="A147" s="1472" t="s">
        <v>922</v>
      </c>
      <c r="B147" s="559">
        <v>3365</v>
      </c>
      <c r="C147" s="1955">
        <v>0</v>
      </c>
      <c r="D147" s="1952">
        <v>0</v>
      </c>
      <c r="E147" s="549"/>
      <c r="F147" s="467"/>
      <c r="G147" s="1952">
        <v>0</v>
      </c>
      <c r="H147" s="467"/>
      <c r="I147" s="467"/>
      <c r="J147" s="467"/>
      <c r="K147" s="467"/>
    </row>
    <row r="148" spans="1:11" ht="12.75" customHeight="1" thickTop="1" thickBot="1" x14ac:dyDescent="0.25">
      <c r="A148" s="1473" t="s">
        <v>138</v>
      </c>
      <c r="B148" s="560">
        <v>3370</v>
      </c>
      <c r="C148" s="1955">
        <v>0</v>
      </c>
      <c r="D148" s="1955">
        <v>0</v>
      </c>
      <c r="E148" s="502"/>
      <c r="F148" s="467"/>
      <c r="G148" s="467"/>
      <c r="H148" s="467"/>
      <c r="I148" s="467"/>
      <c r="J148" s="467"/>
      <c r="K148" s="467"/>
    </row>
    <row r="149" spans="1:11" ht="12.75" customHeight="1" thickTop="1" thickBot="1" x14ac:dyDescent="0.25">
      <c r="A149" s="1473" t="s">
        <v>767</v>
      </c>
      <c r="B149" s="560">
        <v>3410</v>
      </c>
      <c r="C149" s="1956">
        <v>0</v>
      </c>
      <c r="D149" s="1957">
        <v>0</v>
      </c>
      <c r="E149" s="1958">
        <v>0</v>
      </c>
      <c r="F149" s="1950">
        <v>0</v>
      </c>
      <c r="G149" s="1950">
        <v>0</v>
      </c>
      <c r="H149" s="1950">
        <v>0</v>
      </c>
      <c r="I149" s="1950">
        <v>0</v>
      </c>
      <c r="J149" s="1950">
        <v>0</v>
      </c>
      <c r="K149" s="1950">
        <v>0</v>
      </c>
    </row>
    <row r="150" spans="1:11" ht="12.75" customHeight="1" thickTop="1" thickBot="1" x14ac:dyDescent="0.25">
      <c r="A150" s="1473" t="s">
        <v>68</v>
      </c>
      <c r="B150" s="560">
        <v>3499</v>
      </c>
      <c r="C150" s="1956">
        <v>0</v>
      </c>
      <c r="D150" s="1957">
        <v>0</v>
      </c>
      <c r="E150" s="1952">
        <v>0</v>
      </c>
      <c r="F150" s="1952">
        <v>0</v>
      </c>
      <c r="G150" s="1952">
        <v>0</v>
      </c>
      <c r="H150" s="1952">
        <v>0</v>
      </c>
      <c r="I150" s="1952">
        <v>0</v>
      </c>
      <c r="J150" s="1952">
        <v>0</v>
      </c>
      <c r="K150" s="1952">
        <v>0</v>
      </c>
    </row>
    <row r="151" spans="1:11" ht="15.75" customHeight="1" thickTop="1" x14ac:dyDescent="0.2">
      <c r="A151" s="1573" t="s">
        <v>453</v>
      </c>
      <c r="B151" s="1575"/>
      <c r="C151" s="541"/>
      <c r="D151" s="467"/>
      <c r="E151" s="549"/>
      <c r="F151" s="467"/>
      <c r="G151" s="467"/>
      <c r="H151" s="467"/>
      <c r="I151" s="467"/>
      <c r="J151" s="467"/>
      <c r="K151" s="467"/>
    </row>
    <row r="152" spans="1:11" ht="12.75" customHeight="1" x14ac:dyDescent="0.2">
      <c r="A152" s="463" t="s">
        <v>1448</v>
      </c>
      <c r="B152" s="550">
        <v>3500</v>
      </c>
      <c r="C152" s="1954">
        <v>0</v>
      </c>
      <c r="D152" s="1945">
        <v>0</v>
      </c>
      <c r="E152" s="549"/>
      <c r="F152" s="1945">
        <v>136197</v>
      </c>
      <c r="G152" s="1946">
        <v>0</v>
      </c>
      <c r="H152" s="467"/>
      <c r="I152" s="467"/>
      <c r="J152" s="467"/>
      <c r="K152" s="467"/>
    </row>
    <row r="153" spans="1:11" ht="12.75" customHeight="1" x14ac:dyDescent="0.2">
      <c r="A153" s="463" t="s">
        <v>1057</v>
      </c>
      <c r="B153" s="550">
        <v>3510</v>
      </c>
      <c r="C153" s="1954">
        <v>0</v>
      </c>
      <c r="D153" s="1945">
        <v>0</v>
      </c>
      <c r="E153" s="549"/>
      <c r="F153" s="1945">
        <v>26508</v>
      </c>
      <c r="G153" s="1946">
        <v>0</v>
      </c>
      <c r="H153" s="467"/>
      <c r="I153" s="467"/>
      <c r="J153" s="467"/>
      <c r="K153" s="467"/>
    </row>
    <row r="154" spans="1:11" ht="12.75" customHeight="1" x14ac:dyDescent="0.2">
      <c r="A154" s="463" t="s">
        <v>69</v>
      </c>
      <c r="B154" s="550">
        <v>3599</v>
      </c>
      <c r="C154" s="1954">
        <v>0</v>
      </c>
      <c r="D154" s="1945">
        <v>0</v>
      </c>
      <c r="E154" s="549"/>
      <c r="F154" s="1945">
        <v>0</v>
      </c>
      <c r="G154" s="1946">
        <v>0</v>
      </c>
      <c r="H154" s="467"/>
      <c r="I154" s="467"/>
      <c r="J154" s="467"/>
      <c r="K154" s="467"/>
    </row>
    <row r="155" spans="1:11" ht="12.75" customHeight="1" thickBot="1" x14ac:dyDescent="0.25">
      <c r="A155" s="1681" t="s">
        <v>94</v>
      </c>
      <c r="B155" s="1693"/>
      <c r="C155" s="1680">
        <f>SUM(C152:C154)</f>
        <v>0</v>
      </c>
      <c r="D155" s="1680">
        <f>SUM(D152:D154)</f>
        <v>0</v>
      </c>
      <c r="E155" s="549"/>
      <c r="F155" s="1680">
        <f>SUM(F152:F154)</f>
        <v>162705</v>
      </c>
      <c r="G155" s="1680">
        <f>SUM(G152:G154)</f>
        <v>0</v>
      </c>
      <c r="H155" s="467"/>
      <c r="I155" s="467"/>
      <c r="J155" s="467"/>
      <c r="K155" s="467"/>
    </row>
    <row r="156" spans="1:11" ht="12.75" customHeight="1" thickTop="1" thickBot="1" x14ac:dyDescent="0.25">
      <c r="A156" s="1473" t="s">
        <v>380</v>
      </c>
      <c r="B156" s="560">
        <v>3610</v>
      </c>
      <c r="C156" s="1957">
        <v>0</v>
      </c>
      <c r="D156" s="467"/>
      <c r="E156" s="502"/>
      <c r="F156" s="467"/>
      <c r="G156" s="467"/>
      <c r="H156" s="467"/>
      <c r="I156" s="467"/>
      <c r="J156" s="467"/>
      <c r="K156" s="467"/>
    </row>
    <row r="157" spans="1:11" ht="12.75" customHeight="1" thickTop="1" thickBot="1" x14ac:dyDescent="0.25">
      <c r="A157" s="1473" t="s">
        <v>50</v>
      </c>
      <c r="B157" s="560">
        <v>3660</v>
      </c>
      <c r="C157" s="1955">
        <v>0</v>
      </c>
      <c r="D157" s="1959">
        <v>0</v>
      </c>
      <c r="E157" s="549"/>
      <c r="F157" s="1959">
        <v>0</v>
      </c>
      <c r="G157" s="1959">
        <v>0</v>
      </c>
      <c r="H157" s="467"/>
      <c r="I157" s="467"/>
      <c r="J157" s="467"/>
      <c r="K157" s="467"/>
    </row>
    <row r="158" spans="1:11" ht="12.75" customHeight="1" thickTop="1" thickBot="1" x14ac:dyDescent="0.25">
      <c r="A158" s="1473" t="s">
        <v>1000</v>
      </c>
      <c r="B158" s="560">
        <v>3695</v>
      </c>
      <c r="C158" s="1957">
        <v>0</v>
      </c>
      <c r="D158" s="467"/>
      <c r="E158" s="549"/>
      <c r="F158" s="1957">
        <v>0</v>
      </c>
      <c r="G158" s="1957">
        <v>0</v>
      </c>
      <c r="H158" s="467"/>
      <c r="I158" s="467"/>
      <c r="J158" s="467"/>
      <c r="K158" s="467"/>
    </row>
    <row r="159" spans="1:11" ht="12.75" customHeight="1" thickTop="1" thickBot="1" x14ac:dyDescent="0.25">
      <c r="A159" s="1473" t="s">
        <v>1051</v>
      </c>
      <c r="B159" s="560">
        <v>3705</v>
      </c>
      <c r="C159" s="1957">
        <v>0</v>
      </c>
      <c r="D159" s="1959">
        <v>0</v>
      </c>
      <c r="E159" s="549"/>
      <c r="F159" s="1957">
        <v>0</v>
      </c>
      <c r="G159" s="1957">
        <v>0</v>
      </c>
      <c r="H159" s="467"/>
      <c r="I159" s="467"/>
      <c r="J159" s="467"/>
      <c r="K159" s="467"/>
    </row>
    <row r="160" spans="1:11" ht="12.75" customHeight="1" thickTop="1" thickBot="1" x14ac:dyDescent="0.25">
      <c r="A160" s="1473" t="s">
        <v>39</v>
      </c>
      <c r="B160" s="560">
        <v>3766</v>
      </c>
      <c r="C160" s="1957">
        <v>0</v>
      </c>
      <c r="D160" s="1959">
        <v>0</v>
      </c>
      <c r="E160" s="549"/>
      <c r="F160" s="1957">
        <v>0</v>
      </c>
      <c r="G160" s="1951">
        <v>0</v>
      </c>
      <c r="H160" s="467"/>
      <c r="I160" s="467"/>
      <c r="J160" s="467"/>
      <c r="K160" s="467"/>
    </row>
    <row r="161" spans="1:11" ht="12.75" customHeight="1" thickTop="1" thickBot="1" x14ac:dyDescent="0.25">
      <c r="A161" s="1473" t="s">
        <v>985</v>
      </c>
      <c r="B161" s="560">
        <v>3767</v>
      </c>
      <c r="C161" s="1957">
        <v>0</v>
      </c>
      <c r="D161" s="1951">
        <v>0</v>
      </c>
      <c r="E161" s="549"/>
      <c r="F161" s="1951">
        <v>0</v>
      </c>
      <c r="G161" s="1951">
        <v>0</v>
      </c>
      <c r="H161" s="467"/>
      <c r="I161" s="467"/>
      <c r="J161" s="467"/>
      <c r="K161" s="467"/>
    </row>
    <row r="162" spans="1:11" ht="12.75" customHeight="1" thickTop="1" thickBot="1" x14ac:dyDescent="0.25">
      <c r="A162" s="1473" t="s">
        <v>986</v>
      </c>
      <c r="B162" s="560">
        <v>3775</v>
      </c>
      <c r="C162" s="1957">
        <v>0</v>
      </c>
      <c r="D162" s="1955">
        <v>0</v>
      </c>
      <c r="E162" s="1950">
        <v>0</v>
      </c>
      <c r="F162" s="1955">
        <v>0</v>
      </c>
      <c r="G162" s="1952">
        <v>0</v>
      </c>
      <c r="H162" s="1950">
        <v>0</v>
      </c>
      <c r="I162" s="467"/>
      <c r="J162" s="467"/>
      <c r="K162" s="1950">
        <v>0</v>
      </c>
    </row>
    <row r="163" spans="1:11" ht="12.75" customHeight="1" thickTop="1" thickBot="1" x14ac:dyDescent="0.25">
      <c r="A163" s="1473" t="s">
        <v>1449</v>
      </c>
      <c r="B163" s="560">
        <v>3780</v>
      </c>
      <c r="C163" s="1951">
        <v>0</v>
      </c>
      <c r="D163" s="1950">
        <v>0</v>
      </c>
      <c r="E163" s="1951">
        <v>0</v>
      </c>
      <c r="F163" s="1951">
        <v>0</v>
      </c>
      <c r="G163" s="1951">
        <v>0</v>
      </c>
      <c r="H163" s="1951">
        <v>0</v>
      </c>
      <c r="I163" s="467"/>
      <c r="J163" s="467"/>
      <c r="K163" s="1951">
        <v>0</v>
      </c>
    </row>
    <row r="164" spans="1:11" ht="12.75" customHeight="1" thickTop="1" thickBot="1" x14ac:dyDescent="0.25">
      <c r="A164" s="1473" t="s">
        <v>858</v>
      </c>
      <c r="B164" s="560">
        <v>3815</v>
      </c>
      <c r="C164" s="1957">
        <v>0</v>
      </c>
      <c r="D164" s="467"/>
      <c r="E164" s="549"/>
      <c r="F164" s="1957">
        <v>0</v>
      </c>
      <c r="G164" s="467"/>
      <c r="H164" s="467"/>
      <c r="I164" s="467"/>
      <c r="J164" s="467"/>
      <c r="K164" s="467"/>
    </row>
    <row r="165" spans="1:11" ht="12.75" customHeight="1" thickTop="1" thickBot="1" x14ac:dyDescent="0.25">
      <c r="A165" s="1473" t="s">
        <v>397</v>
      </c>
      <c r="B165" s="560">
        <v>3825</v>
      </c>
      <c r="C165" s="1957">
        <v>0</v>
      </c>
      <c r="D165" s="467"/>
      <c r="E165" s="549"/>
      <c r="F165" s="1957">
        <v>0</v>
      </c>
      <c r="G165" s="467"/>
      <c r="H165" s="467"/>
      <c r="I165" s="467"/>
      <c r="J165" s="467"/>
      <c r="K165" s="467"/>
    </row>
    <row r="166" spans="1:11" ht="12.75" customHeight="1" thickTop="1" thickBot="1" x14ac:dyDescent="0.25">
      <c r="A166" s="1473" t="s">
        <v>348</v>
      </c>
      <c r="B166" s="560">
        <v>3920</v>
      </c>
      <c r="C166" s="554"/>
      <c r="D166" s="1959">
        <v>0</v>
      </c>
      <c r="E166" s="467"/>
      <c r="F166" s="554"/>
      <c r="G166" s="467"/>
      <c r="H166" s="1950">
        <v>0</v>
      </c>
      <c r="I166" s="467"/>
      <c r="J166" s="467"/>
      <c r="K166" s="467"/>
    </row>
    <row r="167" spans="1:11" ht="12.75" customHeight="1" thickTop="1" thickBot="1" x14ac:dyDescent="0.25">
      <c r="A167" s="1473" t="s">
        <v>349</v>
      </c>
      <c r="B167" s="560">
        <v>3925</v>
      </c>
      <c r="C167" s="514"/>
      <c r="D167" s="1957">
        <v>0</v>
      </c>
      <c r="E167" s="514"/>
      <c r="F167" s="514"/>
      <c r="G167" s="467"/>
      <c r="H167" s="1951">
        <v>0</v>
      </c>
      <c r="I167" s="467"/>
      <c r="J167" s="467"/>
      <c r="K167" s="1950">
        <v>0</v>
      </c>
    </row>
    <row r="168" spans="1:11" ht="14.25" thickTop="1" thickBot="1" x14ac:dyDescent="0.25">
      <c r="A168" s="1473" t="s">
        <v>70</v>
      </c>
      <c r="B168" s="560">
        <v>3999</v>
      </c>
      <c r="C168" s="1960">
        <v>0</v>
      </c>
      <c r="D168" s="1961">
        <v>0</v>
      </c>
      <c r="E168" s="1961">
        <v>0</v>
      </c>
      <c r="F168" s="1961">
        <v>0</v>
      </c>
      <c r="G168" s="1962">
        <v>0</v>
      </c>
      <c r="H168" s="1963">
        <v>0</v>
      </c>
      <c r="I168" s="1962">
        <v>0</v>
      </c>
      <c r="J168" s="1962">
        <v>0</v>
      </c>
      <c r="K168" s="1963">
        <v>0</v>
      </c>
    </row>
    <row r="169" spans="1:11" ht="12.75" customHeight="1" thickTop="1" thickBot="1" x14ac:dyDescent="0.25">
      <c r="A169" s="2216" t="s">
        <v>398</v>
      </c>
      <c r="B169" s="2217"/>
      <c r="C169" s="1695">
        <f t="shared" ref="C169:K169" si="6">SUM(C132,C141,C145,C146:C150,C155,C156:C167,C168)</f>
        <v>22657</v>
      </c>
      <c r="D169" s="1695">
        <f t="shared" si="6"/>
        <v>0</v>
      </c>
      <c r="E169" s="1695">
        <f t="shared" si="6"/>
        <v>0</v>
      </c>
      <c r="F169" s="1695">
        <f t="shared" si="6"/>
        <v>162705</v>
      </c>
      <c r="G169" s="1695">
        <f t="shared" si="6"/>
        <v>0</v>
      </c>
      <c r="H169" s="1695">
        <f t="shared" si="6"/>
        <v>0</v>
      </c>
      <c r="I169" s="1695">
        <f t="shared" si="6"/>
        <v>0</v>
      </c>
      <c r="J169" s="1695">
        <f t="shared" si="6"/>
        <v>0</v>
      </c>
      <c r="K169" s="1676">
        <f t="shared" si="6"/>
        <v>0</v>
      </c>
    </row>
    <row r="170" spans="1:11" ht="12.75" customHeight="1" thickTop="1" thickBot="1" x14ac:dyDescent="0.25">
      <c r="A170" s="1681" t="s">
        <v>399</v>
      </c>
      <c r="B170" s="1687" t="s">
        <v>575</v>
      </c>
      <c r="C170" s="1688">
        <f t="shared" ref="C170:K170" si="7">SUM(C122,C169)</f>
        <v>253837</v>
      </c>
      <c r="D170" s="1688">
        <f t="shared" si="7"/>
        <v>0</v>
      </c>
      <c r="E170" s="1688">
        <f t="shared" si="7"/>
        <v>0</v>
      </c>
      <c r="F170" s="1688">
        <f t="shared" si="7"/>
        <v>162705</v>
      </c>
      <c r="G170" s="1688">
        <f t="shared" si="7"/>
        <v>0</v>
      </c>
      <c r="H170" s="1688">
        <f t="shared" si="7"/>
        <v>0</v>
      </c>
      <c r="I170" s="1688">
        <f t="shared" si="7"/>
        <v>0</v>
      </c>
      <c r="J170" s="1688">
        <f t="shared" si="7"/>
        <v>0</v>
      </c>
      <c r="K170" s="1675">
        <f t="shared" si="7"/>
        <v>0</v>
      </c>
    </row>
    <row r="171" spans="1:11" ht="16.7" customHeight="1" thickTop="1" x14ac:dyDescent="0.2">
      <c r="A171" s="1562" t="s">
        <v>804</v>
      </c>
      <c r="B171" s="1540"/>
      <c r="C171" s="1543"/>
      <c r="D171" s="1544"/>
      <c r="E171" s="1544"/>
      <c r="F171" s="1544"/>
      <c r="G171" s="1544"/>
      <c r="H171" s="1544"/>
      <c r="I171" s="1544"/>
      <c r="J171" s="1544"/>
      <c r="K171" s="1545"/>
    </row>
    <row r="172" spans="1:11" ht="15.75" customHeight="1" x14ac:dyDescent="0.2">
      <c r="A172" s="2218" t="s">
        <v>1492</v>
      </c>
      <c r="B172" s="2219"/>
      <c r="C172" s="513"/>
      <c r="D172" s="513"/>
      <c r="E172" s="502"/>
      <c r="F172" s="467"/>
      <c r="G172" s="467"/>
      <c r="H172" s="467"/>
      <c r="I172" s="467"/>
      <c r="J172" s="467"/>
      <c r="K172" s="467"/>
    </row>
    <row r="173" spans="1:11" ht="12.6" customHeight="1" x14ac:dyDescent="0.2">
      <c r="A173" s="486" t="s">
        <v>1044</v>
      </c>
      <c r="B173" s="485">
        <v>4001</v>
      </c>
      <c r="C173" s="509">
        <v>0</v>
      </c>
      <c r="D173" s="477">
        <v>0</v>
      </c>
      <c r="E173" s="1946">
        <v>0</v>
      </c>
      <c r="F173" s="1945">
        <v>0</v>
      </c>
      <c r="G173" s="1945">
        <v>0</v>
      </c>
      <c r="H173" s="1946">
        <v>0</v>
      </c>
      <c r="I173" s="1946">
        <v>0</v>
      </c>
      <c r="J173" s="1946">
        <v>0</v>
      </c>
      <c r="K173" s="1946">
        <v>0</v>
      </c>
    </row>
    <row r="174" spans="1:11" ht="22.5" x14ac:dyDescent="0.2">
      <c r="A174" s="551" t="s">
        <v>805</v>
      </c>
      <c r="B174" s="563">
        <v>4009</v>
      </c>
      <c r="C174" s="1954">
        <v>0</v>
      </c>
      <c r="D174" s="1945">
        <v>0</v>
      </c>
      <c r="E174" s="1946">
        <v>0</v>
      </c>
      <c r="F174" s="1945">
        <v>0</v>
      </c>
      <c r="G174" s="1945">
        <v>0</v>
      </c>
      <c r="H174" s="1946">
        <v>0</v>
      </c>
      <c r="I174" s="1946">
        <v>0</v>
      </c>
      <c r="J174" s="1946">
        <v>0</v>
      </c>
      <c r="K174" s="1946">
        <v>0</v>
      </c>
    </row>
    <row r="175" spans="1:11" ht="13.5" thickBot="1" x14ac:dyDescent="0.25">
      <c r="A175" s="2222" t="s">
        <v>1665</v>
      </c>
      <c r="B175" s="2223"/>
      <c r="C175" s="1680">
        <f>SUM(C173:C174)</f>
        <v>0</v>
      </c>
      <c r="D175" s="1680">
        <f t="shared" ref="D175:K175" si="8">SUM(D173:D174)</f>
        <v>0</v>
      </c>
      <c r="E175" s="1680">
        <f t="shared" si="8"/>
        <v>0</v>
      </c>
      <c r="F175" s="1680">
        <f t="shared" si="8"/>
        <v>0</v>
      </c>
      <c r="G175" s="1680">
        <f t="shared" si="8"/>
        <v>0</v>
      </c>
      <c r="H175" s="1680">
        <f t="shared" si="8"/>
        <v>0</v>
      </c>
      <c r="I175" s="1680">
        <f t="shared" si="8"/>
        <v>0</v>
      </c>
      <c r="J175" s="1680">
        <f t="shared" si="8"/>
        <v>0</v>
      </c>
      <c r="K175" s="1661">
        <f t="shared" si="8"/>
        <v>0</v>
      </c>
    </row>
    <row r="176" spans="1:11" s="457" customFormat="1" ht="15.75" customHeight="1" thickTop="1" x14ac:dyDescent="0.2">
      <c r="A176" s="2226" t="s">
        <v>1664</v>
      </c>
      <c r="B176" s="2227"/>
      <c r="C176" s="575"/>
      <c r="D176" s="576"/>
      <c r="E176" s="577"/>
      <c r="F176" s="578"/>
      <c r="G176" s="578"/>
      <c r="H176" s="578"/>
      <c r="I176" s="578"/>
      <c r="J176" s="578"/>
      <c r="K176" s="578"/>
    </row>
    <row r="177" spans="1:11" ht="12.75" customHeight="1" x14ac:dyDescent="0.2">
      <c r="A177" s="463" t="s">
        <v>1045</v>
      </c>
      <c r="B177" s="469">
        <v>4045</v>
      </c>
      <c r="C177" s="1954">
        <v>0</v>
      </c>
      <c r="D177" s="467"/>
      <c r="E177" s="549"/>
      <c r="F177" s="467"/>
      <c r="G177" s="467"/>
      <c r="H177" s="467"/>
      <c r="I177" s="467"/>
      <c r="J177" s="467"/>
      <c r="K177" s="467"/>
    </row>
    <row r="178" spans="1:11" ht="12.75" customHeight="1" x14ac:dyDescent="0.2">
      <c r="A178" s="463" t="s">
        <v>1046</v>
      </c>
      <c r="B178" s="469">
        <v>4050</v>
      </c>
      <c r="C178" s="1954">
        <v>0</v>
      </c>
      <c r="D178" s="1946">
        <v>0</v>
      </c>
      <c r="E178" s="549"/>
      <c r="F178" s="467"/>
      <c r="G178" s="467"/>
      <c r="H178" s="1946">
        <v>0</v>
      </c>
      <c r="I178" s="467"/>
      <c r="J178" s="467"/>
      <c r="K178" s="467"/>
    </row>
    <row r="179" spans="1:11" ht="12.75" customHeight="1" x14ac:dyDescent="0.2">
      <c r="A179" s="463" t="s">
        <v>260</v>
      </c>
      <c r="B179" s="469">
        <v>4060</v>
      </c>
      <c r="C179" s="509">
        <v>0</v>
      </c>
      <c r="D179" s="1945">
        <v>0</v>
      </c>
      <c r="E179" s="467"/>
      <c r="F179" s="1945">
        <v>0</v>
      </c>
      <c r="G179" s="1945">
        <v>0</v>
      </c>
      <c r="H179" s="1945">
        <v>0</v>
      </c>
      <c r="I179" s="467"/>
      <c r="J179" s="467"/>
      <c r="K179" s="514"/>
    </row>
    <row r="180" spans="1:11" ht="22.5" x14ac:dyDescent="0.2">
      <c r="A180" s="551" t="s">
        <v>786</v>
      </c>
      <c r="B180" s="563">
        <v>4090</v>
      </c>
      <c r="C180" s="1954">
        <v>31457</v>
      </c>
      <c r="D180" s="1945">
        <v>0</v>
      </c>
      <c r="E180" s="467"/>
      <c r="F180" s="1945">
        <v>0</v>
      </c>
      <c r="G180" s="1945">
        <v>0</v>
      </c>
      <c r="H180" s="1945">
        <v>0</v>
      </c>
      <c r="I180" s="467"/>
      <c r="J180" s="467"/>
      <c r="K180" s="1945">
        <v>0</v>
      </c>
    </row>
    <row r="181" spans="1:11" ht="13.5" thickBot="1" x14ac:dyDescent="0.25">
      <c r="A181" s="2224" t="s">
        <v>785</v>
      </c>
      <c r="B181" s="2225"/>
      <c r="C181" s="1680">
        <f>SUM(C177:C180)</f>
        <v>31457</v>
      </c>
      <c r="D181" s="1680">
        <f>SUM(D177:D180)</f>
        <v>0</v>
      </c>
      <c r="E181" s="467"/>
      <c r="F181" s="1680">
        <f>SUM(F177:F180)</f>
        <v>0</v>
      </c>
      <c r="G181" s="1680">
        <f>SUM(G177:G180)</f>
        <v>0</v>
      </c>
      <c r="H181" s="1680">
        <f>SUM(H177:H180)</f>
        <v>0</v>
      </c>
      <c r="I181" s="467"/>
      <c r="J181" s="467"/>
      <c r="K181" s="1661">
        <f>SUM(K177:K180)</f>
        <v>0</v>
      </c>
    </row>
    <row r="182" spans="1:11" ht="22.5" customHeight="1" thickTop="1" x14ac:dyDescent="0.2">
      <c r="A182" s="2220" t="s">
        <v>1803</v>
      </c>
      <c r="B182" s="2221"/>
      <c r="C182" s="564"/>
      <c r="D182" s="554"/>
      <c r="E182" s="502"/>
      <c r="F182" s="554"/>
      <c r="G182" s="554"/>
      <c r="H182" s="467"/>
      <c r="I182" s="467"/>
      <c r="J182" s="467"/>
      <c r="K182" s="467"/>
    </row>
    <row r="183" spans="1:11" ht="15.75" customHeight="1" x14ac:dyDescent="0.2">
      <c r="A183" s="1576" t="s">
        <v>1602</v>
      </c>
      <c r="B183" s="1577"/>
      <c r="C183" s="515"/>
      <c r="D183" s="514"/>
      <c r="E183" s="502"/>
      <c r="F183" s="514"/>
      <c r="G183" s="514"/>
      <c r="H183" s="467"/>
      <c r="I183" s="467"/>
      <c r="J183" s="467"/>
      <c r="K183" s="467"/>
    </row>
    <row r="184" spans="1:11" ht="12.75" customHeight="1" x14ac:dyDescent="0.2">
      <c r="A184" s="463" t="s">
        <v>1603</v>
      </c>
      <c r="B184" s="469">
        <v>4100</v>
      </c>
      <c r="C184" s="509">
        <v>0</v>
      </c>
      <c r="D184" s="477">
        <v>0</v>
      </c>
      <c r="E184" s="549"/>
      <c r="F184" s="477">
        <v>0</v>
      </c>
      <c r="G184" s="477">
        <v>0</v>
      </c>
      <c r="H184" s="467"/>
      <c r="I184" s="467"/>
      <c r="J184" s="467"/>
      <c r="K184" s="467"/>
    </row>
    <row r="185" spans="1:11" ht="12.75" customHeight="1" x14ac:dyDescent="0.2">
      <c r="A185" s="463" t="s">
        <v>1604</v>
      </c>
      <c r="B185" s="469">
        <v>4105</v>
      </c>
      <c r="C185" s="1954">
        <v>0</v>
      </c>
      <c r="D185" s="1945">
        <v>0</v>
      </c>
      <c r="E185" s="549"/>
      <c r="F185" s="1945">
        <v>0</v>
      </c>
      <c r="G185" s="1945">
        <v>0</v>
      </c>
      <c r="H185" s="467"/>
      <c r="I185" s="467"/>
      <c r="J185" s="467"/>
      <c r="K185" s="467"/>
    </row>
    <row r="186" spans="1:11" ht="12.75" customHeight="1" x14ac:dyDescent="0.2">
      <c r="A186" s="463" t="s">
        <v>1606</v>
      </c>
      <c r="B186" s="469">
        <v>4107</v>
      </c>
      <c r="C186" s="1954">
        <v>0</v>
      </c>
      <c r="D186" s="1945">
        <v>0</v>
      </c>
      <c r="E186" s="549"/>
      <c r="F186" s="1945">
        <v>0</v>
      </c>
      <c r="G186" s="1945">
        <v>0</v>
      </c>
      <c r="H186" s="467"/>
      <c r="I186" s="467"/>
      <c r="J186" s="467"/>
      <c r="K186" s="467"/>
    </row>
    <row r="187" spans="1:11" ht="12.75" customHeight="1" x14ac:dyDescent="0.2">
      <c r="A187" s="463" t="s">
        <v>1605</v>
      </c>
      <c r="B187" s="469">
        <v>4199</v>
      </c>
      <c r="C187" s="1954">
        <v>0</v>
      </c>
      <c r="D187" s="1945">
        <v>0</v>
      </c>
      <c r="E187" s="549"/>
      <c r="F187" s="1945">
        <v>0</v>
      </c>
      <c r="G187" s="1945">
        <v>0</v>
      </c>
      <c r="H187" s="467"/>
      <c r="I187" s="467"/>
      <c r="J187" s="467"/>
      <c r="K187" s="467"/>
    </row>
    <row r="188" spans="1:11" ht="12.75" customHeight="1" thickBot="1" x14ac:dyDescent="0.25">
      <c r="A188" s="1681" t="s">
        <v>1607</v>
      </c>
      <c r="B188" s="1682"/>
      <c r="C188" s="1680">
        <f>SUM(C184:C187)</f>
        <v>0</v>
      </c>
      <c r="D188" s="1680">
        <f>SUM(D184:D187)</f>
        <v>0</v>
      </c>
      <c r="E188" s="549"/>
      <c r="F188" s="1680">
        <f>SUM(F184:F187)</f>
        <v>0</v>
      </c>
      <c r="G188" s="1680">
        <f>SUM(G184:G187)</f>
        <v>0</v>
      </c>
      <c r="H188" s="467"/>
      <c r="I188" s="467"/>
      <c r="J188" s="467"/>
      <c r="K188" s="467"/>
    </row>
    <row r="189" spans="1:11" ht="15.75" customHeight="1" thickTop="1" x14ac:dyDescent="0.2">
      <c r="A189" s="1573" t="s">
        <v>455</v>
      </c>
      <c r="B189" s="1578"/>
      <c r="C189" s="541"/>
      <c r="D189" s="554"/>
      <c r="E189" s="549"/>
      <c r="F189" s="541"/>
      <c r="G189" s="541"/>
      <c r="H189" s="467"/>
      <c r="I189" s="467"/>
      <c r="J189" s="467"/>
      <c r="K189" s="467"/>
    </row>
    <row r="190" spans="1:11" x14ac:dyDescent="0.2">
      <c r="A190" s="463" t="s">
        <v>1450</v>
      </c>
      <c r="B190" s="469">
        <v>4200</v>
      </c>
      <c r="C190" s="1946">
        <v>0</v>
      </c>
      <c r="D190" s="467"/>
      <c r="E190" s="549"/>
      <c r="F190" s="541"/>
      <c r="G190" s="1964">
        <v>0</v>
      </c>
      <c r="H190" s="467"/>
      <c r="I190" s="467"/>
      <c r="J190" s="467"/>
      <c r="K190" s="467"/>
    </row>
    <row r="191" spans="1:11" ht="12.75" customHeight="1" x14ac:dyDescent="0.2">
      <c r="A191" s="463" t="s">
        <v>1058</v>
      </c>
      <c r="B191" s="469">
        <v>4210</v>
      </c>
      <c r="C191" s="1945">
        <v>35133</v>
      </c>
      <c r="D191" s="467"/>
      <c r="E191" s="549"/>
      <c r="F191" s="467"/>
      <c r="G191" s="1964">
        <v>0</v>
      </c>
      <c r="H191" s="467"/>
      <c r="I191" s="467"/>
      <c r="J191" s="467"/>
      <c r="K191" s="467"/>
    </row>
    <row r="192" spans="1:11" ht="12.75" customHeight="1" x14ac:dyDescent="0.2">
      <c r="A192" s="463" t="s">
        <v>1047</v>
      </c>
      <c r="B192" s="469">
        <v>4215</v>
      </c>
      <c r="C192" s="1954">
        <v>0</v>
      </c>
      <c r="D192" s="467"/>
      <c r="E192" s="549"/>
      <c r="F192" s="467"/>
      <c r="G192" s="1964">
        <v>0</v>
      </c>
      <c r="H192" s="467"/>
      <c r="I192" s="467"/>
      <c r="J192" s="467"/>
      <c r="K192" s="467"/>
    </row>
    <row r="193" spans="1:11" ht="12.75" customHeight="1" x14ac:dyDescent="0.2">
      <c r="A193" s="463" t="s">
        <v>1059</v>
      </c>
      <c r="B193" s="469">
        <v>4220</v>
      </c>
      <c r="C193" s="1954">
        <v>0</v>
      </c>
      <c r="D193" s="467"/>
      <c r="E193" s="549"/>
      <c r="F193" s="467"/>
      <c r="G193" s="1964">
        <v>0</v>
      </c>
      <c r="H193" s="467"/>
      <c r="I193" s="467"/>
      <c r="J193" s="467"/>
      <c r="K193" s="467"/>
    </row>
    <row r="194" spans="1:11" ht="12.75" customHeight="1" x14ac:dyDescent="0.2">
      <c r="A194" s="463" t="s">
        <v>1451</v>
      </c>
      <c r="B194" s="469">
        <v>4225</v>
      </c>
      <c r="C194" s="1954">
        <v>0</v>
      </c>
      <c r="D194" s="467"/>
      <c r="E194" s="549"/>
      <c r="F194" s="467"/>
      <c r="G194" s="1964">
        <v>0</v>
      </c>
      <c r="H194" s="467"/>
      <c r="I194" s="467"/>
      <c r="J194" s="467"/>
      <c r="K194" s="467"/>
    </row>
    <row r="195" spans="1:11" ht="12.75" customHeight="1" x14ac:dyDescent="0.2">
      <c r="A195" s="463" t="s">
        <v>1452</v>
      </c>
      <c r="B195" s="469">
        <v>4226</v>
      </c>
      <c r="C195" s="1954">
        <v>0</v>
      </c>
      <c r="D195" s="467"/>
      <c r="E195" s="549"/>
      <c r="F195" s="467"/>
      <c r="G195" s="1964">
        <v>0</v>
      </c>
      <c r="H195" s="467"/>
      <c r="I195" s="467"/>
      <c r="J195" s="467"/>
      <c r="K195" s="467"/>
    </row>
    <row r="196" spans="1:11" ht="12.75" customHeight="1" x14ac:dyDescent="0.2">
      <c r="A196" s="463" t="s">
        <v>792</v>
      </c>
      <c r="B196" s="469">
        <v>4240</v>
      </c>
      <c r="C196" s="1949">
        <v>0</v>
      </c>
      <c r="D196" s="467"/>
      <c r="E196" s="549"/>
      <c r="F196" s="467"/>
      <c r="G196" s="566"/>
      <c r="H196" s="467"/>
      <c r="I196" s="467"/>
      <c r="J196" s="467"/>
      <c r="K196" s="467"/>
    </row>
    <row r="197" spans="1:11" ht="12.75" customHeight="1" x14ac:dyDescent="0.2">
      <c r="A197" s="463" t="s">
        <v>71</v>
      </c>
      <c r="B197" s="469">
        <v>4299</v>
      </c>
      <c r="C197" s="1954">
        <v>0</v>
      </c>
      <c r="D197" s="467"/>
      <c r="E197" s="549"/>
      <c r="F197" s="467"/>
      <c r="G197" s="1964">
        <v>0</v>
      </c>
      <c r="H197" s="467"/>
      <c r="I197" s="467"/>
      <c r="J197" s="467"/>
      <c r="K197" s="467"/>
    </row>
    <row r="198" spans="1:11" ht="12.75" customHeight="1" thickBot="1" x14ac:dyDescent="0.25">
      <c r="A198" s="1681" t="s">
        <v>548</v>
      </c>
      <c r="B198" s="1682"/>
      <c r="C198" s="1661">
        <f>SUM(C190:C197)</f>
        <v>35133</v>
      </c>
      <c r="D198" s="467"/>
      <c r="E198" s="467"/>
      <c r="F198" s="467"/>
      <c r="G198" s="1661">
        <f>SUM(G190:G197)</f>
        <v>0</v>
      </c>
      <c r="H198" s="467"/>
      <c r="I198" s="467"/>
      <c r="J198" s="467"/>
      <c r="K198" s="467"/>
    </row>
    <row r="199" spans="1:11" ht="15.75" customHeight="1" thickTop="1" x14ac:dyDescent="0.2">
      <c r="A199" s="1573" t="s">
        <v>1138</v>
      </c>
      <c r="B199" s="1578"/>
      <c r="C199" s="541"/>
      <c r="D199" s="467"/>
      <c r="E199" s="467"/>
      <c r="F199" s="467"/>
      <c r="G199" s="467"/>
      <c r="H199" s="467"/>
      <c r="I199" s="467"/>
      <c r="J199" s="467"/>
      <c r="K199" s="467"/>
    </row>
    <row r="200" spans="1:11" ht="12.75" customHeight="1" x14ac:dyDescent="0.2">
      <c r="A200" s="463" t="s">
        <v>918</v>
      </c>
      <c r="B200" s="469">
        <v>4300</v>
      </c>
      <c r="C200" s="1945">
        <v>57940</v>
      </c>
      <c r="D200" s="1945">
        <v>0</v>
      </c>
      <c r="E200" s="467"/>
      <c r="F200" s="1945">
        <v>0</v>
      </c>
      <c r="G200" s="1945">
        <v>0</v>
      </c>
      <c r="H200" s="467"/>
      <c r="I200" s="467"/>
      <c r="J200" s="467"/>
      <c r="K200" s="467"/>
    </row>
    <row r="201" spans="1:11" ht="12.75" customHeight="1" x14ac:dyDescent="0.2">
      <c r="A201" s="463" t="s">
        <v>919</v>
      </c>
      <c r="B201" s="469">
        <v>4305</v>
      </c>
      <c r="C201" s="1954">
        <v>0</v>
      </c>
      <c r="D201" s="1945">
        <v>0</v>
      </c>
      <c r="E201" s="467"/>
      <c r="F201" s="1945">
        <v>0</v>
      </c>
      <c r="G201" s="1945">
        <v>0</v>
      </c>
      <c r="H201" s="467"/>
      <c r="I201" s="467"/>
      <c r="J201" s="467"/>
      <c r="K201" s="467"/>
    </row>
    <row r="202" spans="1:11" ht="12.75" customHeight="1" x14ac:dyDescent="0.2">
      <c r="A202" s="463" t="s">
        <v>1031</v>
      </c>
      <c r="B202" s="469">
        <v>4340</v>
      </c>
      <c r="C202" s="1954">
        <v>0</v>
      </c>
      <c r="D202" s="1945">
        <v>0</v>
      </c>
      <c r="E202" s="467"/>
      <c r="F202" s="1945">
        <v>0</v>
      </c>
      <c r="G202" s="1945">
        <v>0</v>
      </c>
      <c r="H202" s="467"/>
      <c r="I202" s="467"/>
      <c r="J202" s="467"/>
      <c r="K202" s="467"/>
    </row>
    <row r="203" spans="1:11" ht="12.75" customHeight="1" x14ac:dyDescent="0.2">
      <c r="A203" s="463" t="s">
        <v>72</v>
      </c>
      <c r="B203" s="469">
        <v>4399</v>
      </c>
      <c r="C203" s="1954">
        <v>0</v>
      </c>
      <c r="D203" s="1945">
        <v>0</v>
      </c>
      <c r="E203" s="467"/>
      <c r="F203" s="1945">
        <v>0</v>
      </c>
      <c r="G203" s="1945">
        <v>0</v>
      </c>
      <c r="H203" s="467"/>
      <c r="I203" s="467"/>
      <c r="J203" s="467"/>
      <c r="K203" s="467"/>
    </row>
    <row r="204" spans="1:11" ht="12.75" customHeight="1" thickBot="1" x14ac:dyDescent="0.25">
      <c r="A204" s="1681" t="s">
        <v>400</v>
      </c>
      <c r="B204" s="1682"/>
      <c r="C204" s="1680">
        <f>SUM(C200:C203)</f>
        <v>57940</v>
      </c>
      <c r="D204" s="1680">
        <f>SUM(D200:D203)</f>
        <v>0</v>
      </c>
      <c r="E204" s="467"/>
      <c r="F204" s="1680">
        <f>SUM(F200:F203)</f>
        <v>0</v>
      </c>
      <c r="G204" s="1680">
        <f>SUM(G200:G203)</f>
        <v>0</v>
      </c>
      <c r="H204" s="467"/>
      <c r="I204" s="467"/>
      <c r="J204" s="467"/>
      <c r="K204" s="467"/>
    </row>
    <row r="205" spans="1:11" ht="15.75" customHeight="1" thickTop="1" x14ac:dyDescent="0.2">
      <c r="A205" s="1573" t="s">
        <v>1139</v>
      </c>
      <c r="B205" s="1578"/>
      <c r="C205" s="541"/>
      <c r="D205" s="541"/>
      <c r="E205" s="467"/>
      <c r="F205" s="541"/>
      <c r="G205" s="541"/>
      <c r="H205" s="467"/>
      <c r="I205" s="467"/>
      <c r="J205" s="467"/>
      <c r="K205" s="467"/>
    </row>
    <row r="206" spans="1:11" ht="12.75" customHeight="1" x14ac:dyDescent="0.2">
      <c r="A206" s="463" t="s">
        <v>759</v>
      </c>
      <c r="B206" s="469">
        <v>4400</v>
      </c>
      <c r="C206" s="1954">
        <v>10000</v>
      </c>
      <c r="D206" s="1945">
        <v>0</v>
      </c>
      <c r="E206" s="467"/>
      <c r="F206" s="1945">
        <v>0</v>
      </c>
      <c r="G206" s="1945">
        <v>0</v>
      </c>
      <c r="H206" s="467"/>
      <c r="I206" s="467"/>
      <c r="J206" s="467"/>
      <c r="K206" s="467"/>
    </row>
    <row r="207" spans="1:11" ht="12.75" customHeight="1" x14ac:dyDescent="0.2">
      <c r="A207" s="463" t="s">
        <v>1453</v>
      </c>
      <c r="B207" s="469">
        <v>4421</v>
      </c>
      <c r="C207" s="1954">
        <v>0</v>
      </c>
      <c r="D207" s="1945">
        <v>0</v>
      </c>
      <c r="E207" s="467"/>
      <c r="F207" s="1945">
        <v>0</v>
      </c>
      <c r="G207" s="1945">
        <v>0</v>
      </c>
      <c r="H207" s="467"/>
      <c r="I207" s="467"/>
      <c r="J207" s="467"/>
      <c r="K207" s="467"/>
    </row>
    <row r="208" spans="1:11" ht="12.75" customHeight="1" x14ac:dyDescent="0.2">
      <c r="A208" s="463" t="s">
        <v>73</v>
      </c>
      <c r="B208" s="469">
        <v>4499</v>
      </c>
      <c r="C208" s="1954">
        <v>0</v>
      </c>
      <c r="D208" s="1945">
        <v>0</v>
      </c>
      <c r="E208" s="467"/>
      <c r="F208" s="1945">
        <v>0</v>
      </c>
      <c r="G208" s="1945">
        <v>0</v>
      </c>
      <c r="H208" s="467"/>
      <c r="I208" s="467"/>
      <c r="J208" s="467"/>
      <c r="K208" s="467"/>
    </row>
    <row r="209" spans="1:11" ht="12.75" customHeight="1" thickBot="1" x14ac:dyDescent="0.25">
      <c r="A209" s="1681" t="s">
        <v>889</v>
      </c>
      <c r="B209" s="1682"/>
      <c r="C209" s="1680">
        <f>SUM(C206:C208)</f>
        <v>10000</v>
      </c>
      <c r="D209" s="1680">
        <f>SUM(D206:D208)</f>
        <v>0</v>
      </c>
      <c r="E209" s="467" t="s">
        <v>1169</v>
      </c>
      <c r="F209" s="1680">
        <f>SUM(F206:F208)</f>
        <v>0</v>
      </c>
      <c r="G209" s="1680">
        <f>SUM(G206:G208)</f>
        <v>0</v>
      </c>
      <c r="H209" s="467"/>
      <c r="I209" s="467"/>
      <c r="J209" s="467"/>
      <c r="K209" s="467"/>
    </row>
    <row r="210" spans="1:11" ht="15.75" customHeight="1" thickTop="1" x14ac:dyDescent="0.2">
      <c r="A210" s="1573" t="s">
        <v>1092</v>
      </c>
      <c r="B210" s="1578"/>
      <c r="C210" s="541"/>
      <c r="D210" s="541"/>
      <c r="E210" s="467"/>
      <c r="F210" s="541"/>
      <c r="G210" s="541"/>
      <c r="H210" s="467"/>
      <c r="I210" s="467"/>
      <c r="J210" s="467"/>
      <c r="K210" s="467"/>
    </row>
    <row r="211" spans="1:11" ht="12.75" customHeight="1" x14ac:dyDescent="0.2">
      <c r="A211" s="463" t="s">
        <v>1052</v>
      </c>
      <c r="B211" s="469">
        <v>4600</v>
      </c>
      <c r="C211" s="1954">
        <v>0</v>
      </c>
      <c r="D211" s="1945">
        <v>0</v>
      </c>
      <c r="E211" s="467"/>
      <c r="F211" s="1945">
        <v>0</v>
      </c>
      <c r="G211" s="1945">
        <v>0</v>
      </c>
      <c r="H211" s="467"/>
      <c r="I211" s="467"/>
      <c r="J211" s="467"/>
      <c r="K211" s="467"/>
    </row>
    <row r="212" spans="1:11" ht="12.75" customHeight="1" x14ac:dyDescent="0.2">
      <c r="A212" s="463" t="s">
        <v>1053</v>
      </c>
      <c r="B212" s="469">
        <v>4605</v>
      </c>
      <c r="C212" s="1954">
        <v>0</v>
      </c>
      <c r="D212" s="1945">
        <v>0</v>
      </c>
      <c r="E212" s="467"/>
      <c r="F212" s="1945">
        <v>0</v>
      </c>
      <c r="G212" s="1945">
        <v>0</v>
      </c>
      <c r="H212" s="467"/>
      <c r="I212" s="467"/>
      <c r="J212" s="467"/>
      <c r="K212" s="467"/>
    </row>
    <row r="213" spans="1:11" ht="12.75" customHeight="1" x14ac:dyDescent="0.2">
      <c r="A213" s="463" t="s">
        <v>1454</v>
      </c>
      <c r="B213" s="545">
        <v>4620</v>
      </c>
      <c r="C213" s="1954">
        <v>54262</v>
      </c>
      <c r="D213" s="1945">
        <v>0</v>
      </c>
      <c r="E213" s="467"/>
      <c r="F213" s="1945">
        <v>0</v>
      </c>
      <c r="G213" s="1945">
        <v>0</v>
      </c>
      <c r="H213" s="467"/>
      <c r="I213" s="467"/>
      <c r="J213" s="467"/>
      <c r="K213" s="467"/>
    </row>
    <row r="214" spans="1:11" ht="12.75" customHeight="1" x14ac:dyDescent="0.2">
      <c r="A214" s="463" t="s">
        <v>1054</v>
      </c>
      <c r="B214" s="469">
        <v>4625</v>
      </c>
      <c r="C214" s="1954">
        <v>0</v>
      </c>
      <c r="D214" s="1945">
        <v>0</v>
      </c>
      <c r="E214" s="467"/>
      <c r="F214" s="1945">
        <v>0</v>
      </c>
      <c r="G214" s="1945">
        <v>0</v>
      </c>
      <c r="H214" s="467"/>
      <c r="I214" s="467"/>
      <c r="J214" s="467"/>
      <c r="K214" s="467"/>
    </row>
    <row r="215" spans="1:11" ht="12.75" customHeight="1" x14ac:dyDescent="0.2">
      <c r="A215" s="463" t="s">
        <v>1055</v>
      </c>
      <c r="B215" s="469">
        <v>4630</v>
      </c>
      <c r="C215" s="1954">
        <v>0</v>
      </c>
      <c r="D215" s="1945">
        <v>0</v>
      </c>
      <c r="E215" s="467"/>
      <c r="F215" s="1945">
        <v>0</v>
      </c>
      <c r="G215" s="1945">
        <v>0</v>
      </c>
      <c r="H215" s="467"/>
      <c r="I215" s="467"/>
      <c r="J215" s="467"/>
      <c r="K215" s="467"/>
    </row>
    <row r="216" spans="1:11" ht="12.75" customHeight="1" x14ac:dyDescent="0.2">
      <c r="A216" s="1474" t="s">
        <v>74</v>
      </c>
      <c r="B216" s="545">
        <v>4699</v>
      </c>
      <c r="C216" s="1954">
        <v>0</v>
      </c>
      <c r="D216" s="1945">
        <v>0</v>
      </c>
      <c r="E216" s="467"/>
      <c r="F216" s="1945">
        <v>0</v>
      </c>
      <c r="G216" s="1945">
        <v>0</v>
      </c>
      <c r="H216" s="467"/>
      <c r="I216" s="467"/>
      <c r="J216" s="467"/>
      <c r="K216" s="467"/>
    </row>
    <row r="217" spans="1:11" ht="12.75" customHeight="1" thickBot="1" x14ac:dyDescent="0.25">
      <c r="A217" s="1681" t="s">
        <v>447</v>
      </c>
      <c r="B217" s="1682"/>
      <c r="C217" s="1680">
        <f>SUM(C211:C216)</f>
        <v>54262</v>
      </c>
      <c r="D217" s="1680">
        <f>SUM(D211:D216)</f>
        <v>0</v>
      </c>
      <c r="E217" s="467"/>
      <c r="F217" s="1680">
        <f>SUM(F211:F216)</f>
        <v>0</v>
      </c>
      <c r="G217" s="1680">
        <f>SUM(G211:G216)</f>
        <v>0</v>
      </c>
      <c r="H217" s="467"/>
      <c r="I217" s="467"/>
      <c r="J217" s="467"/>
      <c r="K217" s="467"/>
    </row>
    <row r="218" spans="1:11" ht="15.75" customHeight="1" thickTop="1" x14ac:dyDescent="0.2">
      <c r="A218" s="1573" t="s">
        <v>1093</v>
      </c>
      <c r="B218" s="1578"/>
      <c r="C218" s="541"/>
      <c r="D218" s="541"/>
      <c r="E218" s="467"/>
      <c r="F218" s="541"/>
      <c r="G218" s="541"/>
      <c r="H218" s="467"/>
      <c r="I218" s="467"/>
      <c r="J218" s="467"/>
      <c r="K218" s="467"/>
    </row>
    <row r="219" spans="1:11" ht="12.75" customHeight="1" x14ac:dyDescent="0.2">
      <c r="A219" s="463" t="s">
        <v>787</v>
      </c>
      <c r="B219" s="469">
        <v>4770</v>
      </c>
      <c r="C219" s="1954">
        <v>0</v>
      </c>
      <c r="D219" s="1945">
        <v>0</v>
      </c>
      <c r="E219" s="467"/>
      <c r="F219" s="467"/>
      <c r="G219" s="1945">
        <v>0</v>
      </c>
      <c r="H219" s="467"/>
      <c r="I219" s="467"/>
      <c r="J219" s="467"/>
      <c r="K219" s="467"/>
    </row>
    <row r="220" spans="1:11" ht="12.75" customHeight="1" x14ac:dyDescent="0.2">
      <c r="A220" s="463" t="s">
        <v>67</v>
      </c>
      <c r="B220" s="469">
        <v>4799</v>
      </c>
      <c r="C220" s="1954">
        <v>0</v>
      </c>
      <c r="D220" s="1945">
        <v>0</v>
      </c>
      <c r="E220" s="467"/>
      <c r="F220" s="467"/>
      <c r="G220" s="1945">
        <v>0</v>
      </c>
      <c r="H220" s="467"/>
      <c r="I220" s="467"/>
      <c r="J220" s="467"/>
      <c r="K220" s="467"/>
    </row>
    <row r="221" spans="1:11" ht="12.75" customHeight="1" thickBot="1" x14ac:dyDescent="0.25">
      <c r="A221" s="1696" t="s">
        <v>1085</v>
      </c>
      <c r="B221" s="1697"/>
      <c r="C221" s="1680">
        <f>SUM(C219:C220)</f>
        <v>0</v>
      </c>
      <c r="D221" s="1680">
        <f>SUM(D219:D220)</f>
        <v>0</v>
      </c>
      <c r="E221" s="467"/>
      <c r="F221" s="467"/>
      <c r="G221" s="1680">
        <f>SUM(G219:G220)</f>
        <v>0</v>
      </c>
      <c r="H221" s="467"/>
      <c r="I221" s="467"/>
      <c r="J221" s="467"/>
      <c r="K221" s="467"/>
    </row>
    <row r="222" spans="1:11" ht="12.75" customHeight="1" thickTop="1" thickBot="1" x14ac:dyDescent="0.25">
      <c r="A222" s="486" t="s">
        <v>757</v>
      </c>
      <c r="B222" s="485">
        <v>4810</v>
      </c>
      <c r="C222" s="1956">
        <v>0</v>
      </c>
      <c r="D222" s="1957">
        <v>0</v>
      </c>
      <c r="E222" s="467"/>
      <c r="F222" s="467"/>
      <c r="G222" s="561">
        <v>0</v>
      </c>
      <c r="H222" s="467"/>
      <c r="I222" s="467"/>
      <c r="J222" s="467"/>
      <c r="K222" s="467"/>
    </row>
    <row r="223" spans="1:11" ht="12.75" customHeight="1" thickTop="1" x14ac:dyDescent="0.2">
      <c r="A223" s="486" t="s">
        <v>350</v>
      </c>
      <c r="B223" s="485">
        <v>4850</v>
      </c>
      <c r="C223" s="1949">
        <v>0</v>
      </c>
      <c r="D223" s="1946">
        <v>0</v>
      </c>
      <c r="E223" s="1946">
        <v>0</v>
      </c>
      <c r="F223" s="1946">
        <v>0</v>
      </c>
      <c r="G223" s="1946">
        <v>0</v>
      </c>
      <c r="H223" s="1946">
        <v>0</v>
      </c>
      <c r="I223" s="467"/>
      <c r="J223" s="1946">
        <v>0</v>
      </c>
      <c r="K223" s="1946">
        <v>0</v>
      </c>
    </row>
    <row r="224" spans="1:11" ht="12.75" customHeight="1" x14ac:dyDescent="0.2">
      <c r="A224" s="486" t="s">
        <v>351</v>
      </c>
      <c r="B224" s="485">
        <v>4851</v>
      </c>
      <c r="C224" s="1949">
        <v>0</v>
      </c>
      <c r="D224" s="1946">
        <v>0</v>
      </c>
      <c r="E224" s="467"/>
      <c r="F224" s="1947">
        <v>0</v>
      </c>
      <c r="G224" s="1946">
        <v>0</v>
      </c>
      <c r="H224" s="467"/>
      <c r="I224" s="467"/>
      <c r="J224" s="467"/>
      <c r="K224" s="467"/>
    </row>
    <row r="225" spans="1:11" ht="12.75" customHeight="1" x14ac:dyDescent="0.2">
      <c r="A225" s="486" t="s">
        <v>352</v>
      </c>
      <c r="B225" s="485">
        <v>4852</v>
      </c>
      <c r="C225" s="1949">
        <v>0</v>
      </c>
      <c r="D225" s="1946">
        <v>0</v>
      </c>
      <c r="E225" s="1946">
        <v>0</v>
      </c>
      <c r="F225" s="1946">
        <v>0</v>
      </c>
      <c r="G225" s="1946">
        <v>0</v>
      </c>
      <c r="H225" s="1946">
        <v>0</v>
      </c>
      <c r="I225" s="467"/>
      <c r="J225" s="1946">
        <v>0</v>
      </c>
      <c r="K225" s="1946">
        <v>0</v>
      </c>
    </row>
    <row r="226" spans="1:11" ht="12.75" customHeight="1" x14ac:dyDescent="0.2">
      <c r="A226" s="486" t="s">
        <v>353</v>
      </c>
      <c r="B226" s="485">
        <v>4853</v>
      </c>
      <c r="C226" s="1949">
        <v>0</v>
      </c>
      <c r="D226" s="1946">
        <v>0</v>
      </c>
      <c r="E226" s="1946">
        <v>0</v>
      </c>
      <c r="F226" s="1946">
        <v>0</v>
      </c>
      <c r="G226" s="1946">
        <v>0</v>
      </c>
      <c r="H226" s="1946">
        <v>0</v>
      </c>
      <c r="I226" s="467"/>
      <c r="J226" s="1946">
        <v>0</v>
      </c>
      <c r="K226" s="1946">
        <v>0</v>
      </c>
    </row>
    <row r="227" spans="1:11" ht="12.75" customHeight="1" x14ac:dyDescent="0.2">
      <c r="A227" s="486" t="s">
        <v>354</v>
      </c>
      <c r="B227" s="485">
        <v>4854</v>
      </c>
      <c r="C227" s="1949">
        <v>0</v>
      </c>
      <c r="D227" s="1946">
        <v>0</v>
      </c>
      <c r="E227" s="1946">
        <v>0</v>
      </c>
      <c r="F227" s="1946">
        <v>0</v>
      </c>
      <c r="G227" s="1946">
        <v>0</v>
      </c>
      <c r="H227" s="1946">
        <v>0</v>
      </c>
      <c r="I227" s="467"/>
      <c r="J227" s="1946">
        <v>0</v>
      </c>
      <c r="K227" s="1946">
        <v>0</v>
      </c>
    </row>
    <row r="228" spans="1:11" ht="12.75" customHeight="1" x14ac:dyDescent="0.2">
      <c r="A228" s="486" t="s">
        <v>464</v>
      </c>
      <c r="B228" s="485">
        <v>4855</v>
      </c>
      <c r="C228" s="1949">
        <v>0</v>
      </c>
      <c r="D228" s="1946">
        <v>0</v>
      </c>
      <c r="E228" s="1946">
        <v>0</v>
      </c>
      <c r="F228" s="1946">
        <v>0</v>
      </c>
      <c r="G228" s="1946">
        <v>0</v>
      </c>
      <c r="H228" s="1946">
        <v>0</v>
      </c>
      <c r="I228" s="467"/>
      <c r="J228" s="1946">
        <v>0</v>
      </c>
      <c r="K228" s="1946">
        <v>0</v>
      </c>
    </row>
    <row r="229" spans="1:11" ht="12.75" customHeight="1" x14ac:dyDescent="0.2">
      <c r="A229" s="486" t="s">
        <v>355</v>
      </c>
      <c r="B229" s="485">
        <v>4856</v>
      </c>
      <c r="C229" s="1949">
        <v>0</v>
      </c>
      <c r="D229" s="1946">
        <v>0</v>
      </c>
      <c r="E229" s="1946">
        <v>0</v>
      </c>
      <c r="F229" s="1946">
        <v>0</v>
      </c>
      <c r="G229" s="1946">
        <v>0</v>
      </c>
      <c r="H229" s="1946">
        <v>0</v>
      </c>
      <c r="I229" s="467"/>
      <c r="J229" s="1946">
        <v>0</v>
      </c>
      <c r="K229" s="1946">
        <v>0</v>
      </c>
    </row>
    <row r="230" spans="1:11" ht="12.75" customHeight="1" x14ac:dyDescent="0.2">
      <c r="A230" s="486" t="s">
        <v>356</v>
      </c>
      <c r="B230" s="485">
        <v>4857</v>
      </c>
      <c r="C230" s="1949">
        <v>0</v>
      </c>
      <c r="D230" s="1946">
        <v>0</v>
      </c>
      <c r="E230" s="1946">
        <v>0</v>
      </c>
      <c r="F230" s="1946">
        <v>0</v>
      </c>
      <c r="G230" s="1946">
        <v>0</v>
      </c>
      <c r="H230" s="1946">
        <v>0</v>
      </c>
      <c r="I230" s="467"/>
      <c r="J230" s="1946">
        <v>0</v>
      </c>
      <c r="K230" s="1946">
        <v>0</v>
      </c>
    </row>
    <row r="231" spans="1:11" ht="12.75" customHeight="1" x14ac:dyDescent="0.2">
      <c r="A231" s="486" t="s">
        <v>357</v>
      </c>
      <c r="B231" s="485">
        <v>4860</v>
      </c>
      <c r="C231" s="1949">
        <v>0</v>
      </c>
      <c r="D231" s="1946">
        <v>0</v>
      </c>
      <c r="E231" s="1946">
        <v>0</v>
      </c>
      <c r="F231" s="1946">
        <v>0</v>
      </c>
      <c r="G231" s="1946">
        <v>0</v>
      </c>
      <c r="H231" s="1946">
        <v>0</v>
      </c>
      <c r="I231" s="467"/>
      <c r="J231" s="1946">
        <v>0</v>
      </c>
      <c r="K231" s="1946">
        <v>0</v>
      </c>
    </row>
    <row r="232" spans="1:11" ht="12.75" customHeight="1" x14ac:dyDescent="0.2">
      <c r="A232" s="486" t="s">
        <v>358</v>
      </c>
      <c r="B232" s="485">
        <v>4861</v>
      </c>
      <c r="C232" s="1949">
        <v>0</v>
      </c>
      <c r="D232" s="1946">
        <v>0</v>
      </c>
      <c r="E232" s="1946">
        <v>0</v>
      </c>
      <c r="F232" s="1946">
        <v>0</v>
      </c>
      <c r="G232" s="1946">
        <v>0</v>
      </c>
      <c r="H232" s="1946">
        <v>0</v>
      </c>
      <c r="I232" s="467"/>
      <c r="J232" s="1946">
        <v>0</v>
      </c>
      <c r="K232" s="1946">
        <v>0</v>
      </c>
    </row>
    <row r="233" spans="1:11" ht="12.75" customHeight="1" x14ac:dyDescent="0.2">
      <c r="A233" s="486" t="s">
        <v>359</v>
      </c>
      <c r="B233" s="485">
        <v>4862</v>
      </c>
      <c r="C233" s="1949">
        <v>0</v>
      </c>
      <c r="D233" s="1946">
        <v>0</v>
      </c>
      <c r="E233" s="472"/>
      <c r="F233" s="1946">
        <v>0</v>
      </c>
      <c r="G233" s="1946">
        <v>0</v>
      </c>
      <c r="H233" s="472"/>
      <c r="I233" s="467"/>
      <c r="J233" s="472"/>
      <c r="K233" s="472"/>
    </row>
    <row r="234" spans="1:11" ht="12.75" customHeight="1" x14ac:dyDescent="0.2">
      <c r="A234" s="486" t="s">
        <v>360</v>
      </c>
      <c r="B234" s="485">
        <v>4863</v>
      </c>
      <c r="C234" s="1949">
        <v>0</v>
      </c>
      <c r="D234" s="1946">
        <v>0</v>
      </c>
      <c r="E234" s="467"/>
      <c r="F234" s="472"/>
      <c r="G234" s="519"/>
      <c r="H234" s="467"/>
      <c r="I234" s="467"/>
      <c r="J234" s="467"/>
      <c r="K234" s="467"/>
    </row>
    <row r="235" spans="1:11" ht="12.75" customHeight="1" x14ac:dyDescent="0.2">
      <c r="A235" s="486" t="s">
        <v>469</v>
      </c>
      <c r="B235" s="485">
        <v>4864</v>
      </c>
      <c r="C235" s="1949">
        <v>0</v>
      </c>
      <c r="D235" s="1946">
        <v>0</v>
      </c>
      <c r="E235" s="1946">
        <v>0</v>
      </c>
      <c r="F235" s="1946">
        <v>0</v>
      </c>
      <c r="G235" s="1946">
        <v>0</v>
      </c>
      <c r="H235" s="1946">
        <v>0</v>
      </c>
      <c r="I235" s="467"/>
      <c r="J235" s="1946">
        <v>0</v>
      </c>
      <c r="K235" s="1946">
        <v>0</v>
      </c>
    </row>
    <row r="236" spans="1:11" ht="12.75" customHeight="1" x14ac:dyDescent="0.2">
      <c r="A236" s="486" t="s">
        <v>470</v>
      </c>
      <c r="B236" s="485">
        <v>4865</v>
      </c>
      <c r="C236" s="1949">
        <v>0</v>
      </c>
      <c r="D236" s="1946">
        <v>0</v>
      </c>
      <c r="E236" s="1946">
        <v>0</v>
      </c>
      <c r="F236" s="1946">
        <v>0</v>
      </c>
      <c r="G236" s="1946">
        <v>0</v>
      </c>
      <c r="H236" s="1946">
        <v>0</v>
      </c>
      <c r="I236" s="467"/>
      <c r="J236" s="1946">
        <v>0</v>
      </c>
      <c r="K236" s="1946">
        <v>0</v>
      </c>
    </row>
    <row r="237" spans="1:11" ht="12.75" customHeight="1" x14ac:dyDescent="0.2">
      <c r="A237" s="486" t="s">
        <v>468</v>
      </c>
      <c r="B237" s="485">
        <v>4866</v>
      </c>
      <c r="C237" s="1949">
        <v>0</v>
      </c>
      <c r="D237" s="1946">
        <v>0</v>
      </c>
      <c r="E237" s="1946">
        <v>0</v>
      </c>
      <c r="F237" s="1946">
        <v>0</v>
      </c>
      <c r="G237" s="1946">
        <v>0</v>
      </c>
      <c r="H237" s="1946">
        <v>0</v>
      </c>
      <c r="I237" s="467"/>
      <c r="J237" s="1946">
        <v>0</v>
      </c>
      <c r="K237" s="1946">
        <v>0</v>
      </c>
    </row>
    <row r="238" spans="1:11" ht="12.75" customHeight="1" x14ac:dyDescent="0.2">
      <c r="A238" s="486" t="s">
        <v>467</v>
      </c>
      <c r="B238" s="485">
        <v>4867</v>
      </c>
      <c r="C238" s="1949">
        <v>0</v>
      </c>
      <c r="D238" s="1946">
        <v>0</v>
      </c>
      <c r="E238" s="1946">
        <v>0</v>
      </c>
      <c r="F238" s="1946">
        <v>0</v>
      </c>
      <c r="G238" s="1946">
        <v>0</v>
      </c>
      <c r="H238" s="1946">
        <v>0</v>
      </c>
      <c r="I238" s="467"/>
      <c r="J238" s="1946">
        <v>0</v>
      </c>
      <c r="K238" s="1946">
        <v>0</v>
      </c>
    </row>
    <row r="239" spans="1:11" ht="12.75" customHeight="1" x14ac:dyDescent="0.2">
      <c r="A239" s="486" t="s">
        <v>466</v>
      </c>
      <c r="B239" s="485">
        <v>4868</v>
      </c>
      <c r="C239" s="1949">
        <v>0</v>
      </c>
      <c r="D239" s="1946">
        <v>0</v>
      </c>
      <c r="E239" s="1946">
        <v>0</v>
      </c>
      <c r="F239" s="1946">
        <v>0</v>
      </c>
      <c r="G239" s="1946">
        <v>0</v>
      </c>
      <c r="H239" s="1946">
        <v>0</v>
      </c>
      <c r="I239" s="467"/>
      <c r="J239" s="1946">
        <v>0</v>
      </c>
      <c r="K239" s="1946">
        <v>0</v>
      </c>
    </row>
    <row r="240" spans="1:11" ht="12.75" customHeight="1" x14ac:dyDescent="0.2">
      <c r="A240" s="486" t="s">
        <v>465</v>
      </c>
      <c r="B240" s="485">
        <v>4869</v>
      </c>
      <c r="C240" s="1949">
        <v>0</v>
      </c>
      <c r="D240" s="1946">
        <v>0</v>
      </c>
      <c r="E240" s="1946">
        <v>0</v>
      </c>
      <c r="F240" s="1946">
        <v>0</v>
      </c>
      <c r="G240" s="1946">
        <v>0</v>
      </c>
      <c r="H240" s="1946">
        <v>0</v>
      </c>
      <c r="I240" s="467"/>
      <c r="J240" s="1946">
        <v>0</v>
      </c>
      <c r="K240" s="1946">
        <v>0</v>
      </c>
    </row>
    <row r="241" spans="1:11" ht="12.75" customHeight="1" x14ac:dyDescent="0.2">
      <c r="A241" s="486" t="s">
        <v>1128</v>
      </c>
      <c r="B241" s="485">
        <v>4870</v>
      </c>
      <c r="C241" s="1949">
        <v>0</v>
      </c>
      <c r="D241" s="1946">
        <v>0</v>
      </c>
      <c r="E241" s="1946">
        <v>0</v>
      </c>
      <c r="F241" s="1946">
        <v>0</v>
      </c>
      <c r="G241" s="1946">
        <v>0</v>
      </c>
      <c r="H241" s="1946">
        <v>0</v>
      </c>
      <c r="I241" s="467"/>
      <c r="J241" s="1946">
        <v>0</v>
      </c>
      <c r="K241" s="1946">
        <v>0</v>
      </c>
    </row>
    <row r="242" spans="1:11" ht="12.75" customHeight="1" x14ac:dyDescent="0.2">
      <c r="A242" s="486" t="s">
        <v>788</v>
      </c>
      <c r="B242" s="485">
        <v>4871</v>
      </c>
      <c r="C242" s="1949">
        <v>0</v>
      </c>
      <c r="D242" s="1946">
        <v>0</v>
      </c>
      <c r="E242" s="1946">
        <v>0</v>
      </c>
      <c r="F242" s="1946">
        <v>0</v>
      </c>
      <c r="G242" s="1946">
        <v>0</v>
      </c>
      <c r="H242" s="1946">
        <v>0</v>
      </c>
      <c r="I242" s="467"/>
      <c r="J242" s="1946">
        <v>0</v>
      </c>
      <c r="K242" s="1946">
        <v>0</v>
      </c>
    </row>
    <row r="243" spans="1:11" ht="12.75" customHeight="1" x14ac:dyDescent="0.2">
      <c r="A243" s="486" t="s">
        <v>789</v>
      </c>
      <c r="B243" s="485">
        <v>4872</v>
      </c>
      <c r="C243" s="1949">
        <v>0</v>
      </c>
      <c r="D243" s="1946">
        <v>0</v>
      </c>
      <c r="E243" s="1946">
        <v>0</v>
      </c>
      <c r="F243" s="1946">
        <v>0</v>
      </c>
      <c r="G243" s="1946">
        <v>0</v>
      </c>
      <c r="H243" s="1946">
        <v>0</v>
      </c>
      <c r="I243" s="467"/>
      <c r="J243" s="1946">
        <v>0</v>
      </c>
      <c r="K243" s="1946">
        <v>0</v>
      </c>
    </row>
    <row r="244" spans="1:11" ht="12.75" customHeight="1" x14ac:dyDescent="0.2">
      <c r="A244" s="486" t="s">
        <v>790</v>
      </c>
      <c r="B244" s="485">
        <v>4873</v>
      </c>
      <c r="C244" s="1949">
        <v>0</v>
      </c>
      <c r="D244" s="1946">
        <v>0</v>
      </c>
      <c r="E244" s="1946">
        <v>0</v>
      </c>
      <c r="F244" s="1946">
        <v>0</v>
      </c>
      <c r="G244" s="1946">
        <v>0</v>
      </c>
      <c r="H244" s="1946">
        <v>0</v>
      </c>
      <c r="I244" s="467"/>
      <c r="J244" s="1946">
        <v>0</v>
      </c>
      <c r="K244" s="1946">
        <v>0</v>
      </c>
    </row>
    <row r="245" spans="1:11" ht="12.75" customHeight="1" x14ac:dyDescent="0.2">
      <c r="A245" s="486" t="s">
        <v>791</v>
      </c>
      <c r="B245" s="485">
        <v>4874</v>
      </c>
      <c r="C245" s="1949">
        <v>0</v>
      </c>
      <c r="D245" s="1946">
        <v>0</v>
      </c>
      <c r="E245" s="1946">
        <v>0</v>
      </c>
      <c r="F245" s="1946">
        <v>0</v>
      </c>
      <c r="G245" s="1946">
        <v>0</v>
      </c>
      <c r="H245" s="1946">
        <v>0</v>
      </c>
      <c r="I245" s="467"/>
      <c r="J245" s="1946">
        <v>0</v>
      </c>
      <c r="K245" s="1946">
        <v>0</v>
      </c>
    </row>
    <row r="246" spans="1:11" ht="12.75" customHeight="1" x14ac:dyDescent="0.2">
      <c r="A246" s="486" t="s">
        <v>471</v>
      </c>
      <c r="B246" s="485">
        <v>4875</v>
      </c>
      <c r="C246" s="1949">
        <v>0</v>
      </c>
      <c r="D246" s="1946">
        <v>0</v>
      </c>
      <c r="E246" s="1946">
        <v>0</v>
      </c>
      <c r="F246" s="1946">
        <v>0</v>
      </c>
      <c r="G246" s="1946">
        <v>0</v>
      </c>
      <c r="H246" s="1946">
        <v>0</v>
      </c>
      <c r="I246" s="467"/>
      <c r="J246" s="1946">
        <v>0</v>
      </c>
      <c r="K246" s="1946">
        <v>0</v>
      </c>
    </row>
    <row r="247" spans="1:11" ht="12.75" customHeight="1" x14ac:dyDescent="0.2">
      <c r="A247" s="486" t="s">
        <v>770</v>
      </c>
      <c r="B247" s="485">
        <v>4876</v>
      </c>
      <c r="C247" s="1949">
        <v>0</v>
      </c>
      <c r="D247" s="1946">
        <v>0</v>
      </c>
      <c r="E247" s="1946">
        <v>0</v>
      </c>
      <c r="F247" s="1946">
        <v>0</v>
      </c>
      <c r="G247" s="1946">
        <v>0</v>
      </c>
      <c r="H247" s="1946">
        <v>0</v>
      </c>
      <c r="I247" s="467"/>
      <c r="J247" s="1946">
        <v>0</v>
      </c>
      <c r="K247" s="1946">
        <v>0</v>
      </c>
    </row>
    <row r="248" spans="1:11" ht="12.75" customHeight="1" x14ac:dyDescent="0.2">
      <c r="A248" s="486" t="s">
        <v>771</v>
      </c>
      <c r="B248" s="485">
        <v>4877</v>
      </c>
      <c r="C248" s="1949">
        <v>0</v>
      </c>
      <c r="D248" s="1946">
        <v>0</v>
      </c>
      <c r="E248" s="1946">
        <v>0</v>
      </c>
      <c r="F248" s="1946">
        <v>0</v>
      </c>
      <c r="G248" s="1946">
        <v>0</v>
      </c>
      <c r="H248" s="1946">
        <v>0</v>
      </c>
      <c r="I248" s="467"/>
      <c r="J248" s="1946">
        <v>0</v>
      </c>
      <c r="K248" s="1946">
        <v>0</v>
      </c>
    </row>
    <row r="249" spans="1:11" ht="12.75" customHeight="1" x14ac:dyDescent="0.2">
      <c r="A249" s="486" t="s">
        <v>772</v>
      </c>
      <c r="B249" s="485">
        <v>4878</v>
      </c>
      <c r="C249" s="1949">
        <v>0</v>
      </c>
      <c r="D249" s="1946">
        <v>0</v>
      </c>
      <c r="E249" s="1946">
        <v>0</v>
      </c>
      <c r="F249" s="1946">
        <v>0</v>
      </c>
      <c r="G249" s="1946">
        <v>0</v>
      </c>
      <c r="H249" s="1946">
        <v>0</v>
      </c>
      <c r="I249" s="467"/>
      <c r="J249" s="1946">
        <v>0</v>
      </c>
      <c r="K249" s="1946">
        <v>0</v>
      </c>
    </row>
    <row r="250" spans="1:11" ht="12.75" customHeight="1" x14ac:dyDescent="0.2">
      <c r="A250" s="486" t="s">
        <v>773</v>
      </c>
      <c r="B250" s="485">
        <v>4879</v>
      </c>
      <c r="C250" s="1949">
        <v>0</v>
      </c>
      <c r="D250" s="1946">
        <v>0</v>
      </c>
      <c r="E250" s="1946">
        <v>0</v>
      </c>
      <c r="F250" s="1946">
        <v>0</v>
      </c>
      <c r="G250" s="1946">
        <v>0</v>
      </c>
      <c r="H250" s="1946">
        <v>0</v>
      </c>
      <c r="I250" s="467"/>
      <c r="J250" s="1946">
        <v>0</v>
      </c>
      <c r="K250" s="1946">
        <v>0</v>
      </c>
    </row>
    <row r="251" spans="1:11" ht="12.75" customHeight="1" x14ac:dyDescent="0.2">
      <c r="A251" s="225" t="s">
        <v>1455</v>
      </c>
      <c r="B251" s="567">
        <v>4880</v>
      </c>
      <c r="C251" s="1949">
        <v>0</v>
      </c>
      <c r="D251" s="1946">
        <v>0</v>
      </c>
      <c r="E251" s="1946">
        <v>0</v>
      </c>
      <c r="F251" s="1946">
        <v>0</v>
      </c>
      <c r="G251" s="1946">
        <v>0</v>
      </c>
      <c r="H251" s="1946">
        <v>0</v>
      </c>
      <c r="I251" s="467"/>
      <c r="J251" s="1946">
        <v>0</v>
      </c>
      <c r="K251" s="1946">
        <v>0</v>
      </c>
    </row>
    <row r="252" spans="1:11" ht="12.75" customHeight="1" thickBot="1" x14ac:dyDescent="0.25">
      <c r="A252" s="1698" t="s">
        <v>774</v>
      </c>
      <c r="B252" s="1699"/>
      <c r="C252" s="1691">
        <f t="shared" ref="C252:H252" si="9">SUM(C223:C251)</f>
        <v>0</v>
      </c>
      <c r="D252" s="1680">
        <f t="shared" si="9"/>
        <v>0</v>
      </c>
      <c r="E252" s="1680">
        <f t="shared" si="9"/>
        <v>0</v>
      </c>
      <c r="F252" s="1680">
        <f t="shared" si="9"/>
        <v>0</v>
      </c>
      <c r="G252" s="1680">
        <f t="shared" si="9"/>
        <v>0</v>
      </c>
      <c r="H252" s="1680">
        <f t="shared" si="9"/>
        <v>0</v>
      </c>
      <c r="I252" s="541"/>
      <c r="J252" s="1680">
        <f>SUM(J223:J251)</f>
        <v>0</v>
      </c>
      <c r="K252" s="1661">
        <f>SUM(K223:K251)</f>
        <v>0</v>
      </c>
    </row>
    <row r="253" spans="1:11" ht="12.75" customHeight="1" thickTop="1" thickBot="1" x14ac:dyDescent="0.25">
      <c r="A253" s="1475" t="s">
        <v>1421</v>
      </c>
      <c r="B253" s="568">
        <v>4901</v>
      </c>
      <c r="C253" s="1965">
        <v>0</v>
      </c>
      <c r="D253" s="468"/>
      <c r="E253" s="467"/>
      <c r="F253" s="467"/>
      <c r="G253" s="467"/>
      <c r="H253" s="467"/>
      <c r="I253" s="467"/>
      <c r="J253" s="467"/>
      <c r="K253" s="467"/>
    </row>
    <row r="254" spans="1:11" ht="12.75" customHeight="1" thickTop="1" thickBot="1" x14ac:dyDescent="0.25">
      <c r="A254" s="1476" t="s">
        <v>1463</v>
      </c>
      <c r="B254" s="569">
        <v>4902</v>
      </c>
      <c r="C254" s="1966">
        <v>0</v>
      </c>
      <c r="D254" s="1982">
        <v>0</v>
      </c>
      <c r="E254" s="468"/>
      <c r="F254" s="1982">
        <v>0</v>
      </c>
      <c r="G254" s="1982">
        <v>0</v>
      </c>
      <c r="H254" s="468"/>
      <c r="I254" s="467"/>
      <c r="J254" s="468"/>
      <c r="K254" s="468"/>
    </row>
    <row r="255" spans="1:11" ht="12.75" customHeight="1" thickTop="1" thickBot="1" x14ac:dyDescent="0.25">
      <c r="A255" s="463" t="s">
        <v>1456</v>
      </c>
      <c r="B255" s="469">
        <v>4905</v>
      </c>
      <c r="C255" s="1955">
        <v>0</v>
      </c>
      <c r="D255" s="467"/>
      <c r="E255" s="467"/>
      <c r="F255" s="1981">
        <v>0</v>
      </c>
      <c r="G255" s="1978">
        <v>0</v>
      </c>
      <c r="H255" s="467"/>
      <c r="I255" s="467"/>
      <c r="J255" s="467"/>
      <c r="K255" s="467"/>
    </row>
    <row r="256" spans="1:11" ht="12.75" customHeight="1" thickTop="1" thickBot="1" x14ac:dyDescent="0.25">
      <c r="A256" s="463" t="s">
        <v>1457</v>
      </c>
      <c r="B256" s="469">
        <v>4909</v>
      </c>
      <c r="C256" s="1957">
        <v>0</v>
      </c>
      <c r="D256" s="467"/>
      <c r="E256" s="467"/>
      <c r="F256" s="1980">
        <v>0</v>
      </c>
      <c r="G256" s="1980">
        <v>0</v>
      </c>
      <c r="H256" s="467"/>
      <c r="I256" s="467"/>
      <c r="J256" s="467"/>
      <c r="K256" s="467"/>
    </row>
    <row r="257" spans="1:11" ht="12.75" customHeight="1" thickTop="1" thickBot="1" x14ac:dyDescent="0.25">
      <c r="A257" s="463" t="s">
        <v>193</v>
      </c>
      <c r="B257" s="469">
        <v>4920</v>
      </c>
      <c r="C257" s="1957">
        <v>0</v>
      </c>
      <c r="D257" s="1981">
        <v>0</v>
      </c>
      <c r="E257" s="467"/>
      <c r="F257" s="1978">
        <v>0</v>
      </c>
      <c r="G257" s="1978">
        <v>0</v>
      </c>
      <c r="H257" s="467"/>
      <c r="I257" s="467"/>
      <c r="J257" s="467"/>
      <c r="K257" s="467"/>
    </row>
    <row r="258" spans="1:11" ht="12.75" customHeight="1" thickTop="1" thickBot="1" x14ac:dyDescent="0.25">
      <c r="A258" s="463" t="s">
        <v>421</v>
      </c>
      <c r="B258" s="469">
        <v>4930</v>
      </c>
      <c r="C258" s="1957">
        <v>0</v>
      </c>
      <c r="D258" s="1980">
        <v>0</v>
      </c>
      <c r="E258" s="467"/>
      <c r="F258" s="1980">
        <v>0</v>
      </c>
      <c r="G258" s="1980">
        <v>0</v>
      </c>
      <c r="H258" s="467"/>
      <c r="I258" s="467"/>
      <c r="J258" s="467"/>
      <c r="K258" s="467"/>
    </row>
    <row r="259" spans="1:11" ht="12.75" customHeight="1" thickTop="1" thickBot="1" x14ac:dyDescent="0.25">
      <c r="A259" s="463" t="s">
        <v>758</v>
      </c>
      <c r="B259" s="469">
        <v>4932</v>
      </c>
      <c r="C259" s="1957">
        <v>9430</v>
      </c>
      <c r="D259" s="1980">
        <v>0</v>
      </c>
      <c r="E259" s="467"/>
      <c r="F259" s="1980">
        <v>0</v>
      </c>
      <c r="G259" s="1980">
        <v>0</v>
      </c>
      <c r="H259" s="467"/>
      <c r="I259" s="467"/>
      <c r="J259" s="467"/>
      <c r="K259" s="467"/>
    </row>
    <row r="260" spans="1:11" ht="12.75" customHeight="1" thickTop="1" thickBot="1" x14ac:dyDescent="0.25">
      <c r="A260" s="463" t="s">
        <v>890</v>
      </c>
      <c r="B260" s="469">
        <v>4960</v>
      </c>
      <c r="C260" s="1956">
        <v>0</v>
      </c>
      <c r="D260" s="1980">
        <v>0</v>
      </c>
      <c r="E260" s="467"/>
      <c r="F260" s="1980">
        <v>0</v>
      </c>
      <c r="G260" s="1980">
        <v>0</v>
      </c>
      <c r="H260" s="467"/>
      <c r="I260" s="467"/>
      <c r="J260" s="467"/>
      <c r="K260" s="467"/>
    </row>
    <row r="261" spans="1:11" ht="12.75" customHeight="1" thickTop="1" thickBot="1" x14ac:dyDescent="0.25">
      <c r="A261" s="1903" t="s">
        <v>1937</v>
      </c>
      <c r="B261" s="469">
        <v>4981</v>
      </c>
      <c r="C261" s="1986">
        <v>0</v>
      </c>
      <c r="D261" s="1987">
        <v>0</v>
      </c>
      <c r="E261" s="467"/>
      <c r="F261" s="1987">
        <v>0</v>
      </c>
      <c r="G261" s="1987">
        <v>0</v>
      </c>
      <c r="H261" s="467"/>
      <c r="I261" s="467"/>
      <c r="J261" s="467"/>
      <c r="K261" s="467"/>
    </row>
    <row r="262" spans="1:11" ht="12.75" customHeight="1" thickTop="1" thickBot="1" x14ac:dyDescent="0.25">
      <c r="A262" s="1904" t="s">
        <v>1938</v>
      </c>
      <c r="B262" s="469">
        <v>4982</v>
      </c>
      <c r="C262" s="1986">
        <v>0</v>
      </c>
      <c r="D262" s="1987">
        <v>0</v>
      </c>
      <c r="E262" s="467"/>
      <c r="F262" s="1987">
        <v>0</v>
      </c>
      <c r="G262" s="1987">
        <v>0</v>
      </c>
      <c r="H262" s="467"/>
      <c r="I262" s="467"/>
      <c r="J262" s="467"/>
      <c r="K262" s="467"/>
    </row>
    <row r="263" spans="1:11" ht="12.75" customHeight="1" thickTop="1" thickBot="1" x14ac:dyDescent="0.25">
      <c r="A263" s="463" t="s">
        <v>568</v>
      </c>
      <c r="B263" s="469">
        <v>4991</v>
      </c>
      <c r="C263" s="1979">
        <v>4993</v>
      </c>
      <c r="D263" s="1980">
        <v>0</v>
      </c>
      <c r="E263" s="467"/>
      <c r="F263" s="1980">
        <v>0</v>
      </c>
      <c r="G263" s="1980">
        <v>0</v>
      </c>
      <c r="H263" s="467"/>
      <c r="I263" s="467"/>
      <c r="J263" s="467"/>
      <c r="K263" s="467"/>
    </row>
    <row r="264" spans="1:11" ht="12.75" customHeight="1" thickTop="1" thickBot="1" x14ac:dyDescent="0.25">
      <c r="A264" s="463" t="s">
        <v>377</v>
      </c>
      <c r="B264" s="469">
        <v>4992</v>
      </c>
      <c r="C264" s="1979">
        <v>9694</v>
      </c>
      <c r="D264" s="1980">
        <v>0</v>
      </c>
      <c r="E264" s="467"/>
      <c r="F264" s="1980">
        <v>0</v>
      </c>
      <c r="G264" s="1980">
        <v>0</v>
      </c>
      <c r="H264" s="467"/>
      <c r="I264" s="467"/>
      <c r="J264" s="467"/>
      <c r="K264" s="467"/>
    </row>
    <row r="265" spans="1:11" s="570" customFormat="1" ht="12.75" customHeight="1" thickTop="1" thickBot="1" x14ac:dyDescent="0.25">
      <c r="A265" s="551" t="s">
        <v>75</v>
      </c>
      <c r="B265" s="545">
        <v>4999</v>
      </c>
      <c r="C265" s="1979">
        <v>0</v>
      </c>
      <c r="D265" s="1980">
        <v>0</v>
      </c>
      <c r="E265" s="467"/>
      <c r="F265" s="1980">
        <v>0</v>
      </c>
      <c r="G265" s="1980">
        <v>0</v>
      </c>
      <c r="H265" s="1974">
        <v>0</v>
      </c>
      <c r="I265" s="467"/>
      <c r="J265" s="467"/>
      <c r="K265" s="1974">
        <v>0</v>
      </c>
    </row>
    <row r="266" spans="1:11" ht="14.25" thickTop="1" thickBot="1" x14ac:dyDescent="0.25">
      <c r="A266" s="1681" t="s">
        <v>1666</v>
      </c>
      <c r="B266" s="1700"/>
      <c r="C266" s="1688">
        <f t="shared" ref="C266:H266" si="10">SUM(C188,C198,C204,C209,C217,C221,C222,C252:C265)</f>
        <v>181452</v>
      </c>
      <c r="D266" s="1688">
        <f t="shared" si="10"/>
        <v>0</v>
      </c>
      <c r="E266" s="1688">
        <f t="shared" si="10"/>
        <v>0</v>
      </c>
      <c r="F266" s="1688">
        <f t="shared" si="10"/>
        <v>0</v>
      </c>
      <c r="G266" s="1688">
        <f t="shared" si="10"/>
        <v>0</v>
      </c>
      <c r="H266" s="1688">
        <f t="shared" si="10"/>
        <v>0</v>
      </c>
      <c r="I266" s="467"/>
      <c r="J266" s="1688">
        <f>SUM(J188,J198,J204,J209,J217,J221,J222,J252:J265)</f>
        <v>0</v>
      </c>
      <c r="K266" s="1675">
        <f>SUM(K188,K198,K204,K209,K217,K221,K222,K252:K265)</f>
        <v>0</v>
      </c>
    </row>
    <row r="267" spans="1:11" ht="14.25" thickTop="1" thickBot="1" x14ac:dyDescent="0.25">
      <c r="A267" s="1701" t="s">
        <v>1086</v>
      </c>
      <c r="B267" s="1702" t="s">
        <v>860</v>
      </c>
      <c r="C267" s="1688">
        <f>SUM(C175,C181,C266)</f>
        <v>212909</v>
      </c>
      <c r="D267" s="1688">
        <f>SUM(D175,D181,D266)</f>
        <v>0</v>
      </c>
      <c r="E267" s="1688">
        <f>SUM(E175,E266)</f>
        <v>0</v>
      </c>
      <c r="F267" s="1688">
        <f t="shared" ref="F267:K267" si="11">SUM(F175,F181,F266)</f>
        <v>0</v>
      </c>
      <c r="G267" s="1688">
        <f t="shared" si="11"/>
        <v>0</v>
      </c>
      <c r="H267" s="1688">
        <f t="shared" si="11"/>
        <v>0</v>
      </c>
      <c r="I267" s="1688">
        <f t="shared" si="11"/>
        <v>0</v>
      </c>
      <c r="J267" s="1688">
        <f t="shared" si="11"/>
        <v>0</v>
      </c>
      <c r="K267" s="1675">
        <f t="shared" si="11"/>
        <v>0</v>
      </c>
    </row>
    <row r="268" spans="1:11" ht="14.25" thickTop="1" thickBot="1" x14ac:dyDescent="0.25">
      <c r="A268" s="1703" t="s">
        <v>251</v>
      </c>
      <c r="B268" s="1704"/>
      <c r="C268" s="1688">
        <f t="shared" ref="C268:K268" si="12">SUM(C109,C114,C170,C267)</f>
        <v>3852494</v>
      </c>
      <c r="D268" s="1688">
        <f t="shared" si="12"/>
        <v>597632</v>
      </c>
      <c r="E268" s="1688">
        <f t="shared" si="12"/>
        <v>0</v>
      </c>
      <c r="F268" s="1688">
        <f t="shared" si="12"/>
        <v>194771</v>
      </c>
      <c r="G268" s="1688">
        <f t="shared" si="12"/>
        <v>153338</v>
      </c>
      <c r="H268" s="1688">
        <f t="shared" si="12"/>
        <v>3323</v>
      </c>
      <c r="I268" s="1688">
        <f t="shared" si="12"/>
        <v>16713</v>
      </c>
      <c r="J268" s="1688">
        <f t="shared" si="12"/>
        <v>49132</v>
      </c>
      <c r="K268" s="1675">
        <f t="shared" si="12"/>
        <v>0</v>
      </c>
    </row>
    <row r="269" spans="1:11" ht="13.5" thickTop="1" x14ac:dyDescent="0.2">
      <c r="C269" s="573"/>
      <c r="D269" s="573"/>
      <c r="E269" s="573"/>
      <c r="F269" s="573"/>
      <c r="G269" s="573"/>
      <c r="H269" s="573"/>
      <c r="I269" s="573"/>
      <c r="J269" s="573"/>
      <c r="K269" s="573"/>
    </row>
    <row r="270" spans="1:11" x14ac:dyDescent="0.2">
      <c r="C270" s="573"/>
      <c r="D270" s="573"/>
      <c r="E270" s="573"/>
      <c r="F270" s="573"/>
      <c r="G270" s="573"/>
      <c r="H270" s="573"/>
      <c r="I270" s="573"/>
      <c r="J270" s="573"/>
      <c r="K270" s="573"/>
    </row>
    <row r="271" spans="1:11" x14ac:dyDescent="0.2">
      <c r="C271" s="573"/>
      <c r="D271" s="573"/>
      <c r="E271" s="573"/>
      <c r="F271" s="573"/>
      <c r="G271" s="573"/>
      <c r="H271" s="573"/>
      <c r="I271" s="573"/>
      <c r="J271" s="573"/>
      <c r="K271" s="573"/>
    </row>
    <row r="272" spans="1:11" x14ac:dyDescent="0.2">
      <c r="C272" s="573"/>
      <c r="D272" s="573"/>
      <c r="E272" s="573"/>
      <c r="F272" s="573"/>
      <c r="G272" s="573"/>
      <c r="H272" s="573"/>
      <c r="I272" s="573"/>
      <c r="J272" s="573"/>
      <c r="K272" s="573"/>
    </row>
    <row r="273" spans="1:11" x14ac:dyDescent="0.2">
      <c r="C273" s="573"/>
      <c r="D273" s="573"/>
      <c r="E273" s="573"/>
      <c r="F273" s="573"/>
      <c r="G273" s="573"/>
      <c r="H273" s="573"/>
      <c r="I273" s="573"/>
      <c r="J273" s="573"/>
      <c r="K273" s="573"/>
    </row>
    <row r="274" spans="1:11" x14ac:dyDescent="0.2">
      <c r="C274" s="573"/>
      <c r="D274" s="573"/>
      <c r="E274" s="573"/>
      <c r="F274" s="573"/>
      <c r="G274" s="573"/>
      <c r="H274" s="573"/>
      <c r="I274" s="573"/>
      <c r="J274" s="573"/>
      <c r="K274" s="573"/>
    </row>
    <row r="275" spans="1:11" s="329" customFormat="1" x14ac:dyDescent="0.2">
      <c r="A275" s="571"/>
      <c r="B275" s="572"/>
      <c r="C275" s="573"/>
      <c r="D275" s="573"/>
      <c r="E275" s="573"/>
      <c r="F275" s="573"/>
      <c r="G275" s="573"/>
      <c r="H275" s="573"/>
      <c r="I275" s="573"/>
      <c r="J275" s="573"/>
      <c r="K275" s="573"/>
    </row>
    <row r="276" spans="1:11" s="329" customFormat="1" x14ac:dyDescent="0.2">
      <c r="A276" s="571"/>
    </row>
    <row r="277" spans="1:11" s="329" customFormat="1" x14ac:dyDescent="0.2">
      <c r="A277" s="574"/>
    </row>
    <row r="278" spans="1:11" s="329" customFormat="1" x14ac:dyDescent="0.2">
      <c r="A278" s="574"/>
    </row>
    <row r="279" spans="1:11" s="329" customFormat="1" x14ac:dyDescent="0.2">
      <c r="A279" s="574"/>
    </row>
  </sheetData>
  <sheetProtection password="F60E" sheet="1" objects="1" scenarios="1"/>
  <mergeCells count="7">
    <mergeCell ref="A1:A2"/>
    <mergeCell ref="A169:B169"/>
    <mergeCell ref="A172:B172"/>
    <mergeCell ref="A182:B182"/>
    <mergeCell ref="A175:B175"/>
    <mergeCell ref="A181:B181"/>
    <mergeCell ref="A176:B176"/>
  </mergeCells>
  <phoneticPr fontId="20" type="noConversion"/>
  <printOptions headings="1" gridLines="1"/>
  <pageMargins left="0.25" right="0.15" top="0.66" bottom="0.46" header="0.26" footer="0.17"/>
  <pageSetup scale="70"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N368"/>
  <sheetViews>
    <sheetView showGridLines="0" defaultGridColor="0" colorId="8" zoomScaleNormal="100" workbookViewId="0">
      <pane ySplit="2" topLeftCell="A348" activePane="bottomLeft" state="frozen"/>
      <selection activeCell="AF22" sqref="AF22"/>
      <selection pane="bottomLeft" activeCell="C128" sqref="C128:J128"/>
    </sheetView>
  </sheetViews>
  <sheetFormatPr defaultColWidth="9.140625" defaultRowHeight="12.75" x14ac:dyDescent="0.2"/>
  <cols>
    <col min="1" max="1" width="48.5703125" style="682" customWidth="1"/>
    <col min="2" max="2" width="5" style="683" customWidth="1"/>
    <col min="3" max="8" width="13.28515625" style="586" customWidth="1"/>
    <col min="9" max="10" width="13.28515625" style="343" customWidth="1"/>
    <col min="11" max="11" width="13.28515625" style="684" customWidth="1"/>
    <col min="12" max="12" width="11.85546875" style="343" customWidth="1"/>
    <col min="13" max="13" width="1.5703125" style="210" customWidth="1"/>
    <col min="14" max="14" width="9.140625" style="210"/>
    <col min="15" max="16384" width="9.140625" style="329"/>
  </cols>
  <sheetData>
    <row r="1" spans="1:14" x14ac:dyDescent="0.2">
      <c r="A1" s="2196" t="s">
        <v>1802</v>
      </c>
      <c r="B1" s="579"/>
      <c r="C1" s="580" t="s">
        <v>775</v>
      </c>
      <c r="D1" s="580" t="s">
        <v>1078</v>
      </c>
      <c r="E1" s="580" t="s">
        <v>1079</v>
      </c>
      <c r="F1" s="580" t="s">
        <v>1080</v>
      </c>
      <c r="G1" s="580" t="s">
        <v>1081</v>
      </c>
      <c r="H1" s="580" t="s">
        <v>1082</v>
      </c>
      <c r="I1" s="580" t="s">
        <v>1083</v>
      </c>
      <c r="J1" s="580" t="s">
        <v>1084</v>
      </c>
      <c r="K1" s="580" t="s">
        <v>252</v>
      </c>
      <c r="L1" s="581"/>
    </row>
    <row r="2" spans="1:14" s="585" customFormat="1" ht="28.5" customHeight="1" x14ac:dyDescent="0.2">
      <c r="A2" s="2230"/>
      <c r="B2" s="582" t="s">
        <v>45</v>
      </c>
      <c r="C2" s="583" t="s">
        <v>194</v>
      </c>
      <c r="D2" s="584" t="s">
        <v>49</v>
      </c>
      <c r="E2" s="584" t="s">
        <v>1100</v>
      </c>
      <c r="F2" s="584" t="s">
        <v>1094</v>
      </c>
      <c r="G2" s="583" t="s">
        <v>1095</v>
      </c>
      <c r="H2" s="583" t="s">
        <v>1096</v>
      </c>
      <c r="I2" s="584" t="s">
        <v>291</v>
      </c>
      <c r="J2" s="584" t="s">
        <v>292</v>
      </c>
      <c r="K2" s="583" t="s">
        <v>156</v>
      </c>
      <c r="L2" s="583" t="s">
        <v>30</v>
      </c>
      <c r="M2" s="257"/>
      <c r="N2" s="257"/>
    </row>
    <row r="3" spans="1:14" s="343" customFormat="1" ht="16.7" customHeight="1" x14ac:dyDescent="0.2">
      <c r="A3" s="2236" t="s">
        <v>297</v>
      </c>
      <c r="B3" s="2237"/>
      <c r="C3" s="1521"/>
      <c r="D3" s="1521"/>
      <c r="E3" s="1521"/>
      <c r="F3" s="1521"/>
      <c r="G3" s="1521"/>
      <c r="H3" s="1521"/>
      <c r="I3" s="1521"/>
      <c r="J3" s="1521"/>
      <c r="K3" s="1522"/>
      <c r="L3" s="1523"/>
      <c r="M3" s="586"/>
      <c r="N3" s="586"/>
    </row>
    <row r="4" spans="1:14" s="259" customFormat="1" ht="15.75" customHeight="1" x14ac:dyDescent="0.2">
      <c r="A4" s="1579" t="s">
        <v>44</v>
      </c>
      <c r="B4" s="1580" t="s">
        <v>570</v>
      </c>
      <c r="C4" s="587"/>
      <c r="D4" s="587"/>
      <c r="E4" s="587"/>
      <c r="F4" s="587"/>
      <c r="G4" s="587"/>
      <c r="H4" s="587"/>
      <c r="I4" s="588"/>
      <c r="J4" s="587"/>
      <c r="K4" s="589"/>
      <c r="L4" s="587"/>
      <c r="M4" s="590"/>
      <c r="N4" s="590"/>
    </row>
    <row r="5" spans="1:14" x14ac:dyDescent="0.2">
      <c r="A5" s="1477" t="s">
        <v>961</v>
      </c>
      <c r="B5" s="591">
        <v>1100</v>
      </c>
      <c r="C5" s="1967">
        <v>1527717</v>
      </c>
      <c r="D5" s="1967">
        <v>420080</v>
      </c>
      <c r="E5" s="1967">
        <v>23487</v>
      </c>
      <c r="F5" s="1967">
        <v>121139</v>
      </c>
      <c r="G5" s="1967">
        <v>0</v>
      </c>
      <c r="H5" s="1967">
        <v>1562</v>
      </c>
      <c r="I5" s="1968">
        <v>2425</v>
      </c>
      <c r="J5" s="1968">
        <v>0</v>
      </c>
      <c r="K5" s="1644">
        <f>SUM(C5:J5)</f>
        <v>2096410</v>
      </c>
      <c r="L5" s="1989">
        <v>2230725</v>
      </c>
    </row>
    <row r="6" spans="1:14" x14ac:dyDescent="0.2">
      <c r="A6" s="1477" t="s">
        <v>1433</v>
      </c>
      <c r="B6" s="591" t="s">
        <v>1431</v>
      </c>
      <c r="C6" s="473"/>
      <c r="D6" s="473"/>
      <c r="E6" s="1967">
        <v>0</v>
      </c>
      <c r="F6" s="473"/>
      <c r="G6" s="473"/>
      <c r="H6" s="473"/>
      <c r="I6" s="473"/>
      <c r="J6" s="473"/>
      <c r="K6" s="1644">
        <f>SUM(C6,E6)</f>
        <v>0</v>
      </c>
      <c r="L6" s="1989">
        <v>0</v>
      </c>
    </row>
    <row r="7" spans="1:14" x14ac:dyDescent="0.2">
      <c r="A7" s="1477" t="s">
        <v>163</v>
      </c>
      <c r="B7" s="591" t="s">
        <v>967</v>
      </c>
      <c r="C7" s="1968">
        <v>0</v>
      </c>
      <c r="D7" s="1968">
        <v>0</v>
      </c>
      <c r="E7" s="1968">
        <v>0</v>
      </c>
      <c r="F7" s="1968">
        <v>0</v>
      </c>
      <c r="G7" s="1968">
        <v>0</v>
      </c>
      <c r="H7" s="1968">
        <v>0</v>
      </c>
      <c r="I7" s="1968">
        <v>0</v>
      </c>
      <c r="J7" s="1968">
        <v>0</v>
      </c>
      <c r="K7" s="1644">
        <f t="shared" ref="K7:K32" si="0">SUM(C7:J7)</f>
        <v>0</v>
      </c>
      <c r="L7" s="1989">
        <v>0</v>
      </c>
    </row>
    <row r="8" spans="1:14" x14ac:dyDescent="0.2">
      <c r="A8" s="1477" t="s">
        <v>164</v>
      </c>
      <c r="B8" s="591">
        <v>1200</v>
      </c>
      <c r="C8" s="1967">
        <v>140536</v>
      </c>
      <c r="D8" s="1967">
        <v>15218</v>
      </c>
      <c r="E8" s="1967">
        <v>0</v>
      </c>
      <c r="F8" s="1967">
        <v>0</v>
      </c>
      <c r="G8" s="1967">
        <v>0</v>
      </c>
      <c r="H8" s="1967">
        <v>0</v>
      </c>
      <c r="I8" s="1968">
        <v>0</v>
      </c>
      <c r="J8" s="1968">
        <v>0</v>
      </c>
      <c r="K8" s="1644">
        <f t="shared" si="0"/>
        <v>155754</v>
      </c>
      <c r="L8" s="1989">
        <v>251236</v>
      </c>
    </row>
    <row r="9" spans="1:14" x14ac:dyDescent="0.2">
      <c r="A9" s="1477" t="s">
        <v>721</v>
      </c>
      <c r="B9" s="591" t="s">
        <v>968</v>
      </c>
      <c r="C9" s="1968">
        <v>0</v>
      </c>
      <c r="D9" s="1968">
        <v>0</v>
      </c>
      <c r="E9" s="1968">
        <v>0</v>
      </c>
      <c r="F9" s="1968">
        <v>0</v>
      </c>
      <c r="G9" s="1990">
        <v>0</v>
      </c>
      <c r="H9" s="1968">
        <v>0</v>
      </c>
      <c r="I9" s="1968">
        <v>0</v>
      </c>
      <c r="J9" s="1968">
        <v>0</v>
      </c>
      <c r="K9" s="1644">
        <f t="shared" si="0"/>
        <v>0</v>
      </c>
      <c r="L9" s="1989">
        <v>0</v>
      </c>
    </row>
    <row r="10" spans="1:14" x14ac:dyDescent="0.2">
      <c r="A10" s="1477" t="s">
        <v>722</v>
      </c>
      <c r="B10" s="591">
        <v>1250</v>
      </c>
      <c r="C10" s="1967">
        <v>61378</v>
      </c>
      <c r="D10" s="1967">
        <v>10246</v>
      </c>
      <c r="E10" s="1967">
        <v>0</v>
      </c>
      <c r="F10" s="1967">
        <v>0</v>
      </c>
      <c r="G10" s="1967">
        <v>0</v>
      </c>
      <c r="H10" s="1967">
        <v>0</v>
      </c>
      <c r="I10" s="1968">
        <v>0</v>
      </c>
      <c r="J10" s="1968">
        <v>0</v>
      </c>
      <c r="K10" s="1644">
        <f t="shared" si="0"/>
        <v>71624</v>
      </c>
      <c r="L10" s="1989">
        <v>82500</v>
      </c>
    </row>
    <row r="11" spans="1:14" x14ac:dyDescent="0.2">
      <c r="A11" s="1477" t="s">
        <v>1130</v>
      </c>
      <c r="B11" s="591" t="s">
        <v>161</v>
      </c>
      <c r="C11" s="1968">
        <v>0</v>
      </c>
      <c r="D11" s="1968">
        <v>0</v>
      </c>
      <c r="E11" s="1968">
        <v>0</v>
      </c>
      <c r="F11" s="1968">
        <v>0</v>
      </c>
      <c r="G11" s="1968">
        <v>0</v>
      </c>
      <c r="H11" s="1968">
        <v>0</v>
      </c>
      <c r="I11" s="1968">
        <v>0</v>
      </c>
      <c r="J11" s="1968">
        <v>0</v>
      </c>
      <c r="K11" s="1644">
        <f t="shared" si="0"/>
        <v>0</v>
      </c>
      <c r="L11" s="1989">
        <v>0</v>
      </c>
    </row>
    <row r="12" spans="1:14" x14ac:dyDescent="0.2">
      <c r="A12" s="1477" t="s">
        <v>962</v>
      </c>
      <c r="B12" s="591">
        <v>1300</v>
      </c>
      <c r="C12" s="1967">
        <v>0</v>
      </c>
      <c r="D12" s="1967">
        <v>0</v>
      </c>
      <c r="E12" s="1967">
        <v>0</v>
      </c>
      <c r="F12" s="1967">
        <v>0</v>
      </c>
      <c r="G12" s="1967">
        <v>0</v>
      </c>
      <c r="H12" s="1967">
        <v>0</v>
      </c>
      <c r="I12" s="1968">
        <v>0</v>
      </c>
      <c r="J12" s="1968">
        <v>0</v>
      </c>
      <c r="K12" s="1644">
        <f t="shared" si="0"/>
        <v>0</v>
      </c>
      <c r="L12" s="1989">
        <v>0</v>
      </c>
    </row>
    <row r="13" spans="1:14" x14ac:dyDescent="0.2">
      <c r="A13" s="1477" t="s">
        <v>723</v>
      </c>
      <c r="B13" s="591">
        <v>1400</v>
      </c>
      <c r="C13" s="1967">
        <v>0</v>
      </c>
      <c r="D13" s="1967">
        <v>0</v>
      </c>
      <c r="E13" s="1967">
        <v>0</v>
      </c>
      <c r="F13" s="1967">
        <v>0</v>
      </c>
      <c r="G13" s="1967">
        <v>0</v>
      </c>
      <c r="H13" s="1967">
        <v>0</v>
      </c>
      <c r="I13" s="1968">
        <v>0</v>
      </c>
      <c r="J13" s="1968">
        <v>0</v>
      </c>
      <c r="K13" s="1644">
        <f t="shared" si="0"/>
        <v>0</v>
      </c>
      <c r="L13" s="1989">
        <v>0</v>
      </c>
    </row>
    <row r="14" spans="1:14" x14ac:dyDescent="0.2">
      <c r="A14" s="1477" t="s">
        <v>963</v>
      </c>
      <c r="B14" s="591">
        <v>1500</v>
      </c>
      <c r="C14" s="1967">
        <v>20206</v>
      </c>
      <c r="D14" s="1967">
        <v>1257</v>
      </c>
      <c r="E14" s="1967">
        <v>0</v>
      </c>
      <c r="F14" s="1967">
        <v>39</v>
      </c>
      <c r="G14" s="1967">
        <v>0</v>
      </c>
      <c r="H14" s="1967">
        <v>2874</v>
      </c>
      <c r="I14" s="1968">
        <v>0</v>
      </c>
      <c r="J14" s="1968">
        <v>0</v>
      </c>
      <c r="K14" s="1644">
        <f t="shared" si="0"/>
        <v>24376</v>
      </c>
      <c r="L14" s="1989">
        <v>34725</v>
      </c>
    </row>
    <row r="15" spans="1:14" x14ac:dyDescent="0.2">
      <c r="A15" s="1477" t="s">
        <v>964</v>
      </c>
      <c r="B15" s="591">
        <v>1600</v>
      </c>
      <c r="C15" s="1967">
        <v>0</v>
      </c>
      <c r="D15" s="1967">
        <v>0</v>
      </c>
      <c r="E15" s="1967">
        <v>0</v>
      </c>
      <c r="F15" s="1967">
        <v>0</v>
      </c>
      <c r="G15" s="1967">
        <v>0</v>
      </c>
      <c r="H15" s="1967">
        <v>0</v>
      </c>
      <c r="I15" s="1968">
        <v>0</v>
      </c>
      <c r="J15" s="1968">
        <v>0</v>
      </c>
      <c r="K15" s="1644">
        <f t="shared" si="0"/>
        <v>0</v>
      </c>
      <c r="L15" s="1989">
        <v>0</v>
      </c>
    </row>
    <row r="16" spans="1:14" x14ac:dyDescent="0.2">
      <c r="A16" s="1477" t="s">
        <v>987</v>
      </c>
      <c r="B16" s="591" t="s">
        <v>424</v>
      </c>
      <c r="C16" s="1967">
        <v>0</v>
      </c>
      <c r="D16" s="1967">
        <v>0</v>
      </c>
      <c r="E16" s="1967">
        <v>0</v>
      </c>
      <c r="F16" s="1967">
        <v>0</v>
      </c>
      <c r="G16" s="1967">
        <v>0</v>
      </c>
      <c r="H16" s="1967">
        <v>0</v>
      </c>
      <c r="I16" s="1968">
        <v>0</v>
      </c>
      <c r="J16" s="1968">
        <v>0</v>
      </c>
      <c r="K16" s="1644">
        <f t="shared" si="0"/>
        <v>0</v>
      </c>
      <c r="L16" s="1989">
        <v>0</v>
      </c>
    </row>
    <row r="17" spans="1:12" x14ac:dyDescent="0.2">
      <c r="A17" s="1477" t="s">
        <v>724</v>
      </c>
      <c r="B17" s="591" t="s">
        <v>162</v>
      </c>
      <c r="C17" s="1968">
        <v>0</v>
      </c>
      <c r="D17" s="1968">
        <v>0</v>
      </c>
      <c r="E17" s="1968">
        <v>0</v>
      </c>
      <c r="F17" s="1968">
        <v>0</v>
      </c>
      <c r="G17" s="1968">
        <v>0</v>
      </c>
      <c r="H17" s="1968">
        <v>0</v>
      </c>
      <c r="I17" s="1968">
        <v>0</v>
      </c>
      <c r="J17" s="1968">
        <v>0</v>
      </c>
      <c r="K17" s="1644">
        <f t="shared" si="0"/>
        <v>0</v>
      </c>
      <c r="L17" s="1989">
        <v>0</v>
      </c>
    </row>
    <row r="18" spans="1:12" x14ac:dyDescent="0.2">
      <c r="A18" s="1477" t="s">
        <v>1087</v>
      </c>
      <c r="B18" s="591">
        <v>1800</v>
      </c>
      <c r="C18" s="1967">
        <v>0</v>
      </c>
      <c r="D18" s="1967">
        <v>0</v>
      </c>
      <c r="E18" s="1967">
        <v>0</v>
      </c>
      <c r="F18" s="1967">
        <v>0</v>
      </c>
      <c r="G18" s="1967">
        <v>0</v>
      </c>
      <c r="H18" s="1967">
        <v>0</v>
      </c>
      <c r="I18" s="1968">
        <v>0</v>
      </c>
      <c r="J18" s="1968">
        <v>0</v>
      </c>
      <c r="K18" s="1644">
        <f t="shared" si="0"/>
        <v>0</v>
      </c>
      <c r="L18" s="1989">
        <v>0</v>
      </c>
    </row>
    <row r="19" spans="1:12" x14ac:dyDescent="0.2">
      <c r="A19" s="1477" t="s">
        <v>134</v>
      </c>
      <c r="B19" s="591">
        <v>1900</v>
      </c>
      <c r="C19" s="1967">
        <v>0</v>
      </c>
      <c r="D19" s="1967">
        <v>0</v>
      </c>
      <c r="E19" s="1967">
        <v>0</v>
      </c>
      <c r="F19" s="1967">
        <v>0</v>
      </c>
      <c r="G19" s="1967">
        <v>0</v>
      </c>
      <c r="H19" s="1967">
        <v>0</v>
      </c>
      <c r="I19" s="1968">
        <v>0</v>
      </c>
      <c r="J19" s="1968">
        <v>0</v>
      </c>
      <c r="K19" s="1644">
        <f t="shared" si="0"/>
        <v>0</v>
      </c>
      <c r="L19" s="1989">
        <v>0</v>
      </c>
    </row>
    <row r="20" spans="1:12" x14ac:dyDescent="0.2">
      <c r="A20" s="1478" t="s">
        <v>738</v>
      </c>
      <c r="B20" s="579" t="s">
        <v>725</v>
      </c>
      <c r="C20" s="473"/>
      <c r="D20" s="473"/>
      <c r="E20" s="473"/>
      <c r="F20" s="473"/>
      <c r="G20" s="473"/>
      <c r="H20" s="1970">
        <v>0</v>
      </c>
      <c r="I20" s="593"/>
      <c r="J20" s="472"/>
      <c r="K20" s="1644">
        <f t="shared" si="0"/>
        <v>0</v>
      </c>
      <c r="L20" s="1991">
        <v>0</v>
      </c>
    </row>
    <row r="21" spans="1:12" x14ac:dyDescent="0.2">
      <c r="A21" s="1478" t="s">
        <v>739</v>
      </c>
      <c r="B21" s="579" t="s">
        <v>726</v>
      </c>
      <c r="C21" s="473"/>
      <c r="D21" s="473"/>
      <c r="E21" s="473"/>
      <c r="F21" s="473"/>
      <c r="G21" s="473"/>
      <c r="H21" s="1970">
        <v>0</v>
      </c>
      <c r="I21" s="593"/>
      <c r="J21" s="473"/>
      <c r="K21" s="1644">
        <f t="shared" si="0"/>
        <v>0</v>
      </c>
      <c r="L21" s="1991">
        <v>0</v>
      </c>
    </row>
    <row r="22" spans="1:12" x14ac:dyDescent="0.2">
      <c r="A22" s="1478" t="s">
        <v>740</v>
      </c>
      <c r="B22" s="579" t="s">
        <v>727</v>
      </c>
      <c r="C22" s="473"/>
      <c r="D22" s="473"/>
      <c r="E22" s="473"/>
      <c r="F22" s="473"/>
      <c r="G22" s="473"/>
      <c r="H22" s="1970">
        <v>0</v>
      </c>
      <c r="I22" s="593"/>
      <c r="J22" s="473"/>
      <c r="K22" s="1644">
        <f t="shared" si="0"/>
        <v>0</v>
      </c>
      <c r="L22" s="1991">
        <v>50000</v>
      </c>
    </row>
    <row r="23" spans="1:12" x14ac:dyDescent="0.2">
      <c r="A23" s="1478" t="s">
        <v>741</v>
      </c>
      <c r="B23" s="579" t="s">
        <v>728</v>
      </c>
      <c r="C23" s="473"/>
      <c r="D23" s="473"/>
      <c r="E23" s="473"/>
      <c r="F23" s="473"/>
      <c r="G23" s="473"/>
      <c r="H23" s="1970">
        <v>0</v>
      </c>
      <c r="I23" s="593"/>
      <c r="J23" s="473"/>
      <c r="K23" s="1644">
        <f t="shared" si="0"/>
        <v>0</v>
      </c>
      <c r="L23" s="1991">
        <v>0</v>
      </c>
    </row>
    <row r="24" spans="1:12" ht="12.75" customHeight="1" x14ac:dyDescent="0.2">
      <c r="A24" s="1478" t="s">
        <v>742</v>
      </c>
      <c r="B24" s="579" t="s">
        <v>729</v>
      </c>
      <c r="C24" s="473"/>
      <c r="D24" s="473"/>
      <c r="E24" s="473"/>
      <c r="F24" s="473"/>
      <c r="G24" s="473"/>
      <c r="H24" s="1970">
        <v>0</v>
      </c>
      <c r="I24" s="593"/>
      <c r="J24" s="473"/>
      <c r="K24" s="1644">
        <f t="shared" si="0"/>
        <v>0</v>
      </c>
      <c r="L24" s="1991">
        <v>0</v>
      </c>
    </row>
    <row r="25" spans="1:12" ht="12.75" customHeight="1" x14ac:dyDescent="0.2">
      <c r="A25" s="1478" t="s">
        <v>802</v>
      </c>
      <c r="B25" s="579" t="s">
        <v>730</v>
      </c>
      <c r="C25" s="473"/>
      <c r="D25" s="473"/>
      <c r="E25" s="473"/>
      <c r="F25" s="473"/>
      <c r="G25" s="473"/>
      <c r="H25" s="1970">
        <v>0</v>
      </c>
      <c r="I25" s="593"/>
      <c r="J25" s="473"/>
      <c r="K25" s="1644">
        <f t="shared" si="0"/>
        <v>0</v>
      </c>
      <c r="L25" s="1991">
        <v>0</v>
      </c>
    </row>
    <row r="26" spans="1:12" x14ac:dyDescent="0.2">
      <c r="A26" s="1478" t="s">
        <v>622</v>
      </c>
      <c r="B26" s="579" t="s">
        <v>731</v>
      </c>
      <c r="C26" s="473"/>
      <c r="D26" s="473"/>
      <c r="E26" s="473"/>
      <c r="F26" s="473"/>
      <c r="G26" s="473"/>
      <c r="H26" s="1970">
        <v>0</v>
      </c>
      <c r="I26" s="593"/>
      <c r="J26" s="473"/>
      <c r="K26" s="1644">
        <f t="shared" si="0"/>
        <v>0</v>
      </c>
      <c r="L26" s="1991">
        <v>0</v>
      </c>
    </row>
    <row r="27" spans="1:12" x14ac:dyDescent="0.2">
      <c r="A27" s="1478" t="s">
        <v>623</v>
      </c>
      <c r="B27" s="579" t="s">
        <v>732</v>
      </c>
      <c r="C27" s="473"/>
      <c r="D27" s="473"/>
      <c r="E27" s="473"/>
      <c r="F27" s="473"/>
      <c r="G27" s="473"/>
      <c r="H27" s="1970">
        <v>0</v>
      </c>
      <c r="I27" s="593"/>
      <c r="J27" s="473"/>
      <c r="K27" s="1644">
        <f t="shared" si="0"/>
        <v>0</v>
      </c>
      <c r="L27" s="1991">
        <v>0</v>
      </c>
    </row>
    <row r="28" spans="1:12" x14ac:dyDescent="0.2">
      <c r="A28" s="1478" t="s">
        <v>150</v>
      </c>
      <c r="B28" s="579" t="s">
        <v>733</v>
      </c>
      <c r="C28" s="473"/>
      <c r="D28" s="473"/>
      <c r="E28" s="473"/>
      <c r="F28" s="473"/>
      <c r="G28" s="473"/>
      <c r="H28" s="1970">
        <v>0</v>
      </c>
      <c r="I28" s="593"/>
      <c r="J28" s="473"/>
      <c r="K28" s="1644">
        <f t="shared" si="0"/>
        <v>0</v>
      </c>
      <c r="L28" s="1991">
        <v>0</v>
      </c>
    </row>
    <row r="29" spans="1:12" x14ac:dyDescent="0.2">
      <c r="A29" s="1478" t="s">
        <v>151</v>
      </c>
      <c r="B29" s="579" t="s">
        <v>734</v>
      </c>
      <c r="C29" s="473"/>
      <c r="D29" s="473"/>
      <c r="E29" s="473"/>
      <c r="F29" s="473"/>
      <c r="G29" s="473"/>
      <c r="H29" s="1970">
        <v>0</v>
      </c>
      <c r="I29" s="593"/>
      <c r="J29" s="473"/>
      <c r="K29" s="1644">
        <f t="shared" si="0"/>
        <v>0</v>
      </c>
      <c r="L29" s="1991">
        <v>0</v>
      </c>
    </row>
    <row r="30" spans="1:12" x14ac:dyDescent="0.2">
      <c r="A30" s="1478" t="s">
        <v>152</v>
      </c>
      <c r="B30" s="579" t="s">
        <v>735</v>
      </c>
      <c r="C30" s="473"/>
      <c r="D30" s="473"/>
      <c r="E30" s="473"/>
      <c r="F30" s="473"/>
      <c r="G30" s="473"/>
      <c r="H30" s="1970">
        <v>0</v>
      </c>
      <c r="I30" s="593"/>
      <c r="J30" s="473"/>
      <c r="K30" s="1644">
        <f t="shared" si="0"/>
        <v>0</v>
      </c>
      <c r="L30" s="1991">
        <v>0</v>
      </c>
    </row>
    <row r="31" spans="1:12" x14ac:dyDescent="0.2">
      <c r="A31" s="1478" t="s">
        <v>153</v>
      </c>
      <c r="B31" s="579" t="s">
        <v>736</v>
      </c>
      <c r="C31" s="473"/>
      <c r="D31" s="473"/>
      <c r="E31" s="473"/>
      <c r="F31" s="473"/>
      <c r="G31" s="473"/>
      <c r="H31" s="1970">
        <v>0</v>
      </c>
      <c r="I31" s="593"/>
      <c r="J31" s="473"/>
      <c r="K31" s="1644">
        <f t="shared" si="0"/>
        <v>0</v>
      </c>
      <c r="L31" s="1991">
        <v>0</v>
      </c>
    </row>
    <row r="32" spans="1:12" x14ac:dyDescent="0.2">
      <c r="A32" s="1479" t="s">
        <v>1129</v>
      </c>
      <c r="B32" s="591" t="s">
        <v>737</v>
      </c>
      <c r="C32" s="473"/>
      <c r="D32" s="473"/>
      <c r="E32" s="473"/>
      <c r="F32" s="473"/>
      <c r="G32" s="473"/>
      <c r="H32" s="1970">
        <v>0</v>
      </c>
      <c r="I32" s="593"/>
      <c r="J32" s="476"/>
      <c r="K32" s="1644">
        <f t="shared" si="0"/>
        <v>0</v>
      </c>
      <c r="L32" s="1991">
        <v>0</v>
      </c>
    </row>
    <row r="33" spans="1:14" ht="12.75" customHeight="1" thickBot="1" x14ac:dyDescent="0.25">
      <c r="A33" s="1641" t="s">
        <v>1668</v>
      </c>
      <c r="B33" s="1642" t="s">
        <v>570</v>
      </c>
      <c r="C33" s="1643">
        <f>SUM(C5:C32)</f>
        <v>1749837</v>
      </c>
      <c r="D33" s="1643">
        <f t="shared" ref="D33:L33" si="1">SUM(D5:D32)</f>
        <v>446801</v>
      </c>
      <c r="E33" s="1643">
        <f t="shared" si="1"/>
        <v>23487</v>
      </c>
      <c r="F33" s="1643">
        <f t="shared" si="1"/>
        <v>121178</v>
      </c>
      <c r="G33" s="1643">
        <f t="shared" si="1"/>
        <v>0</v>
      </c>
      <c r="H33" s="1643">
        <f t="shared" si="1"/>
        <v>4436</v>
      </c>
      <c r="I33" s="1643">
        <f t="shared" si="1"/>
        <v>2425</v>
      </c>
      <c r="J33" s="1643">
        <f t="shared" si="1"/>
        <v>0</v>
      </c>
      <c r="K33" s="1643">
        <f t="shared" si="1"/>
        <v>2348164</v>
      </c>
      <c r="L33" s="1643">
        <f t="shared" si="1"/>
        <v>2649186</v>
      </c>
    </row>
    <row r="34" spans="1:14" s="597" customFormat="1" ht="15.75" customHeight="1" thickTop="1" x14ac:dyDescent="0.2">
      <c r="A34" s="1581" t="s">
        <v>46</v>
      </c>
      <c r="B34" s="1582" t="s">
        <v>569</v>
      </c>
      <c r="C34" s="595"/>
      <c r="D34" s="595"/>
      <c r="E34" s="595"/>
      <c r="F34" s="595"/>
      <c r="G34" s="595"/>
      <c r="H34" s="595"/>
      <c r="I34" s="593"/>
      <c r="J34" s="593"/>
      <c r="K34" s="593"/>
      <c r="L34" s="593"/>
      <c r="M34" s="596"/>
      <c r="N34" s="596"/>
    </row>
    <row r="35" spans="1:14" s="597" customFormat="1" ht="15.75" customHeight="1" x14ac:dyDescent="0.2">
      <c r="A35" s="598" t="s">
        <v>591</v>
      </c>
      <c r="B35" s="599"/>
      <c r="C35" s="600"/>
      <c r="D35" s="600"/>
      <c r="E35" s="600"/>
      <c r="F35" s="600"/>
      <c r="G35" s="600"/>
      <c r="H35" s="600"/>
      <c r="I35" s="593"/>
      <c r="J35" s="593"/>
      <c r="K35" s="593"/>
      <c r="L35" s="593"/>
      <c r="M35" s="596"/>
      <c r="N35" s="596"/>
    </row>
    <row r="36" spans="1:14" x14ac:dyDescent="0.2">
      <c r="A36" s="1477" t="s">
        <v>1089</v>
      </c>
      <c r="B36" s="591">
        <v>2110</v>
      </c>
      <c r="C36" s="477">
        <v>46635</v>
      </c>
      <c r="D36" s="477">
        <v>5420</v>
      </c>
      <c r="E36" s="477">
        <v>0</v>
      </c>
      <c r="F36" s="477">
        <v>0</v>
      </c>
      <c r="G36" s="477">
        <v>0</v>
      </c>
      <c r="H36" s="477">
        <v>0</v>
      </c>
      <c r="I36" s="1968">
        <v>0</v>
      </c>
      <c r="J36" s="1968">
        <v>0</v>
      </c>
      <c r="K36" s="1644">
        <f t="shared" ref="K36:K41" si="2">SUM(C36:J36)</f>
        <v>52055</v>
      </c>
      <c r="L36" s="1989">
        <v>51800</v>
      </c>
    </row>
    <row r="37" spans="1:14" x14ac:dyDescent="0.2">
      <c r="A37" s="1477" t="s">
        <v>1090</v>
      </c>
      <c r="B37" s="591">
        <v>2120</v>
      </c>
      <c r="C37" s="1967">
        <v>0</v>
      </c>
      <c r="D37" s="1967">
        <v>0</v>
      </c>
      <c r="E37" s="1967">
        <v>0</v>
      </c>
      <c r="F37" s="1967">
        <v>0</v>
      </c>
      <c r="G37" s="1967">
        <v>0</v>
      </c>
      <c r="H37" s="1967">
        <v>0</v>
      </c>
      <c r="I37" s="1968">
        <v>0</v>
      </c>
      <c r="J37" s="1968">
        <v>0</v>
      </c>
      <c r="K37" s="1644">
        <f t="shared" si="2"/>
        <v>0</v>
      </c>
      <c r="L37" s="1989">
        <v>0</v>
      </c>
    </row>
    <row r="38" spans="1:14" x14ac:dyDescent="0.2">
      <c r="A38" s="1477" t="s">
        <v>198</v>
      </c>
      <c r="B38" s="591">
        <v>2130</v>
      </c>
      <c r="C38" s="1967">
        <v>0</v>
      </c>
      <c r="D38" s="1967">
        <v>0</v>
      </c>
      <c r="E38" s="1967">
        <v>14393</v>
      </c>
      <c r="F38" s="1967">
        <v>0</v>
      </c>
      <c r="G38" s="1967">
        <v>0</v>
      </c>
      <c r="H38" s="1967">
        <v>0</v>
      </c>
      <c r="I38" s="1968">
        <v>0</v>
      </c>
      <c r="J38" s="1968">
        <v>0</v>
      </c>
      <c r="K38" s="1644">
        <f t="shared" si="2"/>
        <v>14393</v>
      </c>
      <c r="L38" s="1989">
        <v>20000</v>
      </c>
    </row>
    <row r="39" spans="1:14" x14ac:dyDescent="0.2">
      <c r="A39" s="1477" t="s">
        <v>199</v>
      </c>
      <c r="B39" s="591">
        <v>2140</v>
      </c>
      <c r="C39" s="1967">
        <v>0</v>
      </c>
      <c r="D39" s="1967">
        <v>0</v>
      </c>
      <c r="E39" s="1967">
        <v>0</v>
      </c>
      <c r="F39" s="1967">
        <v>0</v>
      </c>
      <c r="G39" s="1967">
        <v>0</v>
      </c>
      <c r="H39" s="1967">
        <v>0</v>
      </c>
      <c r="I39" s="1968">
        <v>0</v>
      </c>
      <c r="J39" s="1968">
        <v>0</v>
      </c>
      <c r="K39" s="1644">
        <f t="shared" si="2"/>
        <v>0</v>
      </c>
      <c r="L39" s="1989">
        <v>0</v>
      </c>
    </row>
    <row r="40" spans="1:14" x14ac:dyDescent="0.2">
      <c r="A40" s="1477" t="s">
        <v>200</v>
      </c>
      <c r="B40" s="591">
        <v>2150</v>
      </c>
      <c r="C40" s="1967">
        <v>0</v>
      </c>
      <c r="D40" s="1967">
        <v>0</v>
      </c>
      <c r="E40" s="1967">
        <v>0</v>
      </c>
      <c r="F40" s="1967">
        <v>0</v>
      </c>
      <c r="G40" s="1967">
        <v>0</v>
      </c>
      <c r="H40" s="1967">
        <v>0</v>
      </c>
      <c r="I40" s="1968">
        <v>0</v>
      </c>
      <c r="J40" s="1968">
        <v>0</v>
      </c>
      <c r="K40" s="1644">
        <f t="shared" si="2"/>
        <v>0</v>
      </c>
      <c r="L40" s="1989">
        <v>0</v>
      </c>
    </row>
    <row r="41" spans="1:14" x14ac:dyDescent="0.2">
      <c r="A41" s="1477" t="s">
        <v>1669</v>
      </c>
      <c r="B41" s="591">
        <v>2190</v>
      </c>
      <c r="C41" s="1967">
        <v>0</v>
      </c>
      <c r="D41" s="1967">
        <v>0</v>
      </c>
      <c r="E41" s="1967">
        <v>0</v>
      </c>
      <c r="F41" s="1967">
        <v>0</v>
      </c>
      <c r="G41" s="1967">
        <v>0</v>
      </c>
      <c r="H41" s="1967">
        <v>0</v>
      </c>
      <c r="I41" s="1968">
        <v>0</v>
      </c>
      <c r="J41" s="1968">
        <v>0</v>
      </c>
      <c r="K41" s="1644">
        <f t="shared" si="2"/>
        <v>0</v>
      </c>
      <c r="L41" s="1989">
        <v>0</v>
      </c>
    </row>
    <row r="42" spans="1:14" ht="12.75" customHeight="1" thickBot="1" x14ac:dyDescent="0.25">
      <c r="A42" s="1641" t="s">
        <v>560</v>
      </c>
      <c r="B42" s="1642" t="s">
        <v>716</v>
      </c>
      <c r="C42" s="1643">
        <f>SUM(C36:C41)</f>
        <v>46635</v>
      </c>
      <c r="D42" s="1643">
        <f t="shared" ref="D42:L42" si="3">SUM(D36:D41)</f>
        <v>5420</v>
      </c>
      <c r="E42" s="1643">
        <f t="shared" si="3"/>
        <v>14393</v>
      </c>
      <c r="F42" s="1643">
        <f t="shared" si="3"/>
        <v>0</v>
      </c>
      <c r="G42" s="1643">
        <f t="shared" si="3"/>
        <v>0</v>
      </c>
      <c r="H42" s="1643">
        <f t="shared" si="3"/>
        <v>0</v>
      </c>
      <c r="I42" s="1643">
        <f t="shared" si="3"/>
        <v>0</v>
      </c>
      <c r="J42" s="1643">
        <f t="shared" si="3"/>
        <v>0</v>
      </c>
      <c r="K42" s="1643">
        <f t="shared" si="3"/>
        <v>66448</v>
      </c>
      <c r="L42" s="1643">
        <f t="shared" si="3"/>
        <v>71800</v>
      </c>
    </row>
    <row r="43" spans="1:14" ht="15.75" customHeight="1" thickTop="1" x14ac:dyDescent="0.2">
      <c r="A43" s="601" t="s">
        <v>592</v>
      </c>
      <c r="B43" s="602"/>
      <c r="C43" s="603"/>
      <c r="D43" s="603"/>
      <c r="E43" s="603"/>
      <c r="F43" s="603"/>
      <c r="G43" s="603"/>
      <c r="H43" s="603"/>
      <c r="I43" s="593"/>
      <c r="J43" s="593"/>
      <c r="K43" s="603"/>
      <c r="L43" s="603"/>
    </row>
    <row r="44" spans="1:14" x14ac:dyDescent="0.2">
      <c r="A44" s="1477" t="s">
        <v>814</v>
      </c>
      <c r="B44" s="591">
        <v>2210</v>
      </c>
      <c r="C44" s="477">
        <v>0</v>
      </c>
      <c r="D44" s="477">
        <v>0</v>
      </c>
      <c r="E44" s="477">
        <v>6042</v>
      </c>
      <c r="F44" s="477">
        <v>0</v>
      </c>
      <c r="G44" s="477">
        <v>0</v>
      </c>
      <c r="H44" s="477">
        <v>0</v>
      </c>
      <c r="I44" s="1968">
        <v>0</v>
      </c>
      <c r="J44" s="1968">
        <v>0</v>
      </c>
      <c r="K44" s="1645">
        <f>SUM(C44:J44)</f>
        <v>6042</v>
      </c>
      <c r="L44" s="477">
        <v>18200</v>
      </c>
    </row>
    <row r="45" spans="1:14" x14ac:dyDescent="0.2">
      <c r="A45" s="1477" t="s">
        <v>815</v>
      </c>
      <c r="B45" s="591">
        <v>2220</v>
      </c>
      <c r="C45" s="1967">
        <v>0</v>
      </c>
      <c r="D45" s="1967">
        <v>0</v>
      </c>
      <c r="E45" s="1967">
        <v>0</v>
      </c>
      <c r="F45" s="1967">
        <v>0</v>
      </c>
      <c r="G45" s="1967">
        <v>0</v>
      </c>
      <c r="H45" s="1967">
        <v>0</v>
      </c>
      <c r="I45" s="1968">
        <v>0</v>
      </c>
      <c r="J45" s="1968">
        <v>0</v>
      </c>
      <c r="K45" s="1645">
        <f>SUM(C45:J45)</f>
        <v>0</v>
      </c>
      <c r="L45" s="1989">
        <v>1000</v>
      </c>
    </row>
    <row r="46" spans="1:14" x14ac:dyDescent="0.2">
      <c r="A46" s="1477" t="s">
        <v>816</v>
      </c>
      <c r="B46" s="591">
        <v>2230</v>
      </c>
      <c r="C46" s="1967">
        <v>0</v>
      </c>
      <c r="D46" s="1967">
        <v>0</v>
      </c>
      <c r="E46" s="1967">
        <v>0</v>
      </c>
      <c r="F46" s="1967">
        <v>0</v>
      </c>
      <c r="G46" s="1967">
        <v>0</v>
      </c>
      <c r="H46" s="1967">
        <v>0</v>
      </c>
      <c r="I46" s="1968">
        <v>0</v>
      </c>
      <c r="J46" s="1968">
        <v>0</v>
      </c>
      <c r="K46" s="1645">
        <f>SUM(C46:J46)</f>
        <v>0</v>
      </c>
      <c r="L46" s="1989">
        <v>1000</v>
      </c>
    </row>
    <row r="47" spans="1:14" ht="12.75" customHeight="1" thickBot="1" x14ac:dyDescent="0.25">
      <c r="A47" s="1641" t="s">
        <v>561</v>
      </c>
      <c r="B47" s="1642" t="s">
        <v>32</v>
      </c>
      <c r="C47" s="1643">
        <f>SUM(C44:C46)</f>
        <v>0</v>
      </c>
      <c r="D47" s="1643">
        <f t="shared" ref="D47:K47" si="4">SUM(D44:D46)</f>
        <v>0</v>
      </c>
      <c r="E47" s="1643">
        <f t="shared" si="4"/>
        <v>6042</v>
      </c>
      <c r="F47" s="1643">
        <f t="shared" si="4"/>
        <v>0</v>
      </c>
      <c r="G47" s="1643">
        <f t="shared" si="4"/>
        <v>0</v>
      </c>
      <c r="H47" s="1643">
        <f t="shared" si="4"/>
        <v>0</v>
      </c>
      <c r="I47" s="1643">
        <f t="shared" si="4"/>
        <v>0</v>
      </c>
      <c r="J47" s="1643">
        <f t="shared" si="4"/>
        <v>0</v>
      </c>
      <c r="K47" s="1643">
        <f t="shared" si="4"/>
        <v>6042</v>
      </c>
      <c r="L47" s="1643">
        <f>SUM(L44:L46)</f>
        <v>20200</v>
      </c>
    </row>
    <row r="48" spans="1:14" ht="15.75" customHeight="1" thickTop="1" x14ac:dyDescent="0.2">
      <c r="A48" s="601" t="s">
        <v>610</v>
      </c>
      <c r="B48" s="602"/>
      <c r="C48" s="603"/>
      <c r="D48" s="603"/>
      <c r="E48" s="603"/>
      <c r="F48" s="603"/>
      <c r="G48" s="603"/>
      <c r="H48" s="603"/>
      <c r="I48" s="593"/>
      <c r="J48" s="593"/>
      <c r="K48" s="603"/>
      <c r="L48" s="603"/>
    </row>
    <row r="49" spans="1:14" x14ac:dyDescent="0.2">
      <c r="A49" s="1477" t="s">
        <v>817</v>
      </c>
      <c r="B49" s="591">
        <v>2310</v>
      </c>
      <c r="C49" s="477">
        <v>5997</v>
      </c>
      <c r="D49" s="477">
        <v>0</v>
      </c>
      <c r="E49" s="477">
        <v>23686</v>
      </c>
      <c r="F49" s="477">
        <v>509</v>
      </c>
      <c r="G49" s="477">
        <v>0</v>
      </c>
      <c r="H49" s="477">
        <v>6065</v>
      </c>
      <c r="I49" s="1968">
        <v>0</v>
      </c>
      <c r="J49" s="1968">
        <v>0</v>
      </c>
      <c r="K49" s="1645">
        <f>SUM(C49:J49)</f>
        <v>36257</v>
      </c>
      <c r="L49" s="477">
        <v>50500</v>
      </c>
    </row>
    <row r="50" spans="1:14" x14ac:dyDescent="0.2">
      <c r="A50" s="1477" t="s">
        <v>818</v>
      </c>
      <c r="B50" s="591">
        <v>2320</v>
      </c>
      <c r="C50" s="1967">
        <v>126961</v>
      </c>
      <c r="D50" s="1967">
        <v>13846</v>
      </c>
      <c r="E50" s="1967">
        <v>5057</v>
      </c>
      <c r="F50" s="1967">
        <v>4360</v>
      </c>
      <c r="G50" s="1967">
        <v>0</v>
      </c>
      <c r="H50" s="1967">
        <v>21568</v>
      </c>
      <c r="I50" s="1968">
        <v>0</v>
      </c>
      <c r="J50" s="1968">
        <v>0</v>
      </c>
      <c r="K50" s="1645">
        <f>SUM(C50:J50)</f>
        <v>171792</v>
      </c>
      <c r="L50" s="1989">
        <v>155450</v>
      </c>
    </row>
    <row r="51" spans="1:14" x14ac:dyDescent="0.2">
      <c r="A51" s="1477" t="s">
        <v>42</v>
      </c>
      <c r="B51" s="591">
        <v>2330</v>
      </c>
      <c r="C51" s="1967">
        <v>0</v>
      </c>
      <c r="D51" s="1967">
        <v>0</v>
      </c>
      <c r="E51" s="1967">
        <v>0</v>
      </c>
      <c r="F51" s="1967">
        <v>0</v>
      </c>
      <c r="G51" s="1967">
        <v>0</v>
      </c>
      <c r="H51" s="1967">
        <v>0</v>
      </c>
      <c r="I51" s="1968">
        <v>0</v>
      </c>
      <c r="J51" s="1968">
        <v>0</v>
      </c>
      <c r="K51" s="1645">
        <f>SUM(C51:J51)</f>
        <v>0</v>
      </c>
      <c r="L51" s="1989">
        <v>0</v>
      </c>
    </row>
    <row r="52" spans="1:14" ht="22.5" x14ac:dyDescent="0.2">
      <c r="A52" s="1478" t="s">
        <v>298</v>
      </c>
      <c r="B52" s="604" t="s">
        <v>366</v>
      </c>
      <c r="C52" s="1970">
        <v>0</v>
      </c>
      <c r="D52" s="1970">
        <v>0</v>
      </c>
      <c r="E52" s="1970">
        <v>0</v>
      </c>
      <c r="F52" s="1970">
        <v>0</v>
      </c>
      <c r="G52" s="1970">
        <v>0</v>
      </c>
      <c r="H52" s="1970">
        <v>0</v>
      </c>
      <c r="I52" s="1970">
        <v>0</v>
      </c>
      <c r="J52" s="1970">
        <v>0</v>
      </c>
      <c r="K52" s="1645">
        <f>SUM(C52:J52)</f>
        <v>0</v>
      </c>
      <c r="L52" s="1992">
        <v>0</v>
      </c>
    </row>
    <row r="53" spans="1:14" ht="12.75" customHeight="1" thickBot="1" x14ac:dyDescent="0.25">
      <c r="A53" s="1641" t="s">
        <v>717</v>
      </c>
      <c r="B53" s="1642" t="s">
        <v>33</v>
      </c>
      <c r="C53" s="1643">
        <f>SUM(C49:C52)</f>
        <v>132958</v>
      </c>
      <c r="D53" s="1643">
        <f t="shared" ref="D53:L53" si="5">SUM(D49:D52)</f>
        <v>13846</v>
      </c>
      <c r="E53" s="1643">
        <f t="shared" si="5"/>
        <v>28743</v>
      </c>
      <c r="F53" s="1643">
        <f t="shared" si="5"/>
        <v>4869</v>
      </c>
      <c r="G53" s="1643">
        <f t="shared" si="5"/>
        <v>0</v>
      </c>
      <c r="H53" s="1643">
        <f t="shared" si="5"/>
        <v>27633</v>
      </c>
      <c r="I53" s="1643">
        <f t="shared" si="5"/>
        <v>0</v>
      </c>
      <c r="J53" s="1643">
        <f t="shared" si="5"/>
        <v>0</v>
      </c>
      <c r="K53" s="1643">
        <f t="shared" si="5"/>
        <v>208049</v>
      </c>
      <c r="L53" s="1643">
        <f t="shared" si="5"/>
        <v>205950</v>
      </c>
    </row>
    <row r="54" spans="1:14" ht="15.75" customHeight="1" thickTop="1" x14ac:dyDescent="0.2">
      <c r="A54" s="601" t="s">
        <v>611</v>
      </c>
      <c r="B54" s="602"/>
      <c r="C54" s="603"/>
      <c r="D54" s="603"/>
      <c r="E54" s="603"/>
      <c r="F54" s="603"/>
      <c r="G54" s="603"/>
      <c r="H54" s="603"/>
      <c r="I54" s="593"/>
      <c r="J54" s="593"/>
      <c r="K54" s="603"/>
      <c r="L54" s="603"/>
    </row>
    <row r="55" spans="1:14" x14ac:dyDescent="0.2">
      <c r="A55" s="1477" t="s">
        <v>1067</v>
      </c>
      <c r="B55" s="591">
        <v>2410</v>
      </c>
      <c r="C55" s="477">
        <v>138962</v>
      </c>
      <c r="D55" s="477">
        <v>10503</v>
      </c>
      <c r="E55" s="477">
        <v>0</v>
      </c>
      <c r="F55" s="477">
        <v>789</v>
      </c>
      <c r="G55" s="477">
        <v>0</v>
      </c>
      <c r="H55" s="477">
        <v>779</v>
      </c>
      <c r="I55" s="1968">
        <v>0</v>
      </c>
      <c r="J55" s="1968">
        <v>0</v>
      </c>
      <c r="K55" s="1645">
        <f>SUM(C55:J55)</f>
        <v>151033</v>
      </c>
      <c r="L55" s="477">
        <v>149600</v>
      </c>
    </row>
    <row r="56" spans="1:14" ht="12.75" customHeight="1" x14ac:dyDescent="0.2">
      <c r="A56" s="1481" t="s">
        <v>376</v>
      </c>
      <c r="B56" s="605">
        <v>2490</v>
      </c>
      <c r="C56" s="1967">
        <v>0</v>
      </c>
      <c r="D56" s="1967">
        <v>0</v>
      </c>
      <c r="E56" s="1967">
        <v>0</v>
      </c>
      <c r="F56" s="1967">
        <v>0</v>
      </c>
      <c r="G56" s="1967">
        <v>0</v>
      </c>
      <c r="H56" s="1967">
        <v>0</v>
      </c>
      <c r="I56" s="1968">
        <v>0</v>
      </c>
      <c r="J56" s="1968">
        <v>0</v>
      </c>
      <c r="K56" s="1645">
        <f>SUM(C56:J56)</f>
        <v>0</v>
      </c>
      <c r="L56" s="1989">
        <v>0</v>
      </c>
    </row>
    <row r="57" spans="1:14" s="343" customFormat="1" ht="12.75" customHeight="1" thickBot="1" x14ac:dyDescent="0.25">
      <c r="A57" s="1641" t="s">
        <v>263</v>
      </c>
      <c r="B57" s="1646" t="s">
        <v>34</v>
      </c>
      <c r="C57" s="1647">
        <f>SUM(C55:C56)</f>
        <v>138962</v>
      </c>
      <c r="D57" s="1647">
        <f t="shared" ref="D57:K57" si="6">SUM(D55:D56)</f>
        <v>10503</v>
      </c>
      <c r="E57" s="1647">
        <f t="shared" si="6"/>
        <v>0</v>
      </c>
      <c r="F57" s="1647">
        <f t="shared" si="6"/>
        <v>789</v>
      </c>
      <c r="G57" s="1647">
        <f t="shared" si="6"/>
        <v>0</v>
      </c>
      <c r="H57" s="1647">
        <f t="shared" si="6"/>
        <v>779</v>
      </c>
      <c r="I57" s="1647">
        <f t="shared" si="6"/>
        <v>0</v>
      </c>
      <c r="J57" s="1647">
        <f t="shared" si="6"/>
        <v>0</v>
      </c>
      <c r="K57" s="1647">
        <f t="shared" si="6"/>
        <v>151033</v>
      </c>
      <c r="L57" s="1643">
        <f>SUM(L55:L56)</f>
        <v>149600</v>
      </c>
      <c r="M57" s="586"/>
      <c r="N57" s="586"/>
    </row>
    <row r="58" spans="1:14" s="343" customFormat="1" ht="15.75" customHeight="1" thickTop="1" x14ac:dyDescent="0.2">
      <c r="A58" s="601" t="s">
        <v>612</v>
      </c>
      <c r="B58" s="602"/>
      <c r="C58" s="606"/>
      <c r="D58" s="603"/>
      <c r="E58" s="603"/>
      <c r="F58" s="603"/>
      <c r="G58" s="603"/>
      <c r="H58" s="603"/>
      <c r="I58" s="593"/>
      <c r="J58" s="593"/>
      <c r="K58" s="603"/>
      <c r="L58" s="603"/>
      <c r="M58" s="586"/>
      <c r="N58" s="586"/>
    </row>
    <row r="59" spans="1:14" s="343" customFormat="1" x14ac:dyDescent="0.2">
      <c r="A59" s="1477" t="s">
        <v>1068</v>
      </c>
      <c r="B59" s="591">
        <v>2510</v>
      </c>
      <c r="C59" s="477">
        <v>0</v>
      </c>
      <c r="D59" s="477">
        <v>0</v>
      </c>
      <c r="E59" s="477">
        <v>0</v>
      </c>
      <c r="F59" s="477">
        <v>0</v>
      </c>
      <c r="G59" s="477">
        <v>0</v>
      </c>
      <c r="H59" s="477">
        <v>0</v>
      </c>
      <c r="I59" s="1968">
        <v>0</v>
      </c>
      <c r="J59" s="1968">
        <v>0</v>
      </c>
      <c r="K59" s="1645">
        <f t="shared" ref="K59:K64" si="7">SUM(C59:J59)</f>
        <v>0</v>
      </c>
      <c r="L59" s="477">
        <v>0</v>
      </c>
      <c r="M59" s="586"/>
      <c r="N59" s="586"/>
    </row>
    <row r="60" spans="1:14" s="343" customFormat="1" x14ac:dyDescent="0.2">
      <c r="A60" s="1477" t="s">
        <v>463</v>
      </c>
      <c r="B60" s="591">
        <v>2520</v>
      </c>
      <c r="C60" s="1967">
        <v>59670</v>
      </c>
      <c r="D60" s="1967">
        <v>0</v>
      </c>
      <c r="E60" s="1967">
        <v>13424</v>
      </c>
      <c r="F60" s="1967">
        <v>0</v>
      </c>
      <c r="G60" s="1967">
        <v>0</v>
      </c>
      <c r="H60" s="1967">
        <v>1472</v>
      </c>
      <c r="I60" s="1968">
        <v>0</v>
      </c>
      <c r="J60" s="1968">
        <v>0</v>
      </c>
      <c r="K60" s="1645">
        <f t="shared" si="7"/>
        <v>74566</v>
      </c>
      <c r="L60" s="1989">
        <v>63300</v>
      </c>
      <c r="M60" s="586"/>
      <c r="N60" s="586"/>
    </row>
    <row r="61" spans="1:14" s="343" customFormat="1" x14ac:dyDescent="0.2">
      <c r="A61" s="1477" t="s">
        <v>197</v>
      </c>
      <c r="B61" s="591">
        <v>2540</v>
      </c>
      <c r="C61" s="1967">
        <v>0</v>
      </c>
      <c r="D61" s="1967">
        <v>0</v>
      </c>
      <c r="E61" s="1967">
        <v>0</v>
      </c>
      <c r="F61" s="1967">
        <v>0</v>
      </c>
      <c r="G61" s="1967">
        <v>0</v>
      </c>
      <c r="H61" s="1967">
        <v>0</v>
      </c>
      <c r="I61" s="1968">
        <v>0</v>
      </c>
      <c r="J61" s="1968">
        <v>0</v>
      </c>
      <c r="K61" s="1645">
        <f t="shared" si="7"/>
        <v>0</v>
      </c>
      <c r="L61" s="1989">
        <v>0</v>
      </c>
      <c r="M61" s="586"/>
      <c r="N61" s="586"/>
    </row>
    <row r="62" spans="1:14" s="343" customFormat="1" x14ac:dyDescent="0.2">
      <c r="A62" s="1477" t="s">
        <v>953</v>
      </c>
      <c r="B62" s="591">
        <v>2550</v>
      </c>
      <c r="C62" s="1967">
        <v>0</v>
      </c>
      <c r="D62" s="1967">
        <v>0</v>
      </c>
      <c r="E62" s="1967">
        <v>0</v>
      </c>
      <c r="F62" s="1967">
        <v>0</v>
      </c>
      <c r="G62" s="1967">
        <v>0</v>
      </c>
      <c r="H62" s="1967">
        <v>0</v>
      </c>
      <c r="I62" s="1968">
        <v>0</v>
      </c>
      <c r="J62" s="1968">
        <v>0</v>
      </c>
      <c r="K62" s="1645">
        <f t="shared" si="7"/>
        <v>0</v>
      </c>
      <c r="L62" s="1989">
        <v>0</v>
      </c>
      <c r="M62" s="586"/>
      <c r="N62" s="586"/>
    </row>
    <row r="63" spans="1:14" s="586" customFormat="1" x14ac:dyDescent="0.2">
      <c r="A63" s="1477" t="s">
        <v>100</v>
      </c>
      <c r="B63" s="591">
        <v>2560</v>
      </c>
      <c r="C63" s="1967">
        <v>31775</v>
      </c>
      <c r="D63" s="1967">
        <v>0</v>
      </c>
      <c r="E63" s="1967">
        <v>0</v>
      </c>
      <c r="F63" s="1967">
        <v>28154</v>
      </c>
      <c r="G63" s="1967">
        <v>0</v>
      </c>
      <c r="H63" s="1967">
        <v>1411</v>
      </c>
      <c r="I63" s="1968">
        <v>0</v>
      </c>
      <c r="J63" s="1968">
        <v>0</v>
      </c>
      <c r="K63" s="1645">
        <f t="shared" si="7"/>
        <v>61340</v>
      </c>
      <c r="L63" s="1989">
        <v>86700</v>
      </c>
    </row>
    <row r="64" spans="1:14" s="586" customFormat="1" x14ac:dyDescent="0.2">
      <c r="A64" s="1482" t="s">
        <v>101</v>
      </c>
      <c r="B64" s="607">
        <v>2570</v>
      </c>
      <c r="C64" s="477">
        <v>0</v>
      </c>
      <c r="D64" s="477">
        <v>0</v>
      </c>
      <c r="E64" s="477">
        <v>0</v>
      </c>
      <c r="F64" s="477">
        <v>0</v>
      </c>
      <c r="G64" s="477">
        <v>0</v>
      </c>
      <c r="H64" s="477">
        <v>0</v>
      </c>
      <c r="I64" s="1968">
        <v>0</v>
      </c>
      <c r="J64" s="1968">
        <v>0</v>
      </c>
      <c r="K64" s="1645">
        <f t="shared" si="7"/>
        <v>0</v>
      </c>
      <c r="L64" s="477">
        <v>0</v>
      </c>
    </row>
    <row r="65" spans="1:14" s="343" customFormat="1" ht="12.75" customHeight="1" thickBot="1" x14ac:dyDescent="0.25">
      <c r="A65" s="1641" t="s">
        <v>719</v>
      </c>
      <c r="B65" s="1642" t="s">
        <v>35</v>
      </c>
      <c r="C65" s="1643">
        <f>SUM(C59:C64)</f>
        <v>91445</v>
      </c>
      <c r="D65" s="1643">
        <f t="shared" ref="D65:L65" si="8">SUM(D59:D64)</f>
        <v>0</v>
      </c>
      <c r="E65" s="1643">
        <f t="shared" si="8"/>
        <v>13424</v>
      </c>
      <c r="F65" s="1643">
        <f t="shared" si="8"/>
        <v>28154</v>
      </c>
      <c r="G65" s="1643">
        <f t="shared" si="8"/>
        <v>0</v>
      </c>
      <c r="H65" s="1643">
        <f t="shared" si="8"/>
        <v>2883</v>
      </c>
      <c r="I65" s="1643">
        <f t="shared" si="8"/>
        <v>0</v>
      </c>
      <c r="J65" s="1643">
        <f t="shared" si="8"/>
        <v>0</v>
      </c>
      <c r="K65" s="1643">
        <f t="shared" si="8"/>
        <v>135906</v>
      </c>
      <c r="L65" s="1643">
        <f t="shared" si="8"/>
        <v>150000</v>
      </c>
      <c r="M65" s="586"/>
      <c r="N65" s="586"/>
    </row>
    <row r="66" spans="1:14" s="343" customFormat="1" ht="15.75" customHeight="1" thickTop="1" x14ac:dyDescent="0.2">
      <c r="A66" s="601" t="s">
        <v>613</v>
      </c>
      <c r="B66" s="608"/>
      <c r="C66" s="593"/>
      <c r="D66" s="593"/>
      <c r="E66" s="593"/>
      <c r="F66" s="593"/>
      <c r="G66" s="593"/>
      <c r="H66" s="593"/>
      <c r="I66" s="593"/>
      <c r="J66" s="593"/>
      <c r="K66" s="603"/>
      <c r="L66" s="603"/>
      <c r="M66" s="586"/>
      <c r="N66" s="586"/>
    </row>
    <row r="67" spans="1:14" s="343" customFormat="1" x14ac:dyDescent="0.2">
      <c r="A67" s="1477" t="s">
        <v>1060</v>
      </c>
      <c r="B67" s="591">
        <v>2610</v>
      </c>
      <c r="C67" s="1967">
        <v>0</v>
      </c>
      <c r="D67" s="1967">
        <v>0</v>
      </c>
      <c r="E67" s="1967">
        <v>0</v>
      </c>
      <c r="F67" s="1967">
        <v>0</v>
      </c>
      <c r="G67" s="1967">
        <v>0</v>
      </c>
      <c r="H67" s="1967">
        <v>0</v>
      </c>
      <c r="I67" s="1968">
        <v>0</v>
      </c>
      <c r="J67" s="1968">
        <v>0</v>
      </c>
      <c r="K67" s="1645">
        <f>SUM(C67:J67)</f>
        <v>0</v>
      </c>
      <c r="L67" s="477">
        <v>0</v>
      </c>
      <c r="M67" s="586"/>
      <c r="N67" s="586"/>
    </row>
    <row r="68" spans="1:14" s="343" customFormat="1" x14ac:dyDescent="0.2">
      <c r="A68" s="1477" t="s">
        <v>607</v>
      </c>
      <c r="B68" s="591">
        <v>2620</v>
      </c>
      <c r="C68" s="1967">
        <v>0</v>
      </c>
      <c r="D68" s="1967">
        <v>0</v>
      </c>
      <c r="E68" s="1967">
        <v>0</v>
      </c>
      <c r="F68" s="1967">
        <v>0</v>
      </c>
      <c r="G68" s="1967">
        <v>0</v>
      </c>
      <c r="H68" s="1967">
        <v>0</v>
      </c>
      <c r="I68" s="1968">
        <v>0</v>
      </c>
      <c r="J68" s="1968">
        <v>0</v>
      </c>
      <c r="K68" s="1645">
        <f>SUM(C68:J68)</f>
        <v>0</v>
      </c>
      <c r="L68" s="1989">
        <v>0</v>
      </c>
      <c r="M68" s="586"/>
      <c r="N68" s="586"/>
    </row>
    <row r="69" spans="1:14" s="343" customFormat="1" x14ac:dyDescent="0.2">
      <c r="A69" s="1477" t="s">
        <v>1061</v>
      </c>
      <c r="B69" s="591">
        <v>2630</v>
      </c>
      <c r="C69" s="1967">
        <v>0</v>
      </c>
      <c r="D69" s="1967">
        <v>0</v>
      </c>
      <c r="E69" s="1967">
        <v>0</v>
      </c>
      <c r="F69" s="1967">
        <v>0</v>
      </c>
      <c r="G69" s="1967">
        <v>0</v>
      </c>
      <c r="H69" s="1967">
        <v>0</v>
      </c>
      <c r="I69" s="1968">
        <v>0</v>
      </c>
      <c r="J69" s="1968">
        <v>0</v>
      </c>
      <c r="K69" s="1645">
        <f>SUM(C69:J69)</f>
        <v>0</v>
      </c>
      <c r="L69" s="1989">
        <v>0</v>
      </c>
      <c r="M69" s="586"/>
      <c r="N69" s="586"/>
    </row>
    <row r="70" spans="1:14" s="343" customFormat="1" x14ac:dyDescent="0.2">
      <c r="A70" s="1477" t="s">
        <v>403</v>
      </c>
      <c r="B70" s="591">
        <v>2640</v>
      </c>
      <c r="C70" s="1967">
        <v>0</v>
      </c>
      <c r="D70" s="1967">
        <v>0</v>
      </c>
      <c r="E70" s="1967">
        <v>0</v>
      </c>
      <c r="F70" s="1967">
        <v>0</v>
      </c>
      <c r="G70" s="1967">
        <v>0</v>
      </c>
      <c r="H70" s="1967">
        <v>0</v>
      </c>
      <c r="I70" s="1968">
        <v>0</v>
      </c>
      <c r="J70" s="1968">
        <v>0</v>
      </c>
      <c r="K70" s="1645">
        <f>SUM(C70:J70)</f>
        <v>0</v>
      </c>
      <c r="L70" s="1989">
        <v>0</v>
      </c>
      <c r="M70" s="586"/>
      <c r="N70" s="586"/>
    </row>
    <row r="71" spans="1:14" s="343" customFormat="1" x14ac:dyDescent="0.2">
      <c r="A71" s="1477" t="s">
        <v>404</v>
      </c>
      <c r="B71" s="591">
        <v>2660</v>
      </c>
      <c r="C71" s="1967">
        <v>0</v>
      </c>
      <c r="D71" s="1967">
        <v>0</v>
      </c>
      <c r="E71" s="1967">
        <v>0</v>
      </c>
      <c r="F71" s="1967">
        <v>0</v>
      </c>
      <c r="G71" s="1967">
        <v>0</v>
      </c>
      <c r="H71" s="1967">
        <v>0</v>
      </c>
      <c r="I71" s="1968">
        <v>0</v>
      </c>
      <c r="J71" s="1968">
        <v>0</v>
      </c>
      <c r="K71" s="1645">
        <f>SUM(C71:J71)</f>
        <v>0</v>
      </c>
      <c r="L71" s="1989">
        <v>0</v>
      </c>
      <c r="M71" s="586"/>
      <c r="N71" s="586"/>
    </row>
    <row r="72" spans="1:14" s="343" customFormat="1" ht="12.75" customHeight="1" thickBot="1" x14ac:dyDescent="0.25">
      <c r="A72" s="1641" t="s">
        <v>37</v>
      </c>
      <c r="B72" s="1648" t="s">
        <v>36</v>
      </c>
      <c r="C72" s="1643">
        <f>SUM(C67:C71)</f>
        <v>0</v>
      </c>
      <c r="D72" s="1643">
        <f t="shared" ref="D72:K72" si="9">SUM(D67:D71)</f>
        <v>0</v>
      </c>
      <c r="E72" s="1643">
        <f t="shared" si="9"/>
        <v>0</v>
      </c>
      <c r="F72" s="1643">
        <f t="shared" si="9"/>
        <v>0</v>
      </c>
      <c r="G72" s="1643">
        <f t="shared" si="9"/>
        <v>0</v>
      </c>
      <c r="H72" s="1643">
        <f t="shared" si="9"/>
        <v>0</v>
      </c>
      <c r="I72" s="1643">
        <f t="shared" si="9"/>
        <v>0</v>
      </c>
      <c r="J72" s="1643">
        <f t="shared" si="9"/>
        <v>0</v>
      </c>
      <c r="K72" s="1643">
        <f t="shared" si="9"/>
        <v>0</v>
      </c>
      <c r="L72" s="1643">
        <f>SUM(L67:L71)</f>
        <v>0</v>
      </c>
      <c r="M72" s="586"/>
      <c r="N72" s="586"/>
    </row>
    <row r="73" spans="1:14" s="343" customFormat="1" ht="14.25" thickTop="1" thickBot="1" x14ac:dyDescent="0.25">
      <c r="A73" s="1483" t="s">
        <v>980</v>
      </c>
      <c r="B73" s="609" t="s">
        <v>574</v>
      </c>
      <c r="C73" s="1978">
        <v>0</v>
      </c>
      <c r="D73" s="1978">
        <v>0</v>
      </c>
      <c r="E73" s="1978">
        <v>0</v>
      </c>
      <c r="F73" s="1978">
        <v>0</v>
      </c>
      <c r="G73" s="1978">
        <v>0</v>
      </c>
      <c r="H73" s="1978">
        <v>0</v>
      </c>
      <c r="I73" s="1975">
        <v>0</v>
      </c>
      <c r="J73" s="1975">
        <v>0</v>
      </c>
      <c r="K73" s="1643">
        <f>SUM(C73:J73)</f>
        <v>0</v>
      </c>
      <c r="L73" s="2002">
        <v>0</v>
      </c>
      <c r="M73" s="586"/>
      <c r="N73" s="586"/>
    </row>
    <row r="74" spans="1:14" ht="12.75" customHeight="1" thickTop="1" thickBot="1" x14ac:dyDescent="0.25">
      <c r="A74" s="1641" t="s">
        <v>811</v>
      </c>
      <c r="B74" s="1649">
        <v>2000</v>
      </c>
      <c r="C74" s="1650">
        <f>SUM(C42,C47,C53,C57,C65,C72,C73)</f>
        <v>410000</v>
      </c>
      <c r="D74" s="1650">
        <f t="shared" ref="D74:K74" si="10">SUM(D42,D47,D53,D57,D65,D72,D73)</f>
        <v>29769</v>
      </c>
      <c r="E74" s="1650">
        <f t="shared" si="10"/>
        <v>62602</v>
      </c>
      <c r="F74" s="1650">
        <f t="shared" si="10"/>
        <v>33812</v>
      </c>
      <c r="G74" s="1650">
        <f t="shared" si="10"/>
        <v>0</v>
      </c>
      <c r="H74" s="1650">
        <f t="shared" si="10"/>
        <v>31295</v>
      </c>
      <c r="I74" s="1650">
        <f t="shared" si="10"/>
        <v>0</v>
      </c>
      <c r="J74" s="1650">
        <f t="shared" si="10"/>
        <v>0</v>
      </c>
      <c r="K74" s="1650">
        <f t="shared" si="10"/>
        <v>567478</v>
      </c>
      <c r="L74" s="1650">
        <f>SUM(L42,L47,L53,L57,L65,L72,L73)</f>
        <v>597550</v>
      </c>
    </row>
    <row r="75" spans="1:14" s="259" customFormat="1" ht="15.75" customHeight="1" thickTop="1" thickBot="1" x14ac:dyDescent="0.25">
      <c r="A75" s="1583" t="s">
        <v>47</v>
      </c>
      <c r="B75" s="1584" t="s">
        <v>575</v>
      </c>
      <c r="C75" s="1978">
        <v>0</v>
      </c>
      <c r="D75" s="1978">
        <v>0</v>
      </c>
      <c r="E75" s="1978">
        <v>0</v>
      </c>
      <c r="F75" s="1978">
        <v>0</v>
      </c>
      <c r="G75" s="1978">
        <v>0</v>
      </c>
      <c r="H75" s="1978">
        <v>0</v>
      </c>
      <c r="I75" s="1975">
        <v>0</v>
      </c>
      <c r="J75" s="1975">
        <v>0</v>
      </c>
      <c r="K75" s="1643">
        <f>SUM(C75:J75)</f>
        <v>0</v>
      </c>
      <c r="L75" s="2002">
        <v>0</v>
      </c>
      <c r="M75" s="590"/>
      <c r="N75" s="590"/>
    </row>
    <row r="76" spans="1:14" s="610" customFormat="1" ht="15.75" customHeight="1" thickTop="1" x14ac:dyDescent="0.2">
      <c r="A76" s="1585" t="s">
        <v>365</v>
      </c>
      <c r="B76" s="1582" t="s">
        <v>860</v>
      </c>
      <c r="C76" s="595"/>
      <c r="D76" s="595"/>
      <c r="E76" s="593"/>
      <c r="F76" s="595"/>
      <c r="G76" s="595"/>
      <c r="H76" s="593"/>
      <c r="I76" s="593"/>
      <c r="J76" s="593"/>
      <c r="K76" s="593"/>
      <c r="L76" s="593"/>
      <c r="M76" s="184"/>
      <c r="N76" s="184"/>
    </row>
    <row r="77" spans="1:14" s="259" customFormat="1" ht="15.75" customHeight="1" x14ac:dyDescent="0.2">
      <c r="A77" s="598" t="s">
        <v>614</v>
      </c>
      <c r="B77" s="599"/>
      <c r="C77" s="593"/>
      <c r="D77" s="593"/>
      <c r="E77" s="600"/>
      <c r="F77" s="593"/>
      <c r="G77" s="593"/>
      <c r="H77" s="600"/>
      <c r="I77" s="593"/>
      <c r="J77" s="593"/>
      <c r="K77" s="600"/>
      <c r="L77" s="600"/>
      <c r="M77" s="590"/>
      <c r="N77" s="590"/>
    </row>
    <row r="78" spans="1:14" x14ac:dyDescent="0.2">
      <c r="A78" s="1477" t="s">
        <v>496</v>
      </c>
      <c r="B78" s="591">
        <v>4110</v>
      </c>
      <c r="C78" s="593"/>
      <c r="D78" s="593"/>
      <c r="E78" s="477">
        <v>0</v>
      </c>
      <c r="F78" s="593"/>
      <c r="G78" s="593"/>
      <c r="H78" s="611">
        <v>0</v>
      </c>
      <c r="I78" s="473"/>
      <c r="J78" s="473"/>
      <c r="K78" s="1644">
        <f t="shared" ref="K78:K83" si="11">SUM(C78:J78)</f>
        <v>0</v>
      </c>
      <c r="L78" s="477">
        <v>0</v>
      </c>
    </row>
    <row r="79" spans="1:14" x14ac:dyDescent="0.2">
      <c r="A79" s="1477" t="s">
        <v>304</v>
      </c>
      <c r="B79" s="591">
        <v>4120</v>
      </c>
      <c r="C79" s="593"/>
      <c r="D79" s="593"/>
      <c r="E79" s="1967">
        <v>25167</v>
      </c>
      <c r="F79" s="593"/>
      <c r="G79" s="593"/>
      <c r="H79" s="1967">
        <v>0</v>
      </c>
      <c r="I79" s="473"/>
      <c r="J79" s="473"/>
      <c r="K79" s="1644">
        <f t="shared" si="11"/>
        <v>25167</v>
      </c>
      <c r="L79" s="1989">
        <v>37900</v>
      </c>
    </row>
    <row r="80" spans="1:14" x14ac:dyDescent="0.2">
      <c r="A80" s="1477" t="s">
        <v>305</v>
      </c>
      <c r="B80" s="591">
        <v>4130</v>
      </c>
      <c r="C80" s="593"/>
      <c r="D80" s="593"/>
      <c r="E80" s="1967">
        <v>0</v>
      </c>
      <c r="F80" s="593"/>
      <c r="G80" s="593"/>
      <c r="H80" s="1967">
        <v>0</v>
      </c>
      <c r="I80" s="473"/>
      <c r="J80" s="473"/>
      <c r="K80" s="1644">
        <f t="shared" si="11"/>
        <v>0</v>
      </c>
      <c r="L80" s="1989">
        <v>0</v>
      </c>
    </row>
    <row r="81" spans="1:12" x14ac:dyDescent="0.2">
      <c r="A81" s="1477" t="s">
        <v>697</v>
      </c>
      <c r="B81" s="591">
        <v>4140</v>
      </c>
      <c r="C81" s="593"/>
      <c r="D81" s="593"/>
      <c r="E81" s="1967">
        <v>0</v>
      </c>
      <c r="F81" s="593"/>
      <c r="G81" s="593"/>
      <c r="H81" s="1967">
        <v>0</v>
      </c>
      <c r="I81" s="473"/>
      <c r="J81" s="473"/>
      <c r="K81" s="1644">
        <f t="shared" si="11"/>
        <v>0</v>
      </c>
      <c r="L81" s="1989">
        <v>0</v>
      </c>
    </row>
    <row r="82" spans="1:12" x14ac:dyDescent="0.2">
      <c r="A82" s="1477" t="s">
        <v>86</v>
      </c>
      <c r="B82" s="591">
        <v>4170</v>
      </c>
      <c r="C82" s="593"/>
      <c r="D82" s="593"/>
      <c r="E82" s="1967">
        <v>0</v>
      </c>
      <c r="F82" s="593"/>
      <c r="G82" s="593"/>
      <c r="H82" s="1967">
        <v>0</v>
      </c>
      <c r="I82" s="473"/>
      <c r="J82" s="473"/>
      <c r="K82" s="1644">
        <f t="shared" si="11"/>
        <v>0</v>
      </c>
      <c r="L82" s="1989">
        <v>0</v>
      </c>
    </row>
    <row r="83" spans="1:12" x14ac:dyDescent="0.2">
      <c r="A83" s="1481" t="s">
        <v>698</v>
      </c>
      <c r="B83" s="605">
        <v>4190</v>
      </c>
      <c r="C83" s="593"/>
      <c r="D83" s="593"/>
      <c r="E83" s="1967">
        <v>0</v>
      </c>
      <c r="F83" s="593"/>
      <c r="G83" s="593"/>
      <c r="H83" s="1967">
        <v>0</v>
      </c>
      <c r="I83" s="473"/>
      <c r="J83" s="473"/>
      <c r="K83" s="1644">
        <f t="shared" si="11"/>
        <v>0</v>
      </c>
      <c r="L83" s="1989">
        <v>0</v>
      </c>
    </row>
    <row r="84" spans="1:12" ht="13.5" thickBot="1" x14ac:dyDescent="0.25">
      <c r="A84" s="1641" t="s">
        <v>1485</v>
      </c>
      <c r="B84" s="1651">
        <v>4100</v>
      </c>
      <c r="C84" s="593"/>
      <c r="D84" s="593"/>
      <c r="E84" s="1643">
        <f>SUM(E78:E83)</f>
        <v>25167</v>
      </c>
      <c r="F84" s="593"/>
      <c r="G84" s="593"/>
      <c r="H84" s="1643">
        <f>SUM(H78:H83)</f>
        <v>0</v>
      </c>
      <c r="I84" s="473"/>
      <c r="J84" s="473"/>
      <c r="K84" s="1643">
        <f>SUM(K78:K83)</f>
        <v>25167</v>
      </c>
      <c r="L84" s="1643">
        <f>SUM(L78:L83)</f>
        <v>37900</v>
      </c>
    </row>
    <row r="85" spans="1:12" ht="12.75" customHeight="1" thickTop="1" thickBot="1" x14ac:dyDescent="0.25">
      <c r="A85" s="1484" t="s">
        <v>255</v>
      </c>
      <c r="B85" s="612">
        <v>4210</v>
      </c>
      <c r="C85" s="593"/>
      <c r="D85" s="593"/>
      <c r="E85" s="613"/>
      <c r="F85" s="593"/>
      <c r="G85" s="593"/>
      <c r="H85" s="1977">
        <v>0</v>
      </c>
      <c r="I85" s="473"/>
      <c r="J85" s="473"/>
      <c r="K85" s="1650">
        <f>H85</f>
        <v>0</v>
      </c>
      <c r="L85" s="1997">
        <v>0</v>
      </c>
    </row>
    <row r="86" spans="1:12" ht="12.75" customHeight="1" thickTop="1" thickBot="1" x14ac:dyDescent="0.25">
      <c r="A86" s="1485" t="s">
        <v>699</v>
      </c>
      <c r="B86" s="614">
        <v>4220</v>
      </c>
      <c r="C86" s="593"/>
      <c r="D86" s="593"/>
      <c r="E86" s="615"/>
      <c r="F86" s="593"/>
      <c r="G86" s="593"/>
      <c r="H86" s="1968">
        <v>170082</v>
      </c>
      <c r="I86" s="473"/>
      <c r="J86" s="473"/>
      <c r="K86" s="1650">
        <f t="shared" ref="K86:K98" si="12">H86</f>
        <v>170082</v>
      </c>
      <c r="L86" s="1997">
        <v>235000</v>
      </c>
    </row>
    <row r="87" spans="1:12" ht="14.25" thickTop="1" thickBot="1" x14ac:dyDescent="0.25">
      <c r="A87" s="1486" t="s">
        <v>700</v>
      </c>
      <c r="B87" s="616">
        <v>4230</v>
      </c>
      <c r="C87" s="593"/>
      <c r="D87" s="593"/>
      <c r="E87" s="615"/>
      <c r="F87" s="593"/>
      <c r="G87" s="593"/>
      <c r="H87" s="1968">
        <v>0</v>
      </c>
      <c r="I87" s="473"/>
      <c r="J87" s="473"/>
      <c r="K87" s="1650">
        <f t="shared" si="12"/>
        <v>0</v>
      </c>
      <c r="L87" s="1997">
        <v>0</v>
      </c>
    </row>
    <row r="88" spans="1:12" ht="12.75" customHeight="1" thickTop="1" thickBot="1" x14ac:dyDescent="0.25">
      <c r="A88" s="1486" t="s">
        <v>765</v>
      </c>
      <c r="B88" s="616">
        <v>4240</v>
      </c>
      <c r="C88" s="593"/>
      <c r="D88" s="593"/>
      <c r="E88" s="615"/>
      <c r="F88" s="593"/>
      <c r="G88" s="593"/>
      <c r="H88" s="1968">
        <v>0</v>
      </c>
      <c r="I88" s="473"/>
      <c r="J88" s="473"/>
      <c r="K88" s="1650">
        <f t="shared" si="12"/>
        <v>0</v>
      </c>
      <c r="L88" s="1997">
        <v>0</v>
      </c>
    </row>
    <row r="89" spans="1:12" ht="12.75" customHeight="1" thickTop="1" thickBot="1" x14ac:dyDescent="0.25">
      <c r="A89" s="1486" t="s">
        <v>701</v>
      </c>
      <c r="B89" s="616">
        <v>4270</v>
      </c>
      <c r="C89" s="593"/>
      <c r="D89" s="593"/>
      <c r="E89" s="615"/>
      <c r="F89" s="593"/>
      <c r="G89" s="593"/>
      <c r="H89" s="1968">
        <v>0</v>
      </c>
      <c r="I89" s="473"/>
      <c r="J89" s="473"/>
      <c r="K89" s="1650">
        <f t="shared" si="12"/>
        <v>0</v>
      </c>
      <c r="L89" s="1997">
        <v>0</v>
      </c>
    </row>
    <row r="90" spans="1:12" ht="12.75" customHeight="1" thickTop="1" thickBot="1" x14ac:dyDescent="0.25">
      <c r="A90" s="1486" t="s">
        <v>686</v>
      </c>
      <c r="B90" s="616">
        <v>4280</v>
      </c>
      <c r="C90" s="593"/>
      <c r="D90" s="593"/>
      <c r="E90" s="615"/>
      <c r="F90" s="593"/>
      <c r="G90" s="593"/>
      <c r="H90" s="1968">
        <v>0</v>
      </c>
      <c r="I90" s="473"/>
      <c r="J90" s="473"/>
      <c r="K90" s="1650">
        <f t="shared" si="12"/>
        <v>0</v>
      </c>
      <c r="L90" s="1997">
        <v>0</v>
      </c>
    </row>
    <row r="91" spans="1:12" ht="12.75" customHeight="1" thickTop="1" thickBot="1" x14ac:dyDescent="0.25">
      <c r="A91" s="1486" t="s">
        <v>687</v>
      </c>
      <c r="B91" s="616">
        <v>4290</v>
      </c>
      <c r="C91" s="593"/>
      <c r="D91" s="593"/>
      <c r="E91" s="615"/>
      <c r="F91" s="593"/>
      <c r="G91" s="593"/>
      <c r="H91" s="1968">
        <v>0</v>
      </c>
      <c r="I91" s="473"/>
      <c r="J91" s="473"/>
      <c r="K91" s="1650">
        <f t="shared" si="12"/>
        <v>0</v>
      </c>
      <c r="L91" s="1997">
        <v>0</v>
      </c>
    </row>
    <row r="92" spans="1:12" ht="14.25" thickTop="1" thickBot="1" x14ac:dyDescent="0.25">
      <c r="A92" s="1653" t="s">
        <v>1560</v>
      </c>
      <c r="B92" s="1651">
        <v>4200</v>
      </c>
      <c r="C92" s="593"/>
      <c r="D92" s="593"/>
      <c r="E92" s="615"/>
      <c r="F92" s="593"/>
      <c r="G92" s="593"/>
      <c r="H92" s="1643">
        <f>SUM(H85:H91)</f>
        <v>170082</v>
      </c>
      <c r="I92" s="473"/>
      <c r="J92" s="473"/>
      <c r="K92" s="1650">
        <f t="shared" si="12"/>
        <v>170082</v>
      </c>
      <c r="L92" s="1643">
        <f>SUM(L85:L91)</f>
        <v>235000</v>
      </c>
    </row>
    <row r="93" spans="1:12" ht="14.25" thickTop="1" thickBot="1" x14ac:dyDescent="0.25">
      <c r="A93" s="1485" t="s">
        <v>688</v>
      </c>
      <c r="B93" s="617">
        <v>4310</v>
      </c>
      <c r="C93" s="593"/>
      <c r="D93" s="593"/>
      <c r="E93" s="615"/>
      <c r="F93" s="593"/>
      <c r="G93" s="593"/>
      <c r="H93" s="1971">
        <v>0</v>
      </c>
      <c r="I93" s="473"/>
      <c r="J93" s="473"/>
      <c r="K93" s="1650">
        <f t="shared" si="12"/>
        <v>0</v>
      </c>
      <c r="L93" s="1999">
        <v>0</v>
      </c>
    </row>
    <row r="94" spans="1:12" ht="12.75" customHeight="1" thickTop="1" thickBot="1" x14ac:dyDescent="0.25">
      <c r="A94" s="1486" t="s">
        <v>689</v>
      </c>
      <c r="B94" s="616">
        <v>4320</v>
      </c>
      <c r="C94" s="593"/>
      <c r="D94" s="593"/>
      <c r="E94" s="615"/>
      <c r="F94" s="593"/>
      <c r="G94" s="593"/>
      <c r="H94" s="1968">
        <v>0</v>
      </c>
      <c r="I94" s="473"/>
      <c r="J94" s="473"/>
      <c r="K94" s="1650">
        <f t="shared" si="12"/>
        <v>0</v>
      </c>
      <c r="L94" s="1997">
        <v>0</v>
      </c>
    </row>
    <row r="95" spans="1:12" ht="15" customHeight="1" thickTop="1" thickBot="1" x14ac:dyDescent="0.25">
      <c r="A95" s="1486" t="s">
        <v>1488</v>
      </c>
      <c r="B95" s="616">
        <v>4330</v>
      </c>
      <c r="C95" s="593"/>
      <c r="D95" s="593"/>
      <c r="E95" s="615"/>
      <c r="F95" s="593"/>
      <c r="G95" s="593"/>
      <c r="H95" s="1968">
        <v>0</v>
      </c>
      <c r="I95" s="473"/>
      <c r="J95" s="473"/>
      <c r="K95" s="1650">
        <f t="shared" si="12"/>
        <v>0</v>
      </c>
      <c r="L95" s="1997">
        <v>0</v>
      </c>
    </row>
    <row r="96" spans="1:12" ht="14.25" thickTop="1" thickBot="1" x14ac:dyDescent="0.25">
      <c r="A96" s="1486" t="s">
        <v>690</v>
      </c>
      <c r="B96" s="616">
        <v>4340</v>
      </c>
      <c r="C96" s="593"/>
      <c r="D96" s="593"/>
      <c r="E96" s="615"/>
      <c r="F96" s="593"/>
      <c r="G96" s="593"/>
      <c r="H96" s="1968">
        <v>0</v>
      </c>
      <c r="I96" s="473"/>
      <c r="J96" s="473"/>
      <c r="K96" s="1650">
        <f t="shared" si="12"/>
        <v>0</v>
      </c>
      <c r="L96" s="1997">
        <v>0</v>
      </c>
    </row>
    <row r="97" spans="1:14" ht="12.75" customHeight="1" thickTop="1" thickBot="1" x14ac:dyDescent="0.25">
      <c r="A97" s="1486" t="s">
        <v>763</v>
      </c>
      <c r="B97" s="616">
        <v>4370</v>
      </c>
      <c r="C97" s="593"/>
      <c r="D97" s="593"/>
      <c r="E97" s="615"/>
      <c r="F97" s="593"/>
      <c r="G97" s="593"/>
      <c r="H97" s="1968">
        <v>0</v>
      </c>
      <c r="I97" s="473"/>
      <c r="J97" s="473"/>
      <c r="K97" s="1650">
        <f t="shared" si="12"/>
        <v>0</v>
      </c>
      <c r="L97" s="1997">
        <v>0</v>
      </c>
    </row>
    <row r="98" spans="1:14" ht="14.25" thickTop="1" thickBot="1" x14ac:dyDescent="0.25">
      <c r="A98" s="1486" t="s">
        <v>764</v>
      </c>
      <c r="B98" s="616">
        <v>4380</v>
      </c>
      <c r="C98" s="593"/>
      <c r="D98" s="593"/>
      <c r="E98" s="618"/>
      <c r="F98" s="593"/>
      <c r="G98" s="593"/>
      <c r="H98" s="1968">
        <v>0</v>
      </c>
      <c r="I98" s="473"/>
      <c r="J98" s="473"/>
      <c r="K98" s="1650">
        <f t="shared" si="12"/>
        <v>0</v>
      </c>
      <c r="L98" s="1997">
        <v>0</v>
      </c>
    </row>
    <row r="99" spans="1:14" ht="14.25" thickTop="1" thickBot="1" x14ac:dyDescent="0.25">
      <c r="A99" s="1486" t="s">
        <v>367</v>
      </c>
      <c r="B99" s="616">
        <v>4390</v>
      </c>
      <c r="C99" s="593"/>
      <c r="D99" s="593"/>
      <c r="E99" s="1976">
        <v>0</v>
      </c>
      <c r="F99" s="593"/>
      <c r="G99" s="593"/>
      <c r="H99" s="1968">
        <v>0</v>
      </c>
      <c r="I99" s="473"/>
      <c r="J99" s="473"/>
      <c r="K99" s="1650">
        <f>SUM(E99,H99)</f>
        <v>0</v>
      </c>
      <c r="L99" s="1997">
        <v>0</v>
      </c>
    </row>
    <row r="100" spans="1:14" ht="14.25" thickTop="1" thickBot="1" x14ac:dyDescent="0.25">
      <c r="A100" s="1653" t="s">
        <v>1486</v>
      </c>
      <c r="B100" s="1654">
        <v>4300</v>
      </c>
      <c r="C100" s="593"/>
      <c r="D100" s="593"/>
      <c r="E100" s="1650">
        <f>SUM(E93:E99)</f>
        <v>0</v>
      </c>
      <c r="F100" s="593"/>
      <c r="G100" s="593"/>
      <c r="H100" s="1650">
        <f>SUM(H93:H99)</f>
        <v>0</v>
      </c>
      <c r="I100" s="473"/>
      <c r="J100" s="473"/>
      <c r="K100" s="1650">
        <f>SUM(K93:K99)</f>
        <v>0</v>
      </c>
      <c r="L100" s="1650">
        <f>SUM(L93:L99)</f>
        <v>0</v>
      </c>
    </row>
    <row r="101" spans="1:14" ht="12.75" customHeight="1" thickTop="1" thickBot="1" x14ac:dyDescent="0.25">
      <c r="A101" s="1483" t="s">
        <v>1489</v>
      </c>
      <c r="B101" s="619" t="s">
        <v>931</v>
      </c>
      <c r="C101" s="593"/>
      <c r="D101" s="593"/>
      <c r="E101" s="1975">
        <v>0</v>
      </c>
      <c r="F101" s="593"/>
      <c r="G101" s="593"/>
      <c r="H101" s="1975">
        <v>0</v>
      </c>
      <c r="I101" s="473"/>
      <c r="J101" s="473"/>
      <c r="K101" s="1652">
        <f>SUM(C101:J101)</f>
        <v>0</v>
      </c>
      <c r="L101" s="1997">
        <v>0</v>
      </c>
    </row>
    <row r="102" spans="1:14" ht="12.75" customHeight="1" thickTop="1" thickBot="1" x14ac:dyDescent="0.25">
      <c r="A102" s="1641" t="s">
        <v>1487</v>
      </c>
      <c r="B102" s="1651">
        <v>4000</v>
      </c>
      <c r="C102" s="593"/>
      <c r="D102" s="593"/>
      <c r="E102" s="1650">
        <f>SUM(E84,E92,E100,E101)</f>
        <v>25167</v>
      </c>
      <c r="F102" s="593"/>
      <c r="G102" s="593"/>
      <c r="H102" s="1650">
        <f>SUM(H84,H92,H100,H101)</f>
        <v>170082</v>
      </c>
      <c r="I102" s="473"/>
      <c r="J102" s="473"/>
      <c r="K102" s="1650">
        <f>SUM(K84,K92,K100,K101)</f>
        <v>195249</v>
      </c>
      <c r="L102" s="1650">
        <f>SUM(L84,L92,L100,L101)</f>
        <v>272900</v>
      </c>
    </row>
    <row r="103" spans="1:14" s="610" customFormat="1" ht="15.75" customHeight="1" thickTop="1" x14ac:dyDescent="0.2">
      <c r="A103" s="1585" t="s">
        <v>513</v>
      </c>
      <c r="B103" s="1582" t="s">
        <v>492</v>
      </c>
      <c r="C103" s="593"/>
      <c r="D103" s="593"/>
      <c r="E103" s="593"/>
      <c r="F103" s="593"/>
      <c r="G103" s="593"/>
      <c r="H103" s="595"/>
      <c r="I103" s="467"/>
      <c r="J103" s="467"/>
      <c r="K103" s="595"/>
      <c r="L103" s="595"/>
      <c r="M103" s="184"/>
      <c r="N103" s="184"/>
    </row>
    <row r="104" spans="1:14" s="622" customFormat="1" ht="15.75" customHeight="1" x14ac:dyDescent="0.2">
      <c r="A104" s="620" t="s">
        <v>615</v>
      </c>
      <c r="B104" s="621"/>
      <c r="C104" s="593"/>
      <c r="D104" s="593"/>
      <c r="E104" s="593"/>
      <c r="F104" s="593"/>
      <c r="G104" s="593"/>
      <c r="H104" s="600"/>
      <c r="I104" s="467"/>
      <c r="J104" s="467"/>
      <c r="K104" s="600"/>
      <c r="L104" s="600"/>
      <c r="M104" s="590"/>
      <c r="N104" s="590"/>
    </row>
    <row r="105" spans="1:14" s="574" customFormat="1" x14ac:dyDescent="0.2">
      <c r="A105" s="1477" t="s">
        <v>87</v>
      </c>
      <c r="B105" s="591">
        <v>5110</v>
      </c>
      <c r="C105" s="593"/>
      <c r="D105" s="593"/>
      <c r="E105" s="593"/>
      <c r="F105" s="593"/>
      <c r="G105" s="593"/>
      <c r="H105" s="477">
        <v>0</v>
      </c>
      <c r="I105" s="467"/>
      <c r="J105" s="467"/>
      <c r="K105" s="1644">
        <f>H105</f>
        <v>0</v>
      </c>
      <c r="L105" s="477">
        <v>0</v>
      </c>
      <c r="M105" s="210"/>
      <c r="N105" s="210"/>
    </row>
    <row r="106" spans="1:14" s="574" customFormat="1" x14ac:dyDescent="0.2">
      <c r="A106" s="1477" t="s">
        <v>88</v>
      </c>
      <c r="B106" s="591">
        <v>5120</v>
      </c>
      <c r="C106" s="593"/>
      <c r="D106" s="593"/>
      <c r="E106" s="593"/>
      <c r="F106" s="593"/>
      <c r="G106" s="593"/>
      <c r="H106" s="1967">
        <v>0</v>
      </c>
      <c r="I106" s="467"/>
      <c r="J106" s="467"/>
      <c r="K106" s="1644">
        <f>H106</f>
        <v>0</v>
      </c>
      <c r="L106" s="1989">
        <v>0</v>
      </c>
      <c r="M106" s="210"/>
      <c r="N106" s="210"/>
    </row>
    <row r="107" spans="1:14" s="574" customFormat="1" ht="12.75" customHeight="1" x14ac:dyDescent="0.2">
      <c r="A107" s="1477" t="s">
        <v>1170</v>
      </c>
      <c r="B107" s="591">
        <v>5130</v>
      </c>
      <c r="C107" s="593"/>
      <c r="D107" s="593"/>
      <c r="E107" s="593"/>
      <c r="F107" s="593"/>
      <c r="G107" s="593"/>
      <c r="H107" s="1967">
        <v>0</v>
      </c>
      <c r="I107" s="467"/>
      <c r="J107" s="467"/>
      <c r="K107" s="1644">
        <f>H107</f>
        <v>0</v>
      </c>
      <c r="L107" s="1989">
        <v>0</v>
      </c>
      <c r="M107" s="210"/>
      <c r="N107" s="210"/>
    </row>
    <row r="108" spans="1:14" s="574" customFormat="1" x14ac:dyDescent="0.2">
      <c r="A108" s="1477" t="s">
        <v>89</v>
      </c>
      <c r="B108" s="591" t="s">
        <v>589</v>
      </c>
      <c r="C108" s="593"/>
      <c r="D108" s="593"/>
      <c r="E108" s="593"/>
      <c r="F108" s="593"/>
      <c r="G108" s="593"/>
      <c r="H108" s="1967">
        <v>0</v>
      </c>
      <c r="I108" s="467"/>
      <c r="J108" s="467"/>
      <c r="K108" s="1644">
        <f>H108</f>
        <v>0</v>
      </c>
      <c r="L108" s="1989">
        <v>0</v>
      </c>
      <c r="M108" s="210"/>
      <c r="N108" s="210"/>
    </row>
    <row r="109" spans="1:14" s="574" customFormat="1" x14ac:dyDescent="0.2">
      <c r="A109" s="1477" t="s">
        <v>254</v>
      </c>
      <c r="B109" s="605">
        <v>5150</v>
      </c>
      <c r="C109" s="593"/>
      <c r="D109" s="593"/>
      <c r="E109" s="593"/>
      <c r="F109" s="593"/>
      <c r="G109" s="593"/>
      <c r="H109" s="1967">
        <v>0</v>
      </c>
      <c r="I109" s="467"/>
      <c r="J109" s="467"/>
      <c r="K109" s="1644">
        <f>H109</f>
        <v>0</v>
      </c>
      <c r="L109" s="1989">
        <v>0</v>
      </c>
      <c r="M109" s="210"/>
      <c r="N109" s="210"/>
    </row>
    <row r="110" spans="1:14" s="574" customFormat="1" ht="12.75" customHeight="1" thickBot="1" x14ac:dyDescent="0.25">
      <c r="A110" s="1641" t="s">
        <v>1102</v>
      </c>
      <c r="B110" s="1648" t="s">
        <v>718</v>
      </c>
      <c r="C110" s="593"/>
      <c r="D110" s="593"/>
      <c r="E110" s="593"/>
      <c r="F110" s="593"/>
      <c r="G110" s="593"/>
      <c r="H110" s="1643">
        <f>SUM(H105:H109)</f>
        <v>0</v>
      </c>
      <c r="I110" s="467"/>
      <c r="J110" s="467"/>
      <c r="K110" s="1643">
        <f>SUM(K105:K109)</f>
        <v>0</v>
      </c>
      <c r="L110" s="1643">
        <f>SUM(L105:L109)</f>
        <v>0</v>
      </c>
      <c r="M110" s="210"/>
      <c r="N110" s="210"/>
    </row>
    <row r="111" spans="1:14" s="574" customFormat="1" ht="12.75" customHeight="1" thickTop="1" thickBot="1" x14ac:dyDescent="0.25">
      <c r="A111" s="1487" t="s">
        <v>368</v>
      </c>
      <c r="B111" s="623" t="s">
        <v>38</v>
      </c>
      <c r="C111" s="593"/>
      <c r="D111" s="593"/>
      <c r="E111" s="593"/>
      <c r="F111" s="593"/>
      <c r="G111" s="593"/>
      <c r="H111" s="1977">
        <v>0</v>
      </c>
      <c r="I111" s="467"/>
      <c r="J111" s="467"/>
      <c r="K111" s="1656">
        <f>H111</f>
        <v>0</v>
      </c>
      <c r="L111" s="1999">
        <v>0</v>
      </c>
      <c r="M111" s="210"/>
      <c r="N111" s="210"/>
    </row>
    <row r="112" spans="1:14" s="574" customFormat="1" ht="12.75" customHeight="1" thickTop="1" thickBot="1" x14ac:dyDescent="0.25">
      <c r="A112" s="1641" t="s">
        <v>638</v>
      </c>
      <c r="B112" s="1642" t="s">
        <v>492</v>
      </c>
      <c r="C112" s="593"/>
      <c r="D112" s="593"/>
      <c r="E112" s="593"/>
      <c r="F112" s="593"/>
      <c r="G112" s="593"/>
      <c r="H112" s="1643">
        <f>SUM(H110:H111)</f>
        <v>0</v>
      </c>
      <c r="I112" s="467"/>
      <c r="J112" s="467"/>
      <c r="K112" s="1643">
        <f>SUM(K110:K111)</f>
        <v>0</v>
      </c>
      <c r="L112" s="1650">
        <f>SUM(L110,L111)</f>
        <v>0</v>
      </c>
      <c r="M112" s="210"/>
      <c r="N112" s="210"/>
    </row>
    <row r="113" spans="1:14" s="259" customFormat="1" ht="15.75" customHeight="1" thickTop="1" thickBot="1" x14ac:dyDescent="0.25">
      <c r="A113" s="1579" t="s">
        <v>514</v>
      </c>
      <c r="B113" s="1586" t="s">
        <v>861</v>
      </c>
      <c r="C113" s="600"/>
      <c r="D113" s="600"/>
      <c r="E113" s="593"/>
      <c r="F113" s="593"/>
      <c r="G113" s="593"/>
      <c r="H113" s="600"/>
      <c r="I113" s="467"/>
      <c r="J113" s="467"/>
      <c r="K113" s="600"/>
      <c r="L113" s="1998">
        <v>0</v>
      </c>
      <c r="M113" s="590"/>
      <c r="N113" s="590"/>
    </row>
    <row r="114" spans="1:14" ht="12.75" customHeight="1" thickTop="1" thickBot="1" x14ac:dyDescent="0.25">
      <c r="A114" s="1641" t="s">
        <v>48</v>
      </c>
      <c r="B114" s="1655"/>
      <c r="C114" s="1643">
        <f>SUM(C33,C74,C75,C102,C112,C113)</f>
        <v>2159837</v>
      </c>
      <c r="D114" s="1643">
        <f t="shared" ref="D114:K114" si="13">SUM(D33,D74,D75,D102,D112,D113)</f>
        <v>476570</v>
      </c>
      <c r="E114" s="1643">
        <f t="shared" si="13"/>
        <v>111256</v>
      </c>
      <c r="F114" s="1643">
        <f t="shared" si="13"/>
        <v>154990</v>
      </c>
      <c r="G114" s="1643">
        <f t="shared" si="13"/>
        <v>0</v>
      </c>
      <c r="H114" s="1643">
        <f>SUM(H33,H74,H75,H102,H112,H113)</f>
        <v>205813</v>
      </c>
      <c r="I114" s="1643">
        <f t="shared" si="13"/>
        <v>2425</v>
      </c>
      <c r="J114" s="1643">
        <f t="shared" si="13"/>
        <v>0</v>
      </c>
      <c r="K114" s="1643">
        <f t="shared" si="13"/>
        <v>3110891</v>
      </c>
      <c r="L114" s="1643">
        <f>SUM(L33,L74,L75,L102,L112,L113)</f>
        <v>3519636</v>
      </c>
    </row>
    <row r="115" spans="1:14" ht="13.5" thickTop="1" x14ac:dyDescent="0.2">
      <c r="A115" s="2228" t="s">
        <v>996</v>
      </c>
      <c r="B115" s="2229"/>
      <c r="C115" s="595"/>
      <c r="D115" s="595"/>
      <c r="E115" s="595"/>
      <c r="F115" s="595"/>
      <c r="G115" s="595"/>
      <c r="H115" s="595"/>
      <c r="I115" s="595"/>
      <c r="J115" s="595"/>
      <c r="K115" s="1657">
        <f>'Revenues 9-14'!C268-'Expenditures 15-22'!K114</f>
        <v>741603</v>
      </c>
      <c r="L115" s="595"/>
    </row>
    <row r="116" spans="1:14" s="180" customFormat="1" ht="9" customHeight="1" x14ac:dyDescent="0.2">
      <c r="A116" s="624"/>
      <c r="B116" s="625"/>
      <c r="C116" s="626"/>
      <c r="D116" s="626"/>
      <c r="E116" s="626"/>
      <c r="F116" s="626"/>
      <c r="G116" s="626"/>
      <c r="H116" s="626"/>
      <c r="I116" s="626"/>
      <c r="J116" s="626"/>
      <c r="K116" s="626"/>
      <c r="L116" s="626"/>
      <c r="M116" s="210"/>
      <c r="N116" s="210"/>
    </row>
    <row r="117" spans="1:14" s="627" customFormat="1" ht="16.7" customHeight="1" x14ac:dyDescent="0.2">
      <c r="A117" s="2233" t="s">
        <v>296</v>
      </c>
      <c r="B117" s="2234"/>
      <c r="C117" s="1599"/>
      <c r="D117" s="1600"/>
      <c r="E117" s="1600"/>
      <c r="F117" s="1600"/>
      <c r="G117" s="1600"/>
      <c r="H117" s="1600"/>
      <c r="I117" s="1600"/>
      <c r="J117" s="1600"/>
      <c r="K117" s="1600"/>
      <c r="L117" s="1601"/>
      <c r="M117" s="175"/>
      <c r="N117" s="175"/>
    </row>
    <row r="118" spans="1:14" ht="15.75" customHeight="1" x14ac:dyDescent="0.2">
      <c r="A118" s="1587" t="s">
        <v>1035</v>
      </c>
      <c r="B118" s="1588" t="s">
        <v>569</v>
      </c>
      <c r="C118" s="593"/>
      <c r="D118" s="593"/>
      <c r="E118" s="593"/>
      <c r="F118" s="593"/>
      <c r="G118" s="593"/>
      <c r="H118" s="593"/>
      <c r="I118" s="593"/>
      <c r="J118" s="593"/>
      <c r="K118" s="593"/>
      <c r="L118" s="593"/>
    </row>
    <row r="119" spans="1:14" ht="15.75" customHeight="1" x14ac:dyDescent="0.2">
      <c r="A119" s="628" t="s">
        <v>591</v>
      </c>
      <c r="B119" s="599"/>
      <c r="C119" s="600"/>
      <c r="D119" s="600"/>
      <c r="E119" s="600"/>
      <c r="F119" s="593"/>
      <c r="G119" s="593"/>
      <c r="H119" s="600"/>
      <c r="I119" s="593"/>
      <c r="J119" s="593"/>
      <c r="K119" s="600"/>
      <c r="L119" s="600"/>
    </row>
    <row r="120" spans="1:14" ht="12.75" customHeight="1" x14ac:dyDescent="0.2">
      <c r="A120" s="1481" t="s">
        <v>2060</v>
      </c>
      <c r="B120" s="605" t="s">
        <v>716</v>
      </c>
      <c r="C120" s="465">
        <v>0</v>
      </c>
      <c r="D120" s="465">
        <v>0</v>
      </c>
      <c r="E120" s="1989">
        <v>0</v>
      </c>
      <c r="F120" s="1989">
        <v>0</v>
      </c>
      <c r="G120" s="1989">
        <v>0</v>
      </c>
      <c r="H120" s="1989">
        <v>0</v>
      </c>
      <c r="I120" s="1989">
        <v>0</v>
      </c>
      <c r="J120" s="1989">
        <v>0</v>
      </c>
      <c r="K120" s="1644">
        <f>SUM(C120:J120)</f>
        <v>0</v>
      </c>
      <c r="L120" s="1989">
        <v>0</v>
      </c>
    </row>
    <row r="121" spans="1:14" ht="15.75" customHeight="1" x14ac:dyDescent="0.2">
      <c r="A121" s="629" t="s">
        <v>612</v>
      </c>
      <c r="B121" s="599"/>
      <c r="C121" s="514"/>
      <c r="D121" s="514"/>
      <c r="E121" s="514"/>
      <c r="F121" s="514"/>
      <c r="G121" s="514"/>
      <c r="H121" s="514"/>
      <c r="I121" s="593"/>
      <c r="J121" s="593"/>
      <c r="K121" s="600"/>
      <c r="L121" s="514"/>
    </row>
    <row r="122" spans="1:14" ht="13.5" thickBot="1" x14ac:dyDescent="0.25">
      <c r="A122" s="1477" t="s">
        <v>1068</v>
      </c>
      <c r="B122" s="591">
        <v>2510</v>
      </c>
      <c r="C122" s="1967">
        <v>0</v>
      </c>
      <c r="D122" s="1967">
        <v>0</v>
      </c>
      <c r="E122" s="1967">
        <v>0</v>
      </c>
      <c r="F122" s="1967">
        <v>0</v>
      </c>
      <c r="G122" s="1967">
        <v>0</v>
      </c>
      <c r="H122" s="1967">
        <v>0</v>
      </c>
      <c r="I122" s="1968">
        <v>0</v>
      </c>
      <c r="J122" s="1968">
        <v>0</v>
      </c>
      <c r="K122" s="1643">
        <f>SUM(C122:J122)</f>
        <v>0</v>
      </c>
      <c r="L122" s="1989">
        <v>0</v>
      </c>
    </row>
    <row r="123" spans="1:14" ht="14.25" thickTop="1" thickBot="1" x14ac:dyDescent="0.25">
      <c r="A123" s="1477" t="s">
        <v>4</v>
      </c>
      <c r="B123" s="591">
        <v>2530</v>
      </c>
      <c r="C123" s="1967">
        <v>0</v>
      </c>
      <c r="D123" s="1967">
        <v>0</v>
      </c>
      <c r="E123" s="1967">
        <v>0</v>
      </c>
      <c r="F123" s="1967">
        <v>0</v>
      </c>
      <c r="G123" s="1967">
        <v>0</v>
      </c>
      <c r="H123" s="1967">
        <v>0</v>
      </c>
      <c r="I123" s="1968">
        <v>0</v>
      </c>
      <c r="J123" s="1968">
        <v>0</v>
      </c>
      <c r="K123" s="1643">
        <f>SUM(C123:J123)</f>
        <v>0</v>
      </c>
      <c r="L123" s="1989">
        <v>0</v>
      </c>
    </row>
    <row r="124" spans="1:14" ht="14.25" thickTop="1" thickBot="1" x14ac:dyDescent="0.25">
      <c r="A124" s="1477" t="s">
        <v>197</v>
      </c>
      <c r="B124" s="591">
        <v>2540</v>
      </c>
      <c r="C124" s="1967">
        <v>93767</v>
      </c>
      <c r="D124" s="1967">
        <v>0</v>
      </c>
      <c r="E124" s="1967">
        <v>39816</v>
      </c>
      <c r="F124" s="1967">
        <v>60938</v>
      </c>
      <c r="G124" s="1967">
        <v>0</v>
      </c>
      <c r="H124" s="1967">
        <v>1548</v>
      </c>
      <c r="I124" s="1968">
        <v>0</v>
      </c>
      <c r="J124" s="1968">
        <v>0</v>
      </c>
      <c r="K124" s="1643">
        <f>SUM(C124:J124)</f>
        <v>196069</v>
      </c>
      <c r="L124" s="1989">
        <v>304800</v>
      </c>
    </row>
    <row r="125" spans="1:14" ht="14.25" thickTop="1" thickBot="1" x14ac:dyDescent="0.25">
      <c r="A125" s="1477" t="s">
        <v>953</v>
      </c>
      <c r="B125" s="591">
        <v>2550</v>
      </c>
      <c r="C125" s="1967">
        <v>0</v>
      </c>
      <c r="D125" s="1967">
        <v>0</v>
      </c>
      <c r="E125" s="1967">
        <v>0</v>
      </c>
      <c r="F125" s="1967">
        <v>0</v>
      </c>
      <c r="G125" s="1967">
        <v>0</v>
      </c>
      <c r="H125" s="1967">
        <v>0</v>
      </c>
      <c r="I125" s="1968">
        <v>0</v>
      </c>
      <c r="J125" s="1968">
        <v>0</v>
      </c>
      <c r="K125" s="1643">
        <f>SUM(C125:J125)</f>
        <v>0</v>
      </c>
      <c r="L125" s="1989">
        <v>0</v>
      </c>
    </row>
    <row r="126" spans="1:14" ht="14.25" thickTop="1" thickBot="1" x14ac:dyDescent="0.25">
      <c r="A126" s="1477" t="s">
        <v>100</v>
      </c>
      <c r="B126" s="591">
        <v>2560</v>
      </c>
      <c r="C126" s="630"/>
      <c r="D126" s="630"/>
      <c r="E126" s="630"/>
      <c r="F126" s="630"/>
      <c r="G126" s="1967">
        <v>0</v>
      </c>
      <c r="H126" s="630"/>
      <c r="I126" s="1970">
        <v>0</v>
      </c>
      <c r="J126" s="593"/>
      <c r="K126" s="1643">
        <f>SUM(C126:J126)</f>
        <v>0</v>
      </c>
      <c r="L126" s="1989">
        <v>0</v>
      </c>
    </row>
    <row r="127" spans="1:14" ht="12.75" customHeight="1" thickTop="1" thickBot="1" x14ac:dyDescent="0.25">
      <c r="A127" s="1641" t="s">
        <v>719</v>
      </c>
      <c r="B127" s="1642" t="s">
        <v>35</v>
      </c>
      <c r="C127" s="1643">
        <f>SUM(C122:C126)</f>
        <v>93767</v>
      </c>
      <c r="D127" s="1643">
        <f t="shared" ref="D127:L127" si="14">SUM(D122:D126)</f>
        <v>0</v>
      </c>
      <c r="E127" s="1643">
        <f t="shared" si="14"/>
        <v>39816</v>
      </c>
      <c r="F127" s="1643">
        <f t="shared" si="14"/>
        <v>60938</v>
      </c>
      <c r="G127" s="1643">
        <f t="shared" si="14"/>
        <v>0</v>
      </c>
      <c r="H127" s="1643">
        <f t="shared" si="14"/>
        <v>1548</v>
      </c>
      <c r="I127" s="1643">
        <f t="shared" si="14"/>
        <v>0</v>
      </c>
      <c r="J127" s="1643">
        <f t="shared" si="14"/>
        <v>0</v>
      </c>
      <c r="K127" s="1643">
        <f t="shared" si="14"/>
        <v>196069</v>
      </c>
      <c r="L127" s="1643">
        <f t="shared" si="14"/>
        <v>304800</v>
      </c>
    </row>
    <row r="128" spans="1:14" ht="12.75" customHeight="1" thickTop="1" x14ac:dyDescent="0.2">
      <c r="A128" s="1484" t="s">
        <v>980</v>
      </c>
      <c r="B128" s="631" t="s">
        <v>574</v>
      </c>
      <c r="C128" s="1983">
        <v>0</v>
      </c>
      <c r="D128" s="1983">
        <v>0</v>
      </c>
      <c r="E128" s="1983">
        <v>0</v>
      </c>
      <c r="F128" s="1983">
        <v>0</v>
      </c>
      <c r="G128" s="1983">
        <v>0</v>
      </c>
      <c r="H128" s="1983">
        <v>0</v>
      </c>
      <c r="I128" s="1977">
        <v>0</v>
      </c>
      <c r="J128" s="1977">
        <v>0</v>
      </c>
      <c r="K128" s="1658">
        <f>SUM(C128:J128)</f>
        <v>0</v>
      </c>
      <c r="L128" s="1983">
        <v>0</v>
      </c>
    </row>
    <row r="129" spans="1:14" ht="12.75" customHeight="1" thickBot="1" x14ac:dyDescent="0.25">
      <c r="A129" s="1659" t="s">
        <v>811</v>
      </c>
      <c r="B129" s="1660" t="s">
        <v>569</v>
      </c>
      <c r="C129" s="1650">
        <f>SUM(C120,C127,C128)</f>
        <v>93767</v>
      </c>
      <c r="D129" s="1650">
        <f t="shared" ref="D129:L129" si="15">SUM(D120,D127,D128)</f>
        <v>0</v>
      </c>
      <c r="E129" s="1650">
        <f t="shared" si="15"/>
        <v>39816</v>
      </c>
      <c r="F129" s="1650">
        <f t="shared" si="15"/>
        <v>60938</v>
      </c>
      <c r="G129" s="1650">
        <f t="shared" si="15"/>
        <v>0</v>
      </c>
      <c r="H129" s="1650">
        <f t="shared" si="15"/>
        <v>1548</v>
      </c>
      <c r="I129" s="1650">
        <f t="shared" si="15"/>
        <v>0</v>
      </c>
      <c r="J129" s="1650">
        <f t="shared" si="15"/>
        <v>0</v>
      </c>
      <c r="K129" s="1650">
        <f t="shared" si="15"/>
        <v>196069</v>
      </c>
      <c r="L129" s="1650">
        <f t="shared" si="15"/>
        <v>304800</v>
      </c>
    </row>
    <row r="130" spans="1:14" ht="15.75" customHeight="1" thickTop="1" thickBot="1" x14ac:dyDescent="0.25">
      <c r="A130" s="1583" t="s">
        <v>1036</v>
      </c>
      <c r="B130" s="1584" t="s">
        <v>575</v>
      </c>
      <c r="C130" s="1980">
        <v>0</v>
      </c>
      <c r="D130" s="1980">
        <v>0</v>
      </c>
      <c r="E130" s="1980">
        <v>0</v>
      </c>
      <c r="F130" s="1980">
        <v>0</v>
      </c>
      <c r="G130" s="1980">
        <v>0</v>
      </c>
      <c r="H130" s="1980">
        <v>0</v>
      </c>
      <c r="I130" s="1975">
        <v>0</v>
      </c>
      <c r="J130" s="1975">
        <v>0</v>
      </c>
      <c r="K130" s="1643">
        <f>SUM(C130:J130)</f>
        <v>0</v>
      </c>
      <c r="L130" s="2002">
        <v>0</v>
      </c>
    </row>
    <row r="131" spans="1:14" ht="15.75" customHeight="1" thickTop="1" x14ac:dyDescent="0.2">
      <c r="A131" s="1589" t="s">
        <v>616</v>
      </c>
      <c r="B131" s="1582" t="s">
        <v>860</v>
      </c>
      <c r="C131" s="467"/>
      <c r="D131" s="467"/>
      <c r="E131" s="554"/>
      <c r="F131" s="467"/>
      <c r="G131" s="467"/>
      <c r="H131" s="554"/>
      <c r="I131" s="467"/>
      <c r="J131" s="467"/>
      <c r="K131" s="554"/>
      <c r="L131" s="554"/>
    </row>
    <row r="132" spans="1:14" s="384" customFormat="1" ht="13.5" customHeight="1" x14ac:dyDescent="0.2">
      <c r="A132" s="632" t="s">
        <v>614</v>
      </c>
      <c r="B132" s="633"/>
      <c r="C132" s="467"/>
      <c r="D132" s="467"/>
      <c r="E132" s="514"/>
      <c r="F132" s="467"/>
      <c r="G132" s="467"/>
      <c r="H132" s="514"/>
      <c r="I132" s="467"/>
      <c r="J132" s="467"/>
      <c r="K132" s="514"/>
      <c r="L132" s="514"/>
      <c r="M132" s="206"/>
      <c r="N132" s="206"/>
    </row>
    <row r="133" spans="1:14" s="384" customFormat="1" ht="13.5" customHeight="1" x14ac:dyDescent="0.2">
      <c r="A133" s="1463" t="s">
        <v>496</v>
      </c>
      <c r="B133" s="1814" t="s">
        <v>1845</v>
      </c>
      <c r="C133" s="467"/>
      <c r="D133" s="467"/>
      <c r="E133" s="1971">
        <v>0</v>
      </c>
      <c r="F133" s="467"/>
      <c r="G133" s="467"/>
      <c r="H133" s="1971">
        <v>0</v>
      </c>
      <c r="I133" s="467"/>
      <c r="J133" s="467"/>
      <c r="K133" s="1794">
        <f>SUM(E133,H133)</f>
        <v>0</v>
      </c>
      <c r="L133" s="1993">
        <v>0</v>
      </c>
      <c r="M133" s="206"/>
      <c r="N133" s="206"/>
    </row>
    <row r="134" spans="1:14" x14ac:dyDescent="0.2">
      <c r="A134" s="1477" t="s">
        <v>304</v>
      </c>
      <c r="B134" s="591">
        <v>4120</v>
      </c>
      <c r="C134" s="593"/>
      <c r="D134" s="593"/>
      <c r="E134" s="474">
        <v>0</v>
      </c>
      <c r="F134" s="593"/>
      <c r="G134" s="593"/>
      <c r="H134" s="477">
        <v>0</v>
      </c>
      <c r="I134" s="473"/>
      <c r="J134" s="593"/>
      <c r="K134" s="1645">
        <f>SUM(E134,H134)</f>
        <v>0</v>
      </c>
      <c r="L134" s="477">
        <v>0</v>
      </c>
    </row>
    <row r="135" spans="1:14" x14ac:dyDescent="0.2">
      <c r="A135" s="1477" t="s">
        <v>697</v>
      </c>
      <c r="B135" s="591">
        <v>4140</v>
      </c>
      <c r="C135" s="593"/>
      <c r="D135" s="593"/>
      <c r="E135" s="1968">
        <v>0</v>
      </c>
      <c r="F135" s="593"/>
      <c r="G135" s="593"/>
      <c r="H135" s="1967">
        <v>0</v>
      </c>
      <c r="I135" s="473"/>
      <c r="J135" s="593"/>
      <c r="K135" s="1645">
        <f>SUM(E135,H135)</f>
        <v>0</v>
      </c>
      <c r="L135" s="1989">
        <v>0</v>
      </c>
    </row>
    <row r="136" spans="1:14" x14ac:dyDescent="0.2">
      <c r="A136" s="1481" t="s">
        <v>698</v>
      </c>
      <c r="B136" s="605">
        <v>4190</v>
      </c>
      <c r="C136" s="593"/>
      <c r="D136" s="593"/>
      <c r="E136" s="1968">
        <v>0</v>
      </c>
      <c r="F136" s="593"/>
      <c r="G136" s="593"/>
      <c r="H136" s="1967">
        <v>0</v>
      </c>
      <c r="I136" s="473"/>
      <c r="J136" s="593"/>
      <c r="K136" s="1645">
        <f>SUM(E136,H136)</f>
        <v>0</v>
      </c>
      <c r="L136" s="1989">
        <v>0</v>
      </c>
    </row>
    <row r="137" spans="1:14" ht="12.75" customHeight="1" thickBot="1" x14ac:dyDescent="0.25">
      <c r="A137" s="1641" t="s">
        <v>480</v>
      </c>
      <c r="B137" s="1651">
        <v>4100</v>
      </c>
      <c r="C137" s="593"/>
      <c r="D137" s="593"/>
      <c r="E137" s="1643">
        <f>SUM(E133:E136)</f>
        <v>0</v>
      </c>
      <c r="F137" s="593"/>
      <c r="G137" s="593"/>
      <c r="H137" s="1643">
        <f>SUM(H133:H136)</f>
        <v>0</v>
      </c>
      <c r="I137" s="473"/>
      <c r="J137" s="593"/>
      <c r="K137" s="1643">
        <f>SUM(K133:K136)</f>
        <v>0</v>
      </c>
      <c r="L137" s="1643">
        <f>SUM(L133:L136)</f>
        <v>0</v>
      </c>
    </row>
    <row r="138" spans="1:14" ht="12.75" customHeight="1" thickTop="1" thickBot="1" x14ac:dyDescent="0.25">
      <c r="A138" s="1483" t="s">
        <v>96</v>
      </c>
      <c r="B138" s="619" t="s">
        <v>931</v>
      </c>
      <c r="C138" s="593"/>
      <c r="D138" s="593"/>
      <c r="E138" s="475"/>
      <c r="F138" s="593"/>
      <c r="G138" s="593"/>
      <c r="H138" s="1980">
        <v>0</v>
      </c>
      <c r="I138" s="473"/>
      <c r="J138" s="593"/>
      <c r="K138" s="1645">
        <f>SUM(E138,H138)</f>
        <v>0</v>
      </c>
      <c r="L138" s="1980">
        <v>0</v>
      </c>
    </row>
    <row r="139" spans="1:14" ht="12.75" customHeight="1" thickTop="1" thickBot="1" x14ac:dyDescent="0.25">
      <c r="A139" s="1641" t="s">
        <v>1487</v>
      </c>
      <c r="B139" s="1651">
        <v>4000</v>
      </c>
      <c r="C139" s="593"/>
      <c r="D139" s="593"/>
      <c r="E139" s="1643">
        <f>SUM(E137,E138)</f>
        <v>0</v>
      </c>
      <c r="F139" s="593"/>
      <c r="G139" s="593"/>
      <c r="H139" s="1652">
        <f>SUM(H137:H138)</f>
        <v>0</v>
      </c>
      <c r="I139" s="473"/>
      <c r="J139" s="593"/>
      <c r="K139" s="1645">
        <f>SUM(K137,K138)</f>
        <v>0</v>
      </c>
      <c r="L139" s="1652">
        <f>SUM(L137,L138)</f>
        <v>0</v>
      </c>
    </row>
    <row r="140" spans="1:14" ht="15.75" customHeight="1" thickTop="1" x14ac:dyDescent="0.2">
      <c r="A140" s="1585" t="s">
        <v>1037</v>
      </c>
      <c r="B140" s="1586" t="s">
        <v>492</v>
      </c>
      <c r="C140" s="593"/>
      <c r="D140" s="593"/>
      <c r="E140" s="615"/>
      <c r="F140" s="615"/>
      <c r="G140" s="615"/>
      <c r="H140" s="613"/>
      <c r="I140" s="473"/>
      <c r="J140" s="615"/>
      <c r="K140" s="613"/>
      <c r="L140" s="613"/>
    </row>
    <row r="141" spans="1:14" ht="15.75" customHeight="1" x14ac:dyDescent="0.2">
      <c r="A141" s="629" t="s">
        <v>615</v>
      </c>
      <c r="B141" s="599"/>
      <c r="C141" s="593"/>
      <c r="D141" s="593"/>
      <c r="E141" s="593"/>
      <c r="F141" s="593"/>
      <c r="G141" s="593"/>
      <c r="H141" s="600"/>
      <c r="I141" s="467"/>
      <c r="J141" s="593"/>
      <c r="K141" s="600"/>
      <c r="L141" s="600"/>
    </row>
    <row r="142" spans="1:14" x14ac:dyDescent="0.2">
      <c r="A142" s="1477" t="s">
        <v>87</v>
      </c>
      <c r="B142" s="591">
        <v>5110</v>
      </c>
      <c r="C142" s="593"/>
      <c r="D142" s="593"/>
      <c r="E142" s="593"/>
      <c r="F142" s="593"/>
      <c r="G142" s="593"/>
      <c r="H142" s="477">
        <v>0</v>
      </c>
      <c r="I142" s="467"/>
      <c r="J142" s="593"/>
      <c r="K142" s="1645">
        <f>SUM(H142)</f>
        <v>0</v>
      </c>
      <c r="L142" s="477">
        <v>0</v>
      </c>
    </row>
    <row r="143" spans="1:14" x14ac:dyDescent="0.2">
      <c r="A143" s="1477" t="s">
        <v>88</v>
      </c>
      <c r="B143" s="591">
        <v>5120</v>
      </c>
      <c r="C143" s="593"/>
      <c r="D143" s="593"/>
      <c r="E143" s="593"/>
      <c r="F143" s="593"/>
      <c r="G143" s="593"/>
      <c r="H143" s="1967">
        <v>0</v>
      </c>
      <c r="I143" s="467"/>
      <c r="J143" s="593"/>
      <c r="K143" s="1645">
        <f>SUM(H143)</f>
        <v>0</v>
      </c>
      <c r="L143" s="1989">
        <v>0</v>
      </c>
    </row>
    <row r="144" spans="1:14" ht="12.75" customHeight="1" x14ac:dyDescent="0.2">
      <c r="A144" s="1477" t="s">
        <v>1170</v>
      </c>
      <c r="B144" s="605" t="s">
        <v>617</v>
      </c>
      <c r="C144" s="593"/>
      <c r="D144" s="593"/>
      <c r="E144" s="593"/>
      <c r="F144" s="593"/>
      <c r="G144" s="593"/>
      <c r="H144" s="1967">
        <v>0</v>
      </c>
      <c r="I144" s="467"/>
      <c r="J144" s="593"/>
      <c r="K144" s="1645">
        <f>SUM(H144)</f>
        <v>0</v>
      </c>
      <c r="L144" s="1989">
        <v>0</v>
      </c>
    </row>
    <row r="145" spans="1:14" x14ac:dyDescent="0.2">
      <c r="A145" s="1477" t="s">
        <v>89</v>
      </c>
      <c r="B145" s="591" t="s">
        <v>589</v>
      </c>
      <c r="C145" s="593"/>
      <c r="D145" s="593"/>
      <c r="E145" s="593"/>
      <c r="F145" s="593"/>
      <c r="G145" s="593"/>
      <c r="H145" s="1967">
        <v>0</v>
      </c>
      <c r="I145" s="467"/>
      <c r="J145" s="593"/>
      <c r="K145" s="1645">
        <f>SUM(H145)</f>
        <v>0</v>
      </c>
      <c r="L145" s="1989">
        <v>0</v>
      </c>
    </row>
    <row r="146" spans="1:14" ht="12.75" customHeight="1" x14ac:dyDescent="0.2">
      <c r="A146" s="1477" t="s">
        <v>619</v>
      </c>
      <c r="B146" s="591" t="s">
        <v>618</v>
      </c>
      <c r="C146" s="593"/>
      <c r="D146" s="593"/>
      <c r="E146" s="593"/>
      <c r="F146" s="593"/>
      <c r="G146" s="593"/>
      <c r="H146" s="1967">
        <v>0</v>
      </c>
      <c r="I146" s="467"/>
      <c r="J146" s="593"/>
      <c r="K146" s="1645">
        <f>SUM(H146)</f>
        <v>0</v>
      </c>
      <c r="L146" s="1989">
        <v>0</v>
      </c>
    </row>
    <row r="147" spans="1:14" ht="12.75" customHeight="1" thickBot="1" x14ac:dyDescent="0.25">
      <c r="A147" s="1488" t="s">
        <v>626</v>
      </c>
      <c r="B147" s="634" t="s">
        <v>718</v>
      </c>
      <c r="C147" s="593"/>
      <c r="D147" s="593"/>
      <c r="E147" s="593"/>
      <c r="F147" s="593"/>
      <c r="G147" s="593"/>
      <c r="H147" s="1661">
        <f>SUM(H142:H146)</f>
        <v>0</v>
      </c>
      <c r="I147" s="467"/>
      <c r="J147" s="593"/>
      <c r="K147" s="1643">
        <f>SUM(K142:K146)</f>
        <v>0</v>
      </c>
      <c r="L147" s="1661">
        <f>SUM(L142:L146)</f>
        <v>0</v>
      </c>
    </row>
    <row r="148" spans="1:14" ht="15.75" customHeight="1" thickTop="1" x14ac:dyDescent="0.2">
      <c r="A148" s="635" t="s">
        <v>1103</v>
      </c>
      <c r="B148" s="636" t="s">
        <v>38</v>
      </c>
      <c r="C148" s="593"/>
      <c r="D148" s="593"/>
      <c r="E148" s="593"/>
      <c r="F148" s="593"/>
      <c r="G148" s="593"/>
      <c r="H148" s="1972">
        <v>0</v>
      </c>
      <c r="I148" s="467"/>
      <c r="J148" s="593"/>
      <c r="K148" s="1645">
        <f>SUM(H148)</f>
        <v>0</v>
      </c>
      <c r="L148" s="1996">
        <v>0</v>
      </c>
    </row>
    <row r="149" spans="1:14" ht="12.75" customHeight="1" thickBot="1" x14ac:dyDescent="0.25">
      <c r="A149" s="1480" t="s">
        <v>638</v>
      </c>
      <c r="B149" s="594" t="s">
        <v>492</v>
      </c>
      <c r="C149" s="593"/>
      <c r="D149" s="593"/>
      <c r="E149" s="593"/>
      <c r="F149" s="593"/>
      <c r="G149" s="593"/>
      <c r="H149" s="1643">
        <f>SUM(H147,H148)</f>
        <v>0</v>
      </c>
      <c r="I149" s="467"/>
      <c r="J149" s="593"/>
      <c r="K149" s="1643">
        <f>SUM(K147:K148)</f>
        <v>0</v>
      </c>
      <c r="L149" s="1643">
        <f>SUM(L142:L146,L148)</f>
        <v>0</v>
      </c>
    </row>
    <row r="150" spans="1:14" ht="15.75" customHeight="1" thickTop="1" thickBot="1" x14ac:dyDescent="0.25">
      <c r="A150" s="1579" t="s">
        <v>1038</v>
      </c>
      <c r="B150" s="1586" t="s">
        <v>861</v>
      </c>
      <c r="C150" s="593"/>
      <c r="D150" s="593"/>
      <c r="E150" s="593"/>
      <c r="F150" s="593"/>
      <c r="G150" s="593"/>
      <c r="H150" s="637"/>
      <c r="I150" s="514"/>
      <c r="J150" s="593"/>
      <c r="K150" s="600"/>
      <c r="L150" s="2001">
        <v>0</v>
      </c>
    </row>
    <row r="151" spans="1:14" ht="12.75" customHeight="1" thickTop="1" thickBot="1" x14ac:dyDescent="0.25">
      <c r="A151" s="2245" t="s">
        <v>620</v>
      </c>
      <c r="B151" s="2225"/>
      <c r="C151" s="1643">
        <f>SUM(C129,C130,C139,C149,C150)</f>
        <v>93767</v>
      </c>
      <c r="D151" s="1643">
        <f t="shared" ref="D151:K151" si="16">SUM(D129,D130,D139,D149,D150)</f>
        <v>0</v>
      </c>
      <c r="E151" s="1643">
        <f t="shared" si="16"/>
        <v>39816</v>
      </c>
      <c r="F151" s="1643">
        <f t="shared" si="16"/>
        <v>60938</v>
      </c>
      <c r="G151" s="1643">
        <f t="shared" si="16"/>
        <v>0</v>
      </c>
      <c r="H151" s="1643">
        <f t="shared" si="16"/>
        <v>1548</v>
      </c>
      <c r="I151" s="1643">
        <f t="shared" si="16"/>
        <v>0</v>
      </c>
      <c r="J151" s="1643">
        <f t="shared" si="16"/>
        <v>0</v>
      </c>
      <c r="K151" s="1643">
        <f t="shared" si="16"/>
        <v>196069</v>
      </c>
      <c r="L151" s="1643">
        <f>SUM(L129,L130,L139,L149,L150)</f>
        <v>304800</v>
      </c>
    </row>
    <row r="152" spans="1:14" ht="12.75" customHeight="1" thickTop="1" x14ac:dyDescent="0.2">
      <c r="A152" s="2248" t="s">
        <v>1178</v>
      </c>
      <c r="B152" s="2249"/>
      <c r="C152" s="595"/>
      <c r="D152" s="595"/>
      <c r="E152" s="595"/>
      <c r="F152" s="595"/>
      <c r="G152" s="595"/>
      <c r="H152" s="595"/>
      <c r="I152" s="595"/>
      <c r="J152" s="593"/>
      <c r="K152" s="1657">
        <f>'Revenues 9-14'!D268-'Expenditures 15-22'!K151</f>
        <v>401563</v>
      </c>
      <c r="L152" s="595"/>
    </row>
    <row r="153" spans="1:14" s="641" customFormat="1" ht="9" customHeight="1" x14ac:dyDescent="0.2">
      <c r="A153" s="638"/>
      <c r="B153" s="639"/>
      <c r="C153" s="626"/>
      <c r="D153" s="626"/>
      <c r="E153" s="626"/>
      <c r="F153" s="626"/>
      <c r="G153" s="626"/>
      <c r="H153" s="626"/>
      <c r="I153" s="626"/>
      <c r="J153" s="626"/>
      <c r="K153" s="626"/>
      <c r="L153" s="626"/>
      <c r="M153" s="640"/>
      <c r="N153" s="640"/>
    </row>
    <row r="154" spans="1:14" s="643" customFormat="1" ht="16.7" customHeight="1" x14ac:dyDescent="0.2">
      <c r="A154" s="2233" t="s">
        <v>621</v>
      </c>
      <c r="B154" s="2235"/>
      <c r="C154" s="1599"/>
      <c r="D154" s="1600"/>
      <c r="E154" s="1600"/>
      <c r="F154" s="1600"/>
      <c r="G154" s="1600"/>
      <c r="H154" s="1600"/>
      <c r="I154" s="1600"/>
      <c r="J154" s="1600"/>
      <c r="K154" s="1600"/>
      <c r="L154" s="1601"/>
      <c r="M154" s="642"/>
      <c r="N154" s="642"/>
    </row>
    <row r="155" spans="1:14" s="597" customFormat="1" ht="15.75" customHeight="1" thickBot="1" x14ac:dyDescent="0.25">
      <c r="A155" s="1590" t="s">
        <v>81</v>
      </c>
      <c r="B155" s="1591" t="s">
        <v>860</v>
      </c>
      <c r="C155" s="593"/>
      <c r="D155" s="593"/>
      <c r="E155" s="593"/>
      <c r="F155" s="593"/>
      <c r="G155" s="593"/>
      <c r="H155" s="1815"/>
      <c r="I155" s="593"/>
      <c r="J155" s="593"/>
      <c r="K155" s="1798"/>
      <c r="L155" s="1815"/>
      <c r="M155" s="596"/>
      <c r="N155" s="596"/>
    </row>
    <row r="156" spans="1:14" s="597" customFormat="1" ht="15.75" customHeight="1" thickTop="1" x14ac:dyDescent="0.2">
      <c r="A156" s="1795" t="s">
        <v>1846</v>
      </c>
      <c r="B156" s="1796"/>
      <c r="C156" s="593"/>
      <c r="D156" s="593"/>
      <c r="E156" s="593"/>
      <c r="F156" s="593"/>
      <c r="G156" s="593"/>
      <c r="H156" s="1816"/>
      <c r="I156" s="593"/>
      <c r="J156" s="593"/>
      <c r="K156" s="1797"/>
      <c r="L156" s="1816"/>
      <c r="M156" s="596"/>
      <c r="N156" s="596"/>
    </row>
    <row r="157" spans="1:14" s="597" customFormat="1" ht="12" x14ac:dyDescent="0.2">
      <c r="A157" s="1799" t="s">
        <v>496</v>
      </c>
      <c r="B157" s="1800" t="s">
        <v>1845</v>
      </c>
      <c r="C157" s="593"/>
      <c r="D157" s="593"/>
      <c r="E157" s="593"/>
      <c r="F157" s="593"/>
      <c r="G157" s="593"/>
      <c r="H157" s="1971">
        <v>0</v>
      </c>
      <c r="I157" s="593"/>
      <c r="J157" s="593"/>
      <c r="K157" s="1644">
        <f>H157</f>
        <v>0</v>
      </c>
      <c r="L157" s="1990">
        <v>0</v>
      </c>
      <c r="M157" s="596"/>
      <c r="N157" s="596"/>
    </row>
    <row r="158" spans="1:14" s="597" customFormat="1" ht="12" x14ac:dyDescent="0.2">
      <c r="A158" s="1799" t="s">
        <v>304</v>
      </c>
      <c r="B158" s="1800" t="s">
        <v>1847</v>
      </c>
      <c r="C158" s="593"/>
      <c r="D158" s="593"/>
      <c r="E158" s="593"/>
      <c r="F158" s="593"/>
      <c r="G158" s="593"/>
      <c r="H158" s="1968">
        <v>0</v>
      </c>
      <c r="I158" s="593"/>
      <c r="J158" s="593"/>
      <c r="K158" s="1644">
        <f>H158</f>
        <v>0</v>
      </c>
      <c r="L158" s="1990">
        <v>0</v>
      </c>
      <c r="M158" s="596"/>
      <c r="N158" s="596"/>
    </row>
    <row r="159" spans="1:14" s="597" customFormat="1" ht="12" x14ac:dyDescent="0.2">
      <c r="A159" s="1799" t="s">
        <v>1848</v>
      </c>
      <c r="B159" s="1800" t="s">
        <v>558</v>
      </c>
      <c r="C159" s="593"/>
      <c r="D159" s="593"/>
      <c r="E159" s="593"/>
      <c r="F159" s="593"/>
      <c r="G159" s="593"/>
      <c r="H159" s="1968">
        <v>0</v>
      </c>
      <c r="I159" s="593"/>
      <c r="J159" s="593"/>
      <c r="K159" s="1644">
        <f>H159</f>
        <v>0</v>
      </c>
      <c r="L159" s="1990">
        <v>0</v>
      </c>
      <c r="M159" s="596"/>
      <c r="N159" s="596"/>
    </row>
    <row r="160" spans="1:14" s="597" customFormat="1" ht="15.75" customHeight="1" thickBot="1" x14ac:dyDescent="0.25">
      <c r="A160" s="1801" t="s">
        <v>1849</v>
      </c>
      <c r="B160" s="1802" t="s">
        <v>860</v>
      </c>
      <c r="C160" s="593"/>
      <c r="D160" s="593"/>
      <c r="E160" s="593"/>
      <c r="F160" s="593"/>
      <c r="G160" s="593"/>
      <c r="H160" s="1661">
        <f>SUM(H157:H159)</f>
        <v>0</v>
      </c>
      <c r="I160" s="593"/>
      <c r="J160" s="593"/>
      <c r="K160" s="1643">
        <f>SUM(K157:K159)</f>
        <v>0</v>
      </c>
      <c r="L160" s="1661">
        <f>SUM(L157:L159)</f>
        <v>0</v>
      </c>
      <c r="M160" s="596"/>
      <c r="N160" s="596"/>
    </row>
    <row r="161" spans="1:14" s="259" customFormat="1" ht="15.75" customHeight="1" thickTop="1" x14ac:dyDescent="0.2">
      <c r="A161" s="1585" t="s">
        <v>82</v>
      </c>
      <c r="B161" s="1586" t="s">
        <v>492</v>
      </c>
      <c r="C161" s="593"/>
      <c r="D161" s="593"/>
      <c r="E161" s="593"/>
      <c r="F161" s="593"/>
      <c r="G161" s="593"/>
      <c r="H161" s="593"/>
      <c r="I161" s="593"/>
      <c r="J161" s="593"/>
      <c r="K161" s="593"/>
      <c r="L161" s="593"/>
      <c r="M161" s="590"/>
      <c r="N161" s="590"/>
    </row>
    <row r="162" spans="1:14" s="259" customFormat="1" ht="15.75" customHeight="1" x14ac:dyDescent="0.2">
      <c r="A162" s="629" t="s">
        <v>615</v>
      </c>
      <c r="B162" s="599"/>
      <c r="C162" s="593"/>
      <c r="D162" s="593"/>
      <c r="E162" s="593"/>
      <c r="F162" s="593"/>
      <c r="G162" s="593"/>
      <c r="H162" s="593"/>
      <c r="I162" s="593"/>
      <c r="J162" s="593"/>
      <c r="K162" s="600"/>
      <c r="L162" s="600"/>
      <c r="M162" s="590"/>
      <c r="N162" s="590"/>
    </row>
    <row r="163" spans="1:14" x14ac:dyDescent="0.2">
      <c r="A163" s="1477" t="s">
        <v>87</v>
      </c>
      <c r="B163" s="591">
        <v>5110</v>
      </c>
      <c r="C163" s="593"/>
      <c r="D163" s="593"/>
      <c r="E163" s="593"/>
      <c r="F163" s="593"/>
      <c r="G163" s="593"/>
      <c r="H163" s="1967">
        <v>0</v>
      </c>
      <c r="I163" s="593"/>
      <c r="J163" s="593"/>
      <c r="K163" s="1644">
        <f>SUM(C163:J163)</f>
        <v>0</v>
      </c>
      <c r="L163" s="1989">
        <v>0</v>
      </c>
    </row>
    <row r="164" spans="1:14" x14ac:dyDescent="0.2">
      <c r="A164" s="1477" t="s">
        <v>88</v>
      </c>
      <c r="B164" s="591">
        <v>5120</v>
      </c>
      <c r="C164" s="593"/>
      <c r="D164" s="593"/>
      <c r="E164" s="593"/>
      <c r="F164" s="593"/>
      <c r="G164" s="593"/>
      <c r="H164" s="1967">
        <v>0</v>
      </c>
      <c r="I164" s="593"/>
      <c r="J164" s="593"/>
      <c r="K164" s="1644">
        <f>SUM(C164:J164)</f>
        <v>0</v>
      </c>
      <c r="L164" s="1989">
        <v>0</v>
      </c>
    </row>
    <row r="165" spans="1:14" ht="12.75" customHeight="1" x14ac:dyDescent="0.2">
      <c r="A165" s="1477" t="s">
        <v>1170</v>
      </c>
      <c r="B165" s="591" t="s">
        <v>617</v>
      </c>
      <c r="C165" s="593"/>
      <c r="D165" s="593"/>
      <c r="E165" s="593"/>
      <c r="F165" s="593"/>
      <c r="G165" s="593"/>
      <c r="H165" s="1967">
        <v>0</v>
      </c>
      <c r="I165" s="593"/>
      <c r="J165" s="593"/>
      <c r="K165" s="1644">
        <f>SUM(C165:J165)</f>
        <v>0</v>
      </c>
      <c r="L165" s="1989">
        <v>0</v>
      </c>
    </row>
    <row r="166" spans="1:14" x14ac:dyDescent="0.2">
      <c r="A166" s="1477" t="s">
        <v>89</v>
      </c>
      <c r="B166" s="605" t="s">
        <v>589</v>
      </c>
      <c r="C166" s="593"/>
      <c r="D166" s="593"/>
      <c r="E166" s="593"/>
      <c r="F166" s="593"/>
      <c r="G166" s="593"/>
      <c r="H166" s="1967">
        <v>0</v>
      </c>
      <c r="I166" s="593"/>
      <c r="J166" s="593"/>
      <c r="K166" s="1644">
        <f>SUM(C166:J166)</f>
        <v>0</v>
      </c>
      <c r="L166" s="1989">
        <v>0</v>
      </c>
    </row>
    <row r="167" spans="1:14" ht="12.75" customHeight="1" x14ac:dyDescent="0.2">
      <c r="A167" s="1477" t="s">
        <v>619</v>
      </c>
      <c r="B167" s="591" t="s">
        <v>618</v>
      </c>
      <c r="C167" s="593"/>
      <c r="D167" s="593"/>
      <c r="E167" s="593"/>
      <c r="F167" s="593"/>
      <c r="G167" s="593"/>
      <c r="H167" s="1967">
        <v>0</v>
      </c>
      <c r="I167" s="593"/>
      <c r="J167" s="593"/>
      <c r="K167" s="1644">
        <f>SUM(C167:J167)</f>
        <v>0</v>
      </c>
      <c r="L167" s="1989">
        <v>0</v>
      </c>
    </row>
    <row r="168" spans="1:14" ht="13.5" thickBot="1" x14ac:dyDescent="0.25">
      <c r="A168" s="1641" t="s">
        <v>276</v>
      </c>
      <c r="B168" s="1648" t="s">
        <v>718</v>
      </c>
      <c r="C168" s="593"/>
      <c r="D168" s="593"/>
      <c r="E168" s="593"/>
      <c r="F168" s="593"/>
      <c r="G168" s="593"/>
      <c r="H168" s="1643">
        <f>SUM(H163:H167)</f>
        <v>0</v>
      </c>
      <c r="I168" s="593"/>
      <c r="J168" s="593"/>
      <c r="K168" s="1643">
        <f>SUM(K163:K167)</f>
        <v>0</v>
      </c>
      <c r="L168" s="1643">
        <f>SUM(L163:L167)</f>
        <v>0</v>
      </c>
    </row>
    <row r="169" spans="1:14" ht="15.75" customHeight="1" thickTop="1" x14ac:dyDescent="0.2">
      <c r="A169" s="644" t="s">
        <v>83</v>
      </c>
      <c r="B169" s="645" t="s">
        <v>38</v>
      </c>
      <c r="C169" s="593"/>
      <c r="D169" s="593"/>
      <c r="E169" s="593"/>
      <c r="F169" s="593"/>
      <c r="G169" s="593"/>
      <c r="H169" s="1983">
        <v>0</v>
      </c>
      <c r="I169" s="593"/>
      <c r="J169" s="593"/>
      <c r="K169" s="1644">
        <f>SUM(C169:H169)</f>
        <v>0</v>
      </c>
      <c r="L169" s="2004">
        <v>0</v>
      </c>
    </row>
    <row r="170" spans="1:14" ht="33.75" customHeight="1" x14ac:dyDescent="0.2">
      <c r="A170" s="644" t="s">
        <v>1670</v>
      </c>
      <c r="B170" s="646" t="s">
        <v>31</v>
      </c>
      <c r="C170" s="593"/>
      <c r="D170" s="593"/>
      <c r="E170" s="593"/>
      <c r="F170" s="593"/>
      <c r="G170" s="593"/>
      <c r="H170" s="1973">
        <v>0</v>
      </c>
      <c r="I170" s="593"/>
      <c r="J170" s="593"/>
      <c r="K170" s="1644">
        <f>SUM(C170:J170)</f>
        <v>0</v>
      </c>
      <c r="L170" s="1995">
        <v>0</v>
      </c>
    </row>
    <row r="171" spans="1:14" ht="15.75" customHeight="1" x14ac:dyDescent="0.2">
      <c r="A171" s="598" t="s">
        <v>766</v>
      </c>
      <c r="B171" s="647" t="s">
        <v>84</v>
      </c>
      <c r="C171" s="593"/>
      <c r="D171" s="593"/>
      <c r="E171" s="1967">
        <v>0</v>
      </c>
      <c r="F171" s="593"/>
      <c r="G171" s="593"/>
      <c r="H171" s="1973">
        <v>0</v>
      </c>
      <c r="I171" s="473"/>
      <c r="J171" s="593"/>
      <c r="K171" s="1644">
        <f>SUM(C171:J171)</f>
        <v>0</v>
      </c>
      <c r="L171" s="1995">
        <v>0</v>
      </c>
    </row>
    <row r="172" spans="1:14" ht="12.75" customHeight="1" thickBot="1" x14ac:dyDescent="0.25">
      <c r="A172" s="1641" t="s">
        <v>638</v>
      </c>
      <c r="B172" s="1642" t="s">
        <v>492</v>
      </c>
      <c r="C172" s="593"/>
      <c r="D172" s="593"/>
      <c r="E172" s="1650">
        <f>SUM(E168,E169,E170,E171)</f>
        <v>0</v>
      </c>
      <c r="F172" s="593"/>
      <c r="G172" s="593"/>
      <c r="H172" s="1650">
        <f>SUM(H168,H169,H170,H171)</f>
        <v>0</v>
      </c>
      <c r="I172" s="615"/>
      <c r="J172" s="593"/>
      <c r="K172" s="1650">
        <f>SUM(K168,K169,K170,K171)</f>
        <v>0</v>
      </c>
      <c r="L172" s="1650">
        <f>SUM(L168,L169,L170,L171)</f>
        <v>0</v>
      </c>
    </row>
    <row r="173" spans="1:14" ht="15.75" customHeight="1" thickTop="1" thickBot="1" x14ac:dyDescent="0.25">
      <c r="A173" s="1592" t="s">
        <v>85</v>
      </c>
      <c r="B173" s="1584" t="s">
        <v>861</v>
      </c>
      <c r="C173" s="593"/>
      <c r="D173" s="593"/>
      <c r="E173" s="600"/>
      <c r="F173" s="593"/>
      <c r="G173" s="593"/>
      <c r="H173" s="603"/>
      <c r="I173" s="615"/>
      <c r="J173" s="593"/>
      <c r="K173" s="600"/>
      <c r="L173" s="2002">
        <v>0</v>
      </c>
    </row>
    <row r="174" spans="1:14" ht="12.75" customHeight="1" thickTop="1" thickBot="1" x14ac:dyDescent="0.25">
      <c r="A174" s="1662" t="s">
        <v>90</v>
      </c>
      <c r="B174" s="1663"/>
      <c r="C174" s="593"/>
      <c r="D174" s="593"/>
      <c r="E174" s="1650">
        <f>SUM(E172,E173)</f>
        <v>0</v>
      </c>
      <c r="F174" s="593"/>
      <c r="G174" s="593"/>
      <c r="H174" s="1650">
        <f>SUM(H160,H172,H173)</f>
        <v>0</v>
      </c>
      <c r="I174" s="615"/>
      <c r="J174" s="593"/>
      <c r="K174" s="1650">
        <f>SUM(K160,K172,K173)</f>
        <v>0</v>
      </c>
      <c r="L174" s="1650">
        <f>SUM(L160,L172,L173)</f>
        <v>0</v>
      </c>
    </row>
    <row r="175" spans="1:14" ht="13.5" thickTop="1" x14ac:dyDescent="0.2">
      <c r="A175" s="2228" t="s">
        <v>996</v>
      </c>
      <c r="B175" s="2229"/>
      <c r="C175" s="593"/>
      <c r="D175" s="593"/>
      <c r="E175" s="593"/>
      <c r="F175" s="593"/>
      <c r="G175" s="593"/>
      <c r="H175" s="595"/>
      <c r="I175" s="593"/>
      <c r="J175" s="593"/>
      <c r="K175" s="1657">
        <f>'Revenues 9-14'!E268-'Expenditures 15-22'!K174</f>
        <v>0</v>
      </c>
      <c r="L175" s="595"/>
    </row>
    <row r="176" spans="1:14" s="641" customFormat="1" ht="9" customHeight="1" x14ac:dyDescent="0.2">
      <c r="A176" s="638"/>
      <c r="B176" s="648"/>
      <c r="C176" s="626"/>
      <c r="D176" s="626"/>
      <c r="E176" s="626"/>
      <c r="F176" s="626"/>
      <c r="G176" s="626"/>
      <c r="H176" s="626"/>
      <c r="I176" s="626"/>
      <c r="J176" s="626"/>
      <c r="K176" s="626"/>
      <c r="L176" s="626"/>
      <c r="M176" s="640"/>
      <c r="N176" s="640"/>
    </row>
    <row r="177" spans="1:14" s="343" customFormat="1" ht="16.7" customHeight="1" x14ac:dyDescent="0.2">
      <c r="A177" s="1527" t="s">
        <v>937</v>
      </c>
      <c r="B177" s="1528"/>
      <c r="C177" s="1524"/>
      <c r="D177" s="1525"/>
      <c r="E177" s="1525"/>
      <c r="F177" s="1525"/>
      <c r="G177" s="1525"/>
      <c r="H177" s="1525"/>
      <c r="I177" s="1525"/>
      <c r="J177" s="1525"/>
      <c r="K177" s="1525"/>
      <c r="L177" s="1526"/>
      <c r="M177" s="586"/>
      <c r="N177" s="586"/>
    </row>
    <row r="178" spans="1:14" s="649" customFormat="1" ht="15.75" customHeight="1" x14ac:dyDescent="0.2">
      <c r="A178" s="1593" t="s">
        <v>938</v>
      </c>
      <c r="B178" s="1594"/>
      <c r="C178" s="593"/>
      <c r="D178" s="593"/>
      <c r="E178" s="593"/>
      <c r="F178" s="593"/>
      <c r="G178" s="593"/>
      <c r="H178" s="593"/>
      <c r="I178" s="593"/>
      <c r="J178" s="593"/>
      <c r="K178" s="593"/>
      <c r="L178" s="593"/>
      <c r="M178" s="640"/>
      <c r="N178" s="640"/>
    </row>
    <row r="179" spans="1:14" s="649" customFormat="1" ht="15.75" customHeight="1" x14ac:dyDescent="0.2">
      <c r="A179" s="650" t="s">
        <v>591</v>
      </c>
      <c r="B179" s="599"/>
      <c r="C179" s="600"/>
      <c r="D179" s="600"/>
      <c r="E179" s="600"/>
      <c r="F179" s="593"/>
      <c r="G179" s="593"/>
      <c r="H179" s="600"/>
      <c r="I179" s="593"/>
      <c r="J179" s="593"/>
      <c r="K179" s="600"/>
      <c r="L179" s="600"/>
      <c r="M179" s="640"/>
      <c r="N179" s="640"/>
    </row>
    <row r="180" spans="1:14" ht="12.75" customHeight="1" x14ac:dyDescent="0.2">
      <c r="A180" s="1477" t="s">
        <v>2060</v>
      </c>
      <c r="B180" s="591" t="s">
        <v>716</v>
      </c>
      <c r="C180" s="465">
        <v>0</v>
      </c>
      <c r="D180" s="465">
        <v>0</v>
      </c>
      <c r="E180" s="465">
        <v>0</v>
      </c>
      <c r="F180" s="465">
        <v>0</v>
      </c>
      <c r="G180" s="465">
        <v>0</v>
      </c>
      <c r="H180" s="465">
        <v>0</v>
      </c>
      <c r="I180" s="466">
        <v>0</v>
      </c>
      <c r="J180" s="466">
        <v>0</v>
      </c>
      <c r="K180" s="1644">
        <f>SUM(C180:J180)</f>
        <v>0</v>
      </c>
      <c r="L180" s="1989">
        <v>0</v>
      </c>
    </row>
    <row r="181" spans="1:14" ht="15.75" customHeight="1" x14ac:dyDescent="0.2">
      <c r="A181" s="601" t="s">
        <v>612</v>
      </c>
      <c r="B181" s="651"/>
      <c r="C181" s="557"/>
      <c r="D181" s="557"/>
      <c r="E181" s="557"/>
      <c r="F181" s="557"/>
      <c r="G181" s="557"/>
      <c r="H181" s="557"/>
      <c r="I181" s="467"/>
      <c r="J181" s="467"/>
      <c r="K181" s="557"/>
      <c r="L181" s="557"/>
    </row>
    <row r="182" spans="1:14" ht="12.75" customHeight="1" x14ac:dyDescent="0.2">
      <c r="A182" s="1477" t="s">
        <v>953</v>
      </c>
      <c r="B182" s="591">
        <v>2550</v>
      </c>
      <c r="C182" s="1967">
        <v>120732</v>
      </c>
      <c r="D182" s="1967">
        <v>855</v>
      </c>
      <c r="E182" s="1967">
        <v>42504</v>
      </c>
      <c r="F182" s="1967">
        <v>42555</v>
      </c>
      <c r="G182" s="1967">
        <v>78630</v>
      </c>
      <c r="H182" s="1967">
        <v>688</v>
      </c>
      <c r="I182" s="1968">
        <v>0</v>
      </c>
      <c r="J182" s="1968">
        <v>0</v>
      </c>
      <c r="K182" s="1644">
        <f>SUM(C182:J182)</f>
        <v>285964</v>
      </c>
      <c r="L182" s="1989">
        <v>338700</v>
      </c>
    </row>
    <row r="183" spans="1:14" ht="12.75" customHeight="1" thickBot="1" x14ac:dyDescent="0.25">
      <c r="A183" s="1482" t="s">
        <v>980</v>
      </c>
      <c r="B183" s="652">
        <v>2900</v>
      </c>
      <c r="C183" s="1978">
        <v>0</v>
      </c>
      <c r="D183" s="1978">
        <v>0</v>
      </c>
      <c r="E183" s="1978">
        <v>0</v>
      </c>
      <c r="F183" s="1978">
        <v>0</v>
      </c>
      <c r="G183" s="1978">
        <v>0</v>
      </c>
      <c r="H183" s="1978">
        <v>0</v>
      </c>
      <c r="I183" s="1976">
        <v>0</v>
      </c>
      <c r="J183" s="1976">
        <v>0</v>
      </c>
      <c r="K183" s="1650">
        <f>SUM(C183:J183)</f>
        <v>0</v>
      </c>
      <c r="L183" s="2001">
        <v>0</v>
      </c>
    </row>
    <row r="184" spans="1:14" ht="12.75" customHeight="1" thickTop="1" thickBot="1" x14ac:dyDescent="0.25">
      <c r="A184" s="1664" t="s">
        <v>811</v>
      </c>
      <c r="B184" s="1642" t="s">
        <v>569</v>
      </c>
      <c r="C184" s="1650">
        <f>SUM(C180,C182,C183)</f>
        <v>120732</v>
      </c>
      <c r="D184" s="1650">
        <f t="shared" ref="D184:J184" si="17">SUM(D180,D182,D183)</f>
        <v>855</v>
      </c>
      <c r="E184" s="1650">
        <f t="shared" si="17"/>
        <v>42504</v>
      </c>
      <c r="F184" s="1650">
        <f t="shared" si="17"/>
        <v>42555</v>
      </c>
      <c r="G184" s="1650">
        <f t="shared" si="17"/>
        <v>78630</v>
      </c>
      <c r="H184" s="1650">
        <f t="shared" si="17"/>
        <v>688</v>
      </c>
      <c r="I184" s="1650">
        <f t="shared" si="17"/>
        <v>0</v>
      </c>
      <c r="J184" s="1650">
        <f t="shared" si="17"/>
        <v>0</v>
      </c>
      <c r="K184" s="1650">
        <f>SUM(K180,K182,K183)</f>
        <v>285964</v>
      </c>
      <c r="L184" s="1650">
        <f>SUM(L180, L182:L183)</f>
        <v>338700</v>
      </c>
    </row>
    <row r="185" spans="1:14" ht="15.75" customHeight="1" thickTop="1" thickBot="1" x14ac:dyDescent="0.25">
      <c r="A185" s="1595" t="s">
        <v>939</v>
      </c>
      <c r="B185" s="1584">
        <v>3000</v>
      </c>
      <c r="C185" s="561"/>
      <c r="D185" s="561"/>
      <c r="E185" s="561"/>
      <c r="F185" s="561"/>
      <c r="G185" s="561"/>
      <c r="H185" s="561"/>
      <c r="I185" s="523"/>
      <c r="J185" s="523"/>
      <c r="K185" s="1643">
        <f>SUM(C185:J185)</f>
        <v>0</v>
      </c>
      <c r="L185" s="2002">
        <v>0</v>
      </c>
    </row>
    <row r="186" spans="1:14" s="649" customFormat="1" ht="15.75" customHeight="1" thickTop="1" x14ac:dyDescent="0.2">
      <c r="A186" s="1579" t="s">
        <v>91</v>
      </c>
      <c r="B186" s="1582" t="s">
        <v>860</v>
      </c>
      <c r="C186" s="593"/>
      <c r="D186" s="593"/>
      <c r="E186" s="593"/>
      <c r="F186" s="593"/>
      <c r="G186" s="593"/>
      <c r="H186" s="593"/>
      <c r="I186" s="593"/>
      <c r="J186" s="593"/>
      <c r="K186" s="593"/>
      <c r="L186" s="593"/>
      <c r="M186" s="640"/>
      <c r="N186" s="640"/>
    </row>
    <row r="187" spans="1:14" s="649" customFormat="1" ht="15.75" customHeight="1" x14ac:dyDescent="0.2">
      <c r="A187" s="598" t="s">
        <v>1131</v>
      </c>
      <c r="B187" s="599"/>
      <c r="C187" s="593"/>
      <c r="D187" s="593"/>
      <c r="E187" s="593"/>
      <c r="F187" s="593"/>
      <c r="G187" s="593"/>
      <c r="H187" s="593"/>
      <c r="I187" s="593"/>
      <c r="J187" s="593"/>
      <c r="K187" s="593"/>
      <c r="L187" s="593"/>
      <c r="M187" s="640"/>
      <c r="N187" s="640"/>
    </row>
    <row r="188" spans="1:14" x14ac:dyDescent="0.2">
      <c r="A188" s="1477" t="s">
        <v>496</v>
      </c>
      <c r="B188" s="591">
        <v>4110</v>
      </c>
      <c r="C188" s="593"/>
      <c r="D188" s="593"/>
      <c r="E188" s="1967">
        <v>0</v>
      </c>
      <c r="F188" s="593"/>
      <c r="G188" s="593"/>
      <c r="H188" s="1967">
        <v>0</v>
      </c>
      <c r="I188" s="473"/>
      <c r="J188" s="593"/>
      <c r="K188" s="1644">
        <f t="shared" ref="K188:K193" si="18">SUM(E188,H188)</f>
        <v>0</v>
      </c>
      <c r="L188" s="1989">
        <v>0</v>
      </c>
    </row>
    <row r="189" spans="1:14" x14ac:dyDescent="0.2">
      <c r="A189" s="1477" t="s">
        <v>304</v>
      </c>
      <c r="B189" s="591">
        <v>4120</v>
      </c>
      <c r="C189" s="593"/>
      <c r="D189" s="593"/>
      <c r="E189" s="1967">
        <v>0</v>
      </c>
      <c r="F189" s="593"/>
      <c r="G189" s="593"/>
      <c r="H189" s="1967">
        <v>0</v>
      </c>
      <c r="I189" s="473"/>
      <c r="J189" s="593"/>
      <c r="K189" s="1644">
        <f t="shared" si="18"/>
        <v>0</v>
      </c>
      <c r="L189" s="1989">
        <v>0</v>
      </c>
    </row>
    <row r="190" spans="1:14" x14ac:dyDescent="0.2">
      <c r="A190" s="1477" t="s">
        <v>305</v>
      </c>
      <c r="B190" s="605">
        <v>4130</v>
      </c>
      <c r="C190" s="593"/>
      <c r="D190" s="593"/>
      <c r="E190" s="1967">
        <v>0</v>
      </c>
      <c r="F190" s="593"/>
      <c r="G190" s="593"/>
      <c r="H190" s="1967">
        <v>0</v>
      </c>
      <c r="I190" s="473"/>
      <c r="J190" s="593"/>
      <c r="K190" s="1644">
        <f t="shared" si="18"/>
        <v>0</v>
      </c>
      <c r="L190" s="1989">
        <v>0</v>
      </c>
    </row>
    <row r="191" spans="1:14" x14ac:dyDescent="0.2">
      <c r="A191" s="1477" t="s">
        <v>697</v>
      </c>
      <c r="B191" s="591">
        <v>4140</v>
      </c>
      <c r="C191" s="593"/>
      <c r="D191" s="593"/>
      <c r="E191" s="1967">
        <v>0</v>
      </c>
      <c r="F191" s="593"/>
      <c r="G191" s="593"/>
      <c r="H191" s="1967">
        <v>0</v>
      </c>
      <c r="I191" s="473"/>
      <c r="J191" s="593"/>
      <c r="K191" s="1644">
        <f t="shared" si="18"/>
        <v>0</v>
      </c>
      <c r="L191" s="1989">
        <v>0</v>
      </c>
    </row>
    <row r="192" spans="1:14" x14ac:dyDescent="0.2">
      <c r="A192" s="1477" t="s">
        <v>86</v>
      </c>
      <c r="B192" s="591">
        <v>4170</v>
      </c>
      <c r="C192" s="593"/>
      <c r="D192" s="593"/>
      <c r="E192" s="1967">
        <v>0</v>
      </c>
      <c r="F192" s="593"/>
      <c r="G192" s="593"/>
      <c r="H192" s="1967">
        <v>0</v>
      </c>
      <c r="I192" s="473"/>
      <c r="J192" s="593"/>
      <c r="K192" s="1644">
        <f t="shared" si="18"/>
        <v>0</v>
      </c>
      <c r="L192" s="1989">
        <v>0</v>
      </c>
    </row>
    <row r="193" spans="1:14" x14ac:dyDescent="0.2">
      <c r="A193" s="1481" t="s">
        <v>698</v>
      </c>
      <c r="B193" s="605">
        <v>4190</v>
      </c>
      <c r="C193" s="593"/>
      <c r="D193" s="593"/>
      <c r="E193" s="1967">
        <v>0</v>
      </c>
      <c r="F193" s="593"/>
      <c r="G193" s="593"/>
      <c r="H193" s="1967">
        <v>0</v>
      </c>
      <c r="I193" s="473"/>
      <c r="J193" s="593"/>
      <c r="K193" s="1644">
        <f t="shared" si="18"/>
        <v>0</v>
      </c>
      <c r="L193" s="1989">
        <v>0</v>
      </c>
    </row>
    <row r="194" spans="1:14" ht="12.75" customHeight="1" thickBot="1" x14ac:dyDescent="0.25">
      <c r="A194" s="1641" t="s">
        <v>1140</v>
      </c>
      <c r="B194" s="1642" t="s">
        <v>559</v>
      </c>
      <c r="C194" s="593"/>
      <c r="D194" s="593"/>
      <c r="E194" s="1643">
        <f>SUM(E188:E193)</f>
        <v>0</v>
      </c>
      <c r="F194" s="593"/>
      <c r="G194" s="593"/>
      <c r="H194" s="1643">
        <f>SUM(H188:H193)</f>
        <v>0</v>
      </c>
      <c r="I194" s="473"/>
      <c r="J194" s="593"/>
      <c r="K194" s="1643">
        <f>SUM(K188:K193)</f>
        <v>0</v>
      </c>
      <c r="L194" s="1643">
        <f>SUM(L188:L193)</f>
        <v>0</v>
      </c>
    </row>
    <row r="195" spans="1:14" ht="15.75" customHeight="1" thickTop="1" x14ac:dyDescent="0.2">
      <c r="A195" s="644" t="s">
        <v>92</v>
      </c>
      <c r="B195" s="653" t="s">
        <v>931</v>
      </c>
      <c r="C195" s="593"/>
      <c r="D195" s="593"/>
      <c r="E195" s="1983">
        <v>0</v>
      </c>
      <c r="F195" s="593"/>
      <c r="G195" s="593"/>
      <c r="H195" s="1983">
        <v>0</v>
      </c>
      <c r="I195" s="473"/>
      <c r="J195" s="593"/>
      <c r="K195" s="1658">
        <f>SUM(E195,H195)</f>
        <v>0</v>
      </c>
      <c r="L195" s="2004">
        <v>0</v>
      </c>
    </row>
    <row r="196" spans="1:14" ht="12.75" customHeight="1" thickBot="1" x14ac:dyDescent="0.25">
      <c r="A196" s="1641" t="s">
        <v>1487</v>
      </c>
      <c r="B196" s="1642" t="s">
        <v>860</v>
      </c>
      <c r="C196" s="593"/>
      <c r="D196" s="593"/>
      <c r="E196" s="1650">
        <f>SUM(E194,E195)</f>
        <v>0</v>
      </c>
      <c r="F196" s="593"/>
      <c r="G196" s="593"/>
      <c r="H196" s="1650">
        <f>SUM(H194,H195)</f>
        <v>0</v>
      </c>
      <c r="I196" s="473"/>
      <c r="J196" s="593"/>
      <c r="K196" s="1650">
        <f>SUM(K194,K195)</f>
        <v>0</v>
      </c>
      <c r="L196" s="1650">
        <f>SUM(L194,L195)</f>
        <v>0</v>
      </c>
    </row>
    <row r="197" spans="1:14" s="649" customFormat="1" ht="15.75" customHeight="1" thickTop="1" x14ac:dyDescent="0.2">
      <c r="A197" s="1585" t="s">
        <v>940</v>
      </c>
      <c r="B197" s="1582" t="s">
        <v>492</v>
      </c>
      <c r="C197" s="593"/>
      <c r="D197" s="593"/>
      <c r="E197" s="593"/>
      <c r="F197" s="593"/>
      <c r="G197" s="593"/>
      <c r="H197" s="593"/>
      <c r="I197" s="593"/>
      <c r="J197" s="593"/>
      <c r="K197" s="593"/>
      <c r="L197" s="593"/>
      <c r="M197" s="640"/>
      <c r="N197" s="640"/>
    </row>
    <row r="198" spans="1:14" s="649" customFormat="1" ht="15.75" customHeight="1" x14ac:dyDescent="0.2">
      <c r="A198" s="629" t="s">
        <v>93</v>
      </c>
      <c r="B198" s="599"/>
      <c r="C198" s="593"/>
      <c r="D198" s="593"/>
      <c r="E198" s="593"/>
      <c r="F198" s="593"/>
      <c r="G198" s="593"/>
      <c r="H198" s="593"/>
      <c r="I198" s="593"/>
      <c r="J198" s="593"/>
      <c r="K198" s="593"/>
      <c r="L198" s="593"/>
      <c r="M198" s="640"/>
      <c r="N198" s="640"/>
    </row>
    <row r="199" spans="1:14" x14ac:dyDescent="0.2">
      <c r="A199" s="1477" t="s">
        <v>87</v>
      </c>
      <c r="B199" s="591">
        <v>5110</v>
      </c>
      <c r="C199" s="593"/>
      <c r="D199" s="593"/>
      <c r="E199" s="593"/>
      <c r="F199" s="593"/>
      <c r="G199" s="593"/>
      <c r="H199" s="1967">
        <v>0</v>
      </c>
      <c r="I199" s="593"/>
      <c r="J199" s="593"/>
      <c r="K199" s="1644">
        <f>SUM(H199)</f>
        <v>0</v>
      </c>
      <c r="L199" s="1989">
        <v>0</v>
      </c>
    </row>
    <row r="200" spans="1:14" x14ac:dyDescent="0.2">
      <c r="A200" s="1477" t="s">
        <v>88</v>
      </c>
      <c r="B200" s="591">
        <v>5120</v>
      </c>
      <c r="C200" s="593"/>
      <c r="D200" s="593"/>
      <c r="E200" s="593"/>
      <c r="F200" s="593"/>
      <c r="G200" s="593"/>
      <c r="H200" s="1967">
        <v>0</v>
      </c>
      <c r="I200" s="593"/>
      <c r="J200" s="593"/>
      <c r="K200" s="1644">
        <f>SUM(H200)</f>
        <v>0</v>
      </c>
      <c r="L200" s="1989">
        <v>0</v>
      </c>
    </row>
    <row r="201" spans="1:14" ht="12.75" customHeight="1" x14ac:dyDescent="0.2">
      <c r="A201" s="1477" t="s">
        <v>1170</v>
      </c>
      <c r="B201" s="605" t="s">
        <v>617</v>
      </c>
      <c r="C201" s="593"/>
      <c r="D201" s="593"/>
      <c r="E201" s="593"/>
      <c r="F201" s="593"/>
      <c r="G201" s="593"/>
      <c r="H201" s="1967">
        <v>0</v>
      </c>
      <c r="I201" s="593"/>
      <c r="J201" s="593"/>
      <c r="K201" s="1644">
        <f>SUM(H201)</f>
        <v>0</v>
      </c>
      <c r="L201" s="1989">
        <v>0</v>
      </c>
    </row>
    <row r="202" spans="1:14" x14ac:dyDescent="0.2">
      <c r="A202" s="1477" t="s">
        <v>89</v>
      </c>
      <c r="B202" s="591" t="s">
        <v>589</v>
      </c>
      <c r="C202" s="593"/>
      <c r="D202" s="593"/>
      <c r="E202" s="593"/>
      <c r="F202" s="593"/>
      <c r="G202" s="593"/>
      <c r="H202" s="1967">
        <v>0</v>
      </c>
      <c r="I202" s="593"/>
      <c r="J202" s="593"/>
      <c r="K202" s="1644">
        <f>SUM(H202)</f>
        <v>0</v>
      </c>
      <c r="L202" s="1989">
        <v>0</v>
      </c>
    </row>
    <row r="203" spans="1:14" x14ac:dyDescent="0.2">
      <c r="A203" s="1489" t="s">
        <v>619</v>
      </c>
      <c r="B203" s="591" t="s">
        <v>618</v>
      </c>
      <c r="C203" s="593"/>
      <c r="D203" s="593"/>
      <c r="E203" s="593"/>
      <c r="F203" s="593"/>
      <c r="G203" s="593"/>
      <c r="H203" s="1969">
        <v>0</v>
      </c>
      <c r="I203" s="593"/>
      <c r="J203" s="593"/>
      <c r="K203" s="1644">
        <f>SUM(H203)</f>
        <v>0</v>
      </c>
      <c r="L203" s="1991">
        <v>0</v>
      </c>
    </row>
    <row r="204" spans="1:14" ht="13.5" thickBot="1" x14ac:dyDescent="0.25">
      <c r="A204" s="1641" t="s">
        <v>276</v>
      </c>
      <c r="B204" s="1642" t="s">
        <v>718</v>
      </c>
      <c r="C204" s="593"/>
      <c r="D204" s="593"/>
      <c r="E204" s="593"/>
      <c r="F204" s="593"/>
      <c r="G204" s="593"/>
      <c r="H204" s="1643">
        <f>SUM(H199:H203)</f>
        <v>0</v>
      </c>
      <c r="I204" s="593"/>
      <c r="J204" s="593"/>
      <c r="K204" s="1643">
        <f>SUM(K199:K203)</f>
        <v>0</v>
      </c>
      <c r="L204" s="1643">
        <f>SUM(L199:L203)</f>
        <v>0</v>
      </c>
    </row>
    <row r="205" spans="1:14" ht="15.75" customHeight="1" thickTop="1" x14ac:dyDescent="0.2">
      <c r="A205" s="654" t="s">
        <v>83</v>
      </c>
      <c r="B205" s="655" t="s">
        <v>38</v>
      </c>
      <c r="C205" s="593"/>
      <c r="D205" s="593"/>
      <c r="E205" s="593"/>
      <c r="F205" s="593"/>
      <c r="G205" s="593"/>
      <c r="H205" s="1977">
        <v>0</v>
      </c>
      <c r="I205" s="593"/>
      <c r="J205" s="593"/>
      <c r="K205" s="1658">
        <f>SUM(H205)</f>
        <v>0</v>
      </c>
      <c r="L205" s="2000">
        <v>0</v>
      </c>
    </row>
    <row r="206" spans="1:14" ht="30" customHeight="1" x14ac:dyDescent="0.2">
      <c r="A206" s="656" t="s">
        <v>1671</v>
      </c>
      <c r="B206" s="647" t="s">
        <v>31</v>
      </c>
      <c r="C206" s="593"/>
      <c r="D206" s="593"/>
      <c r="E206" s="593"/>
      <c r="F206" s="593"/>
      <c r="G206" s="593"/>
      <c r="H206" s="1967">
        <v>0</v>
      </c>
      <c r="I206" s="593"/>
      <c r="J206" s="593"/>
      <c r="K206" s="1644">
        <f>SUM(H206)</f>
        <v>0</v>
      </c>
      <c r="L206" s="1989">
        <v>0</v>
      </c>
    </row>
    <row r="207" spans="1:14" ht="15.75" customHeight="1" x14ac:dyDescent="0.2">
      <c r="A207" s="598" t="s">
        <v>766</v>
      </c>
      <c r="B207" s="647" t="s">
        <v>84</v>
      </c>
      <c r="C207" s="593"/>
      <c r="D207" s="593"/>
      <c r="E207" s="593"/>
      <c r="F207" s="593"/>
      <c r="G207" s="593"/>
      <c r="H207" s="1968">
        <v>0</v>
      </c>
      <c r="I207" s="593"/>
      <c r="J207" s="593"/>
      <c r="K207" s="1644">
        <f>H207</f>
        <v>0</v>
      </c>
      <c r="L207" s="1989">
        <v>0</v>
      </c>
    </row>
    <row r="208" spans="1:14" ht="12.75" customHeight="1" thickBot="1" x14ac:dyDescent="0.25">
      <c r="A208" s="1659" t="s">
        <v>638</v>
      </c>
      <c r="B208" s="1660" t="s">
        <v>492</v>
      </c>
      <c r="C208" s="593"/>
      <c r="D208" s="593"/>
      <c r="E208" s="593"/>
      <c r="F208" s="593"/>
      <c r="G208" s="593"/>
      <c r="H208" s="1650">
        <f>SUM(H204,H205,H206,H207)</f>
        <v>0</v>
      </c>
      <c r="I208" s="593"/>
      <c r="J208" s="593"/>
      <c r="K208" s="1650">
        <f>SUM(K204,K205,K206,K207)</f>
        <v>0</v>
      </c>
      <c r="L208" s="1650">
        <f>SUM(L204,L205,L206,L207)</f>
        <v>0</v>
      </c>
    </row>
    <row r="209" spans="1:14" ht="15.75" customHeight="1" thickTop="1" thickBot="1" x14ac:dyDescent="0.25">
      <c r="A209" s="1579" t="s">
        <v>872</v>
      </c>
      <c r="B209" s="1586" t="s">
        <v>861</v>
      </c>
      <c r="C209" s="600"/>
      <c r="D209" s="600"/>
      <c r="E209" s="600"/>
      <c r="F209" s="600"/>
      <c r="G209" s="600"/>
      <c r="H209" s="600"/>
      <c r="I209" s="593"/>
      <c r="J209" s="593"/>
      <c r="K209" s="600"/>
      <c r="L209" s="2002">
        <v>0</v>
      </c>
    </row>
    <row r="210" spans="1:14" ht="12.75" customHeight="1" thickTop="1" thickBot="1" x14ac:dyDescent="0.25">
      <c r="A210" s="1665" t="s">
        <v>277</v>
      </c>
      <c r="B210" s="1666"/>
      <c r="C210" s="1643">
        <f>SUM(C184,C185)</f>
        <v>120732</v>
      </c>
      <c r="D210" s="1643">
        <f>SUM(D184,D185)</f>
        <v>855</v>
      </c>
      <c r="E210" s="1643">
        <f>SUM(E184,E185,E196)</f>
        <v>42504</v>
      </c>
      <c r="F210" s="1643">
        <f>SUM(F184,F185)</f>
        <v>42555</v>
      </c>
      <c r="G210" s="1643">
        <f>SUM(G184,G185)</f>
        <v>78630</v>
      </c>
      <c r="H210" s="1643">
        <f>SUM(H184,H185,H196,H208,H209)</f>
        <v>688</v>
      </c>
      <c r="I210" s="1643">
        <f>SUM(I184,I185)</f>
        <v>0</v>
      </c>
      <c r="J210" s="1643">
        <f>SUM(J184,J185)</f>
        <v>0</v>
      </c>
      <c r="K210" s="1644">
        <f>SUM(K184,K185,K196,K208,K209)</f>
        <v>285964</v>
      </c>
      <c r="L210" s="1643">
        <f>SUM(L184,L185,L196,L208,L209)</f>
        <v>338700</v>
      </c>
    </row>
    <row r="211" spans="1:14" ht="13.5" thickTop="1" x14ac:dyDescent="0.2">
      <c r="A211" s="2228" t="s">
        <v>996</v>
      </c>
      <c r="B211" s="2229"/>
      <c r="C211" s="595"/>
      <c r="D211" s="595"/>
      <c r="E211" s="595"/>
      <c r="F211" s="595"/>
      <c r="G211" s="595"/>
      <c r="H211" s="595"/>
      <c r="I211" s="593"/>
      <c r="J211" s="593"/>
      <c r="K211" s="1657">
        <f>'Revenues 9-14'!F268-'Expenditures 15-22'!K210</f>
        <v>-91193</v>
      </c>
      <c r="L211" s="595"/>
    </row>
    <row r="212" spans="1:14" s="641" customFormat="1" ht="9" customHeight="1" x14ac:dyDescent="0.2">
      <c r="A212" s="638"/>
      <c r="B212" s="648"/>
      <c r="C212" s="626"/>
      <c r="D212" s="626"/>
      <c r="E212" s="626"/>
      <c r="F212" s="626"/>
      <c r="G212" s="626"/>
      <c r="H212" s="626"/>
      <c r="I212" s="626"/>
      <c r="J212" s="626"/>
      <c r="K212" s="626"/>
      <c r="L212" s="626"/>
      <c r="M212" s="640"/>
      <c r="N212" s="640"/>
    </row>
    <row r="213" spans="1:14" s="343" customFormat="1" ht="16.7" customHeight="1" x14ac:dyDescent="0.2">
      <c r="A213" s="2250" t="s">
        <v>965</v>
      </c>
      <c r="B213" s="2251"/>
      <c r="C213" s="1524"/>
      <c r="D213" s="1525"/>
      <c r="E213" s="1525"/>
      <c r="F213" s="1525"/>
      <c r="G213" s="1525"/>
      <c r="H213" s="1525"/>
      <c r="I213" s="1525"/>
      <c r="J213" s="1525"/>
      <c r="K213" s="1525"/>
      <c r="L213" s="1526"/>
      <c r="M213" s="586"/>
      <c r="N213" s="586"/>
    </row>
    <row r="214" spans="1:14" s="649" customFormat="1" ht="15.75" customHeight="1" x14ac:dyDescent="0.2">
      <c r="A214" s="1596" t="s">
        <v>873</v>
      </c>
      <c r="B214" s="1588" t="s">
        <v>570</v>
      </c>
      <c r="C214" s="593"/>
      <c r="D214" s="600"/>
      <c r="E214" s="593"/>
      <c r="F214" s="593"/>
      <c r="G214" s="593"/>
      <c r="H214" s="593"/>
      <c r="I214" s="593"/>
      <c r="J214" s="593"/>
      <c r="K214" s="600"/>
      <c r="L214" s="600"/>
      <c r="M214" s="640"/>
      <c r="N214" s="640"/>
    </row>
    <row r="215" spans="1:14" x14ac:dyDescent="0.2">
      <c r="A215" s="1477" t="s">
        <v>961</v>
      </c>
      <c r="B215" s="591">
        <v>1100</v>
      </c>
      <c r="C215" s="593"/>
      <c r="D215" s="1967">
        <v>48877</v>
      </c>
      <c r="E215" s="593"/>
      <c r="F215" s="593"/>
      <c r="G215" s="593"/>
      <c r="H215" s="593"/>
      <c r="I215" s="593"/>
      <c r="J215" s="593"/>
      <c r="K215" s="1644">
        <f>D215</f>
        <v>48877</v>
      </c>
      <c r="L215" s="1989">
        <v>60000</v>
      </c>
    </row>
    <row r="216" spans="1:14" x14ac:dyDescent="0.2">
      <c r="A216" s="1477" t="s">
        <v>163</v>
      </c>
      <c r="B216" s="591" t="s">
        <v>967</v>
      </c>
      <c r="C216" s="593"/>
      <c r="D216" s="1968">
        <v>0</v>
      </c>
      <c r="E216" s="593"/>
      <c r="F216" s="593"/>
      <c r="G216" s="593"/>
      <c r="H216" s="593"/>
      <c r="I216" s="593"/>
      <c r="J216" s="593"/>
      <c r="K216" s="1644">
        <f t="shared" ref="K216:K228" si="19">D216</f>
        <v>0</v>
      </c>
      <c r="L216" s="1989">
        <v>0</v>
      </c>
    </row>
    <row r="217" spans="1:14" x14ac:dyDescent="0.2">
      <c r="A217" s="1477" t="s">
        <v>164</v>
      </c>
      <c r="B217" s="591">
        <v>1200</v>
      </c>
      <c r="C217" s="593"/>
      <c r="D217" s="1967">
        <v>2038</v>
      </c>
      <c r="E217" s="593"/>
      <c r="F217" s="593"/>
      <c r="G217" s="593"/>
      <c r="H217" s="593"/>
      <c r="I217" s="593"/>
      <c r="J217" s="593"/>
      <c r="K217" s="1644">
        <f t="shared" si="19"/>
        <v>2038</v>
      </c>
      <c r="L217" s="1989">
        <v>3800</v>
      </c>
    </row>
    <row r="218" spans="1:14" x14ac:dyDescent="0.2">
      <c r="A218" s="1477" t="s">
        <v>278</v>
      </c>
      <c r="B218" s="591" t="s">
        <v>968</v>
      </c>
      <c r="C218" s="593"/>
      <c r="D218" s="1968">
        <v>0</v>
      </c>
      <c r="E218" s="593"/>
      <c r="F218" s="593"/>
      <c r="G218" s="593"/>
      <c r="H218" s="593"/>
      <c r="I218" s="593"/>
      <c r="J218" s="593"/>
      <c r="K218" s="1644">
        <f t="shared" si="19"/>
        <v>0</v>
      </c>
      <c r="L218" s="1989">
        <v>0</v>
      </c>
    </row>
    <row r="219" spans="1:14" x14ac:dyDescent="0.2">
      <c r="A219" s="1477" t="s">
        <v>279</v>
      </c>
      <c r="B219" s="591">
        <v>1250</v>
      </c>
      <c r="C219" s="593"/>
      <c r="D219" s="1967">
        <v>890</v>
      </c>
      <c r="E219" s="593"/>
      <c r="F219" s="593"/>
      <c r="G219" s="593"/>
      <c r="H219" s="593"/>
      <c r="I219" s="593"/>
      <c r="J219" s="593"/>
      <c r="K219" s="1644">
        <f t="shared" si="19"/>
        <v>890</v>
      </c>
      <c r="L219" s="1989">
        <v>1000</v>
      </c>
    </row>
    <row r="220" spans="1:14" x14ac:dyDescent="0.2">
      <c r="A220" s="1477" t="s">
        <v>280</v>
      </c>
      <c r="B220" s="591" t="s">
        <v>161</v>
      </c>
      <c r="C220" s="593"/>
      <c r="D220" s="1968">
        <v>0</v>
      </c>
      <c r="E220" s="593"/>
      <c r="F220" s="593"/>
      <c r="G220" s="593"/>
      <c r="H220" s="593"/>
      <c r="I220" s="593"/>
      <c r="J220" s="593"/>
      <c r="K220" s="1644">
        <f t="shared" si="19"/>
        <v>0</v>
      </c>
      <c r="L220" s="1989">
        <v>0</v>
      </c>
    </row>
    <row r="221" spans="1:14" x14ac:dyDescent="0.2">
      <c r="A221" s="1477" t="s">
        <v>962</v>
      </c>
      <c r="B221" s="591">
        <v>1300</v>
      </c>
      <c r="C221" s="593"/>
      <c r="D221" s="1967">
        <v>0</v>
      </c>
      <c r="E221" s="593"/>
      <c r="F221" s="593"/>
      <c r="G221" s="593"/>
      <c r="H221" s="593"/>
      <c r="I221" s="593"/>
      <c r="J221" s="593"/>
      <c r="K221" s="1644">
        <f t="shared" si="19"/>
        <v>0</v>
      </c>
      <c r="L221" s="1989">
        <v>0</v>
      </c>
    </row>
    <row r="222" spans="1:14" x14ac:dyDescent="0.2">
      <c r="A222" s="1477" t="s">
        <v>723</v>
      </c>
      <c r="B222" s="591">
        <v>1400</v>
      </c>
      <c r="C222" s="593"/>
      <c r="D222" s="1967">
        <v>0</v>
      </c>
      <c r="E222" s="593"/>
      <c r="F222" s="593"/>
      <c r="G222" s="593"/>
      <c r="H222" s="593"/>
      <c r="I222" s="593"/>
      <c r="J222" s="593"/>
      <c r="K222" s="1644">
        <f t="shared" si="19"/>
        <v>0</v>
      </c>
      <c r="L222" s="1989">
        <v>0</v>
      </c>
    </row>
    <row r="223" spans="1:14" x14ac:dyDescent="0.2">
      <c r="A223" s="1477" t="s">
        <v>963</v>
      </c>
      <c r="B223" s="591">
        <v>1500</v>
      </c>
      <c r="C223" s="593"/>
      <c r="D223" s="1967">
        <v>889</v>
      </c>
      <c r="E223" s="593"/>
      <c r="F223" s="593"/>
      <c r="G223" s="593"/>
      <c r="H223" s="593"/>
      <c r="I223" s="593"/>
      <c r="J223" s="593"/>
      <c r="K223" s="1644">
        <f t="shared" si="19"/>
        <v>889</v>
      </c>
      <c r="L223" s="1989">
        <v>1300</v>
      </c>
    </row>
    <row r="224" spans="1:14" x14ac:dyDescent="0.2">
      <c r="A224" s="1477" t="s">
        <v>964</v>
      </c>
      <c r="B224" s="591">
        <v>1600</v>
      </c>
      <c r="C224" s="593"/>
      <c r="D224" s="1967">
        <v>0</v>
      </c>
      <c r="E224" s="593"/>
      <c r="F224" s="593"/>
      <c r="G224" s="593"/>
      <c r="H224" s="593"/>
      <c r="I224" s="593"/>
      <c r="J224" s="593"/>
      <c r="K224" s="1644">
        <f t="shared" si="19"/>
        <v>0</v>
      </c>
      <c r="L224" s="1989">
        <v>0</v>
      </c>
    </row>
    <row r="225" spans="1:12" x14ac:dyDescent="0.2">
      <c r="A225" s="1477" t="s">
        <v>987</v>
      </c>
      <c r="B225" s="591">
        <v>1650</v>
      </c>
      <c r="C225" s="593"/>
      <c r="D225" s="1967">
        <v>0</v>
      </c>
      <c r="E225" s="593"/>
      <c r="F225" s="593"/>
      <c r="G225" s="593"/>
      <c r="H225" s="593"/>
      <c r="I225" s="593"/>
      <c r="J225" s="593"/>
      <c r="K225" s="1644">
        <f t="shared" si="19"/>
        <v>0</v>
      </c>
      <c r="L225" s="1989">
        <v>0</v>
      </c>
    </row>
    <row r="226" spans="1:12" x14ac:dyDescent="0.2">
      <c r="A226" s="1477" t="s">
        <v>724</v>
      </c>
      <c r="B226" s="591" t="s">
        <v>162</v>
      </c>
      <c r="C226" s="593"/>
      <c r="D226" s="1968">
        <v>0</v>
      </c>
      <c r="E226" s="593"/>
      <c r="F226" s="593"/>
      <c r="G226" s="593"/>
      <c r="H226" s="593"/>
      <c r="I226" s="593"/>
      <c r="J226" s="593"/>
      <c r="K226" s="1644">
        <f t="shared" si="19"/>
        <v>0</v>
      </c>
      <c r="L226" s="1989">
        <v>0</v>
      </c>
    </row>
    <row r="227" spans="1:12" x14ac:dyDescent="0.2">
      <c r="A227" s="1477" t="s">
        <v>1087</v>
      </c>
      <c r="B227" s="591">
        <v>1800</v>
      </c>
      <c r="C227" s="593"/>
      <c r="D227" s="1967">
        <v>0</v>
      </c>
      <c r="E227" s="593"/>
      <c r="F227" s="593"/>
      <c r="G227" s="593"/>
      <c r="H227" s="593"/>
      <c r="I227" s="593"/>
      <c r="J227" s="593"/>
      <c r="K227" s="1644">
        <f t="shared" si="19"/>
        <v>0</v>
      </c>
      <c r="L227" s="1989">
        <v>0</v>
      </c>
    </row>
    <row r="228" spans="1:12" x14ac:dyDescent="0.2">
      <c r="A228" s="1477" t="s">
        <v>1088</v>
      </c>
      <c r="B228" s="591">
        <v>1900</v>
      </c>
      <c r="C228" s="593"/>
      <c r="D228" s="1967">
        <v>0</v>
      </c>
      <c r="E228" s="593"/>
      <c r="F228" s="593"/>
      <c r="G228" s="593"/>
      <c r="H228" s="593"/>
      <c r="I228" s="593"/>
      <c r="J228" s="593"/>
      <c r="K228" s="1644">
        <f t="shared" si="19"/>
        <v>0</v>
      </c>
      <c r="L228" s="1989">
        <v>0</v>
      </c>
    </row>
    <row r="229" spans="1:12" ht="12.75" customHeight="1" thickBot="1" x14ac:dyDescent="0.25">
      <c r="A229" s="1641" t="s">
        <v>715</v>
      </c>
      <c r="B229" s="1648" t="s">
        <v>570</v>
      </c>
      <c r="C229" s="593"/>
      <c r="D229" s="1643">
        <f>SUM(D215:D228)</f>
        <v>52694</v>
      </c>
      <c r="E229" s="593"/>
      <c r="F229" s="593"/>
      <c r="G229" s="593"/>
      <c r="H229" s="593"/>
      <c r="I229" s="593"/>
      <c r="J229" s="593"/>
      <c r="K229" s="1643">
        <f>SUM(K215:K228)</f>
        <v>52694</v>
      </c>
      <c r="L229" s="1643">
        <f>SUM(L215:L228)</f>
        <v>66100</v>
      </c>
    </row>
    <row r="230" spans="1:12" ht="15.75" customHeight="1" thickTop="1" x14ac:dyDescent="0.2">
      <c r="A230" s="1585" t="s">
        <v>874</v>
      </c>
      <c r="B230" s="1586" t="s">
        <v>569</v>
      </c>
      <c r="C230" s="593"/>
      <c r="D230" s="593"/>
      <c r="E230" s="593"/>
      <c r="F230" s="593"/>
      <c r="G230" s="593"/>
      <c r="H230" s="593"/>
      <c r="I230" s="593"/>
      <c r="J230" s="593"/>
      <c r="K230" s="593"/>
      <c r="L230" s="593"/>
    </row>
    <row r="231" spans="1:12" ht="15.75" customHeight="1" x14ac:dyDescent="0.2">
      <c r="A231" s="629" t="s">
        <v>591</v>
      </c>
      <c r="B231" s="599"/>
      <c r="C231" s="593"/>
      <c r="D231" s="593"/>
      <c r="E231" s="593"/>
      <c r="F231" s="593"/>
      <c r="G231" s="593"/>
      <c r="H231" s="593"/>
      <c r="I231" s="593"/>
      <c r="J231" s="593"/>
      <c r="K231" s="593"/>
      <c r="L231" s="593"/>
    </row>
    <row r="232" spans="1:12" x14ac:dyDescent="0.2">
      <c r="A232" s="1477" t="s">
        <v>1089</v>
      </c>
      <c r="B232" s="591">
        <v>2110</v>
      </c>
      <c r="C232" s="593"/>
      <c r="D232" s="1967">
        <v>676</v>
      </c>
      <c r="E232" s="593"/>
      <c r="F232" s="593"/>
      <c r="G232" s="593"/>
      <c r="H232" s="593"/>
      <c r="I232" s="593"/>
      <c r="J232" s="593"/>
      <c r="K232" s="1644">
        <f t="shared" ref="K232:K237" si="20">D232</f>
        <v>676</v>
      </c>
      <c r="L232" s="1989">
        <v>720</v>
      </c>
    </row>
    <row r="233" spans="1:12" x14ac:dyDescent="0.2">
      <c r="A233" s="1477" t="s">
        <v>1090</v>
      </c>
      <c r="B233" s="591">
        <v>2120</v>
      </c>
      <c r="C233" s="593"/>
      <c r="D233" s="1967">
        <v>0</v>
      </c>
      <c r="E233" s="593"/>
      <c r="F233" s="593"/>
      <c r="G233" s="593"/>
      <c r="H233" s="593"/>
      <c r="I233" s="593"/>
      <c r="J233" s="593"/>
      <c r="K233" s="1644">
        <f t="shared" si="20"/>
        <v>0</v>
      </c>
      <c r="L233" s="1989">
        <v>0</v>
      </c>
    </row>
    <row r="234" spans="1:12" x14ac:dyDescent="0.2">
      <c r="A234" s="1477" t="s">
        <v>198</v>
      </c>
      <c r="B234" s="591">
        <v>2130</v>
      </c>
      <c r="C234" s="593"/>
      <c r="D234" s="1967">
        <v>0</v>
      </c>
      <c r="E234" s="593"/>
      <c r="F234" s="593"/>
      <c r="G234" s="593"/>
      <c r="H234" s="593"/>
      <c r="I234" s="593"/>
      <c r="J234" s="593"/>
      <c r="K234" s="1644">
        <f t="shared" si="20"/>
        <v>0</v>
      </c>
      <c r="L234" s="1989">
        <v>0</v>
      </c>
    </row>
    <row r="235" spans="1:12" x14ac:dyDescent="0.2">
      <c r="A235" s="1477" t="s">
        <v>199</v>
      </c>
      <c r="B235" s="591">
        <v>2140</v>
      </c>
      <c r="C235" s="593"/>
      <c r="D235" s="1967">
        <v>0</v>
      </c>
      <c r="E235" s="593"/>
      <c r="F235" s="593"/>
      <c r="G235" s="593"/>
      <c r="H235" s="593"/>
      <c r="I235" s="593"/>
      <c r="J235" s="593"/>
      <c r="K235" s="1644">
        <f t="shared" si="20"/>
        <v>0</v>
      </c>
      <c r="L235" s="1989">
        <v>0</v>
      </c>
    </row>
    <row r="236" spans="1:12" x14ac:dyDescent="0.2">
      <c r="A236" s="1477" t="s">
        <v>200</v>
      </c>
      <c r="B236" s="591">
        <v>2150</v>
      </c>
      <c r="C236" s="593"/>
      <c r="D236" s="1967">
        <v>0</v>
      </c>
      <c r="E236" s="593"/>
      <c r="F236" s="593"/>
      <c r="G236" s="593"/>
      <c r="H236" s="593"/>
      <c r="I236" s="593"/>
      <c r="J236" s="593"/>
      <c r="K236" s="1644">
        <f t="shared" si="20"/>
        <v>0</v>
      </c>
      <c r="L236" s="1989">
        <v>0</v>
      </c>
    </row>
    <row r="237" spans="1:12" x14ac:dyDescent="0.2">
      <c r="A237" s="1477" t="s">
        <v>165</v>
      </c>
      <c r="B237" s="591">
        <v>2190</v>
      </c>
      <c r="C237" s="593"/>
      <c r="D237" s="1967">
        <v>0</v>
      </c>
      <c r="E237" s="593"/>
      <c r="F237" s="593"/>
      <c r="G237" s="593"/>
      <c r="H237" s="593"/>
      <c r="I237" s="593"/>
      <c r="J237" s="593"/>
      <c r="K237" s="1644">
        <f t="shared" si="20"/>
        <v>0</v>
      </c>
      <c r="L237" s="1989">
        <v>0</v>
      </c>
    </row>
    <row r="238" spans="1:12" ht="12.75" customHeight="1" thickBot="1" x14ac:dyDescent="0.25">
      <c r="A238" s="1641" t="s">
        <v>560</v>
      </c>
      <c r="B238" s="1648" t="s">
        <v>716</v>
      </c>
      <c r="C238" s="593"/>
      <c r="D238" s="1643">
        <f>SUM(D232:D237)</f>
        <v>676</v>
      </c>
      <c r="E238" s="593"/>
      <c r="F238" s="593"/>
      <c r="G238" s="593"/>
      <c r="H238" s="593"/>
      <c r="I238" s="593"/>
      <c r="J238" s="593"/>
      <c r="K238" s="1643">
        <f>SUM(K232:K237)</f>
        <v>676</v>
      </c>
      <c r="L238" s="1643">
        <f>SUM(L232:L237)</f>
        <v>720</v>
      </c>
    </row>
    <row r="239" spans="1:12" ht="15.75" customHeight="1" thickTop="1" x14ac:dyDescent="0.2">
      <c r="A239" s="601" t="s">
        <v>592</v>
      </c>
      <c r="B239" s="608"/>
      <c r="C239" s="593"/>
      <c r="D239" s="603"/>
      <c r="E239" s="593"/>
      <c r="F239" s="593"/>
      <c r="G239" s="593"/>
      <c r="H239" s="593"/>
      <c r="I239" s="593"/>
      <c r="J239" s="593"/>
      <c r="K239" s="603"/>
      <c r="L239" s="603"/>
    </row>
    <row r="240" spans="1:12" x14ac:dyDescent="0.2">
      <c r="A240" s="1477" t="s">
        <v>814</v>
      </c>
      <c r="B240" s="591">
        <v>2210</v>
      </c>
      <c r="C240" s="593"/>
      <c r="D240" s="477">
        <v>0</v>
      </c>
      <c r="E240" s="593"/>
      <c r="F240" s="593"/>
      <c r="G240" s="593"/>
      <c r="H240" s="593"/>
      <c r="I240" s="593"/>
      <c r="J240" s="593"/>
      <c r="K240" s="1645">
        <f>D240</f>
        <v>0</v>
      </c>
      <c r="L240" s="477">
        <v>0</v>
      </c>
    </row>
    <row r="241" spans="1:12" x14ac:dyDescent="0.2">
      <c r="A241" s="1477" t="s">
        <v>815</v>
      </c>
      <c r="B241" s="591">
        <v>2220</v>
      </c>
      <c r="C241" s="593"/>
      <c r="D241" s="1967">
        <v>0</v>
      </c>
      <c r="E241" s="593"/>
      <c r="F241" s="593"/>
      <c r="G241" s="593"/>
      <c r="H241" s="593"/>
      <c r="I241" s="593"/>
      <c r="J241" s="593"/>
      <c r="K241" s="1645">
        <f>D241</f>
        <v>0</v>
      </c>
      <c r="L241" s="1989">
        <v>0</v>
      </c>
    </row>
    <row r="242" spans="1:12" x14ac:dyDescent="0.2">
      <c r="A242" s="1477" t="s">
        <v>816</v>
      </c>
      <c r="B242" s="591">
        <v>2230</v>
      </c>
      <c r="C242" s="593"/>
      <c r="D242" s="1967">
        <v>0</v>
      </c>
      <c r="E242" s="593"/>
      <c r="F242" s="593"/>
      <c r="G242" s="593"/>
      <c r="H242" s="593"/>
      <c r="I242" s="593"/>
      <c r="J242" s="593"/>
      <c r="K242" s="1645">
        <f>D242</f>
        <v>0</v>
      </c>
      <c r="L242" s="1989">
        <v>0</v>
      </c>
    </row>
    <row r="243" spans="1:12" ht="12.75" customHeight="1" thickBot="1" x14ac:dyDescent="0.25">
      <c r="A243" s="1667" t="s">
        <v>561</v>
      </c>
      <c r="B243" s="1668">
        <v>2200</v>
      </c>
      <c r="C243" s="593"/>
      <c r="D243" s="1643">
        <f>SUM(D240:D242)</f>
        <v>0</v>
      </c>
      <c r="E243" s="593"/>
      <c r="F243" s="593"/>
      <c r="G243" s="593"/>
      <c r="H243" s="593"/>
      <c r="I243" s="593"/>
      <c r="J243" s="593"/>
      <c r="K243" s="1643">
        <f>SUM(K240:K242)</f>
        <v>0</v>
      </c>
      <c r="L243" s="1643">
        <f>SUM(L240:L242)</f>
        <v>0</v>
      </c>
    </row>
    <row r="244" spans="1:12" ht="15.75" customHeight="1" thickTop="1" x14ac:dyDescent="0.2">
      <c r="A244" s="601" t="s">
        <v>610</v>
      </c>
      <c r="B244" s="657"/>
      <c r="C244" s="593"/>
      <c r="D244" s="603"/>
      <c r="E244" s="593"/>
      <c r="F244" s="593"/>
      <c r="G244" s="593"/>
      <c r="H244" s="593"/>
      <c r="I244" s="593"/>
      <c r="J244" s="593"/>
      <c r="K244" s="603"/>
      <c r="L244" s="603"/>
    </row>
    <row r="245" spans="1:12" x14ac:dyDescent="0.2">
      <c r="A245" s="1477" t="s">
        <v>817</v>
      </c>
      <c r="B245" s="591">
        <v>2310</v>
      </c>
      <c r="C245" s="593"/>
      <c r="D245" s="477">
        <v>459</v>
      </c>
      <c r="E245" s="593"/>
      <c r="F245" s="593"/>
      <c r="G245" s="593"/>
      <c r="H245" s="593"/>
      <c r="I245" s="593"/>
      <c r="J245" s="593"/>
      <c r="K245" s="1645">
        <f>D245</f>
        <v>459</v>
      </c>
      <c r="L245" s="477">
        <v>500</v>
      </c>
    </row>
    <row r="246" spans="1:12" x14ac:dyDescent="0.2">
      <c r="A246" s="1477" t="s">
        <v>818</v>
      </c>
      <c r="B246" s="591">
        <v>2320</v>
      </c>
      <c r="C246" s="593"/>
      <c r="D246" s="1967">
        <v>2430</v>
      </c>
      <c r="E246" s="593"/>
      <c r="F246" s="593"/>
      <c r="G246" s="593"/>
      <c r="H246" s="593"/>
      <c r="I246" s="593"/>
      <c r="J246" s="593"/>
      <c r="K246" s="1645">
        <f t="shared" ref="K246:K256" si="21">D246</f>
        <v>2430</v>
      </c>
      <c r="L246" s="1989">
        <v>10600</v>
      </c>
    </row>
    <row r="247" spans="1:12" x14ac:dyDescent="0.2">
      <c r="A247" s="1477" t="s">
        <v>819</v>
      </c>
      <c r="B247" s="591">
        <v>2330</v>
      </c>
      <c r="C247" s="593"/>
      <c r="D247" s="1967">
        <v>0</v>
      </c>
      <c r="E247" s="593"/>
      <c r="F247" s="593"/>
      <c r="G247" s="593"/>
      <c r="H247" s="593"/>
      <c r="I247" s="593"/>
      <c r="J247" s="593"/>
      <c r="K247" s="1645">
        <f t="shared" si="21"/>
        <v>0</v>
      </c>
      <c r="L247" s="1989">
        <v>0</v>
      </c>
    </row>
    <row r="248" spans="1:12" x14ac:dyDescent="0.2">
      <c r="A248" s="1478" t="s">
        <v>299</v>
      </c>
      <c r="B248" s="579" t="s">
        <v>281</v>
      </c>
      <c r="C248" s="593"/>
      <c r="D248" s="1970">
        <v>0</v>
      </c>
      <c r="E248" s="593"/>
      <c r="F248" s="593"/>
      <c r="G248" s="593"/>
      <c r="H248" s="593"/>
      <c r="I248" s="593"/>
      <c r="J248" s="593"/>
      <c r="K248" s="1645">
        <f t="shared" si="21"/>
        <v>0</v>
      </c>
      <c r="L248" s="1989">
        <v>0</v>
      </c>
    </row>
    <row r="249" spans="1:12" x14ac:dyDescent="0.2">
      <c r="A249" s="1479" t="s">
        <v>1805</v>
      </c>
      <c r="B249" s="658" t="s">
        <v>282</v>
      </c>
      <c r="C249" s="593"/>
      <c r="D249" s="1970">
        <v>0</v>
      </c>
      <c r="E249" s="593"/>
      <c r="F249" s="593"/>
      <c r="G249" s="593"/>
      <c r="H249" s="593"/>
      <c r="I249" s="593"/>
      <c r="J249" s="593"/>
      <c r="K249" s="1645">
        <f t="shared" si="21"/>
        <v>0</v>
      </c>
      <c r="L249" s="1989">
        <v>0</v>
      </c>
    </row>
    <row r="250" spans="1:12" x14ac:dyDescent="0.2">
      <c r="A250" s="1478" t="s">
        <v>1806</v>
      </c>
      <c r="B250" s="579" t="s">
        <v>283</v>
      </c>
      <c r="C250" s="593"/>
      <c r="D250" s="1970">
        <v>0</v>
      </c>
      <c r="E250" s="593"/>
      <c r="F250" s="593"/>
      <c r="G250" s="593"/>
      <c r="H250" s="593"/>
      <c r="I250" s="593"/>
      <c r="J250" s="593"/>
      <c r="K250" s="1645">
        <f t="shared" si="21"/>
        <v>0</v>
      </c>
      <c r="L250" s="1989">
        <v>0</v>
      </c>
    </row>
    <row r="251" spans="1:12" x14ac:dyDescent="0.2">
      <c r="A251" s="1478" t="s">
        <v>238</v>
      </c>
      <c r="B251" s="579" t="s">
        <v>284</v>
      </c>
      <c r="C251" s="593"/>
      <c r="D251" s="1970">
        <v>0</v>
      </c>
      <c r="E251" s="593"/>
      <c r="F251" s="593"/>
      <c r="G251" s="593"/>
      <c r="H251" s="593"/>
      <c r="I251" s="593"/>
      <c r="J251" s="593"/>
      <c r="K251" s="1645">
        <f t="shared" si="21"/>
        <v>0</v>
      </c>
      <c r="L251" s="1989">
        <v>0</v>
      </c>
    </row>
    <row r="252" spans="1:12" x14ac:dyDescent="0.2">
      <c r="A252" s="1478" t="s">
        <v>702</v>
      </c>
      <c r="B252" s="579" t="s">
        <v>285</v>
      </c>
      <c r="C252" s="593"/>
      <c r="D252" s="1970">
        <v>0</v>
      </c>
      <c r="E252" s="593"/>
      <c r="F252" s="593"/>
      <c r="G252" s="593"/>
      <c r="H252" s="593"/>
      <c r="I252" s="593"/>
      <c r="J252" s="593"/>
      <c r="K252" s="1645">
        <f t="shared" si="21"/>
        <v>0</v>
      </c>
      <c r="L252" s="1989">
        <v>0</v>
      </c>
    </row>
    <row r="253" spans="1:12" x14ac:dyDescent="0.2">
      <c r="A253" s="1478" t="s">
        <v>239</v>
      </c>
      <c r="B253" s="579" t="s">
        <v>286</v>
      </c>
      <c r="C253" s="593"/>
      <c r="D253" s="1970">
        <v>0</v>
      </c>
      <c r="E253" s="593"/>
      <c r="F253" s="593"/>
      <c r="G253" s="593"/>
      <c r="H253" s="593"/>
      <c r="I253" s="593"/>
      <c r="J253" s="593"/>
      <c r="K253" s="1645">
        <f t="shared" si="21"/>
        <v>0</v>
      </c>
      <c r="L253" s="1989">
        <v>0</v>
      </c>
    </row>
    <row r="254" spans="1:12" ht="22.5" x14ac:dyDescent="0.2">
      <c r="A254" s="1478" t="s">
        <v>1029</v>
      </c>
      <c r="B254" s="658" t="s">
        <v>287</v>
      </c>
      <c r="C254" s="593"/>
      <c r="D254" s="1970">
        <v>0</v>
      </c>
      <c r="E254" s="593"/>
      <c r="F254" s="593"/>
      <c r="G254" s="593"/>
      <c r="H254" s="593"/>
      <c r="I254" s="593"/>
      <c r="J254" s="593"/>
      <c r="K254" s="1645">
        <f t="shared" si="21"/>
        <v>0</v>
      </c>
      <c r="L254" s="1989">
        <v>0</v>
      </c>
    </row>
    <row r="255" spans="1:12" x14ac:dyDescent="0.2">
      <c r="A255" s="1478" t="s">
        <v>1030</v>
      </c>
      <c r="B255" s="579" t="s">
        <v>288</v>
      </c>
      <c r="C255" s="593"/>
      <c r="D255" s="1970">
        <v>0</v>
      </c>
      <c r="E255" s="593"/>
      <c r="F255" s="593"/>
      <c r="G255" s="593"/>
      <c r="H255" s="593"/>
      <c r="I255" s="593"/>
      <c r="J255" s="593"/>
      <c r="K255" s="1645">
        <f t="shared" si="21"/>
        <v>0</v>
      </c>
      <c r="L255" s="1989">
        <v>0</v>
      </c>
    </row>
    <row r="256" spans="1:12" x14ac:dyDescent="0.2">
      <c r="A256" s="1478" t="s">
        <v>971</v>
      </c>
      <c r="B256" s="591" t="s">
        <v>289</v>
      </c>
      <c r="C256" s="593"/>
      <c r="D256" s="1970">
        <v>0</v>
      </c>
      <c r="E256" s="593"/>
      <c r="F256" s="593"/>
      <c r="G256" s="593"/>
      <c r="H256" s="593"/>
      <c r="I256" s="593"/>
      <c r="J256" s="593"/>
      <c r="K256" s="1645">
        <f t="shared" si="21"/>
        <v>0</v>
      </c>
      <c r="L256" s="1989">
        <v>0</v>
      </c>
    </row>
    <row r="257" spans="1:14" ht="12.75" customHeight="1" thickBot="1" x14ac:dyDescent="0.25">
      <c r="A257" s="1641" t="s">
        <v>717</v>
      </c>
      <c r="B257" s="1669">
        <v>2300</v>
      </c>
      <c r="C257" s="593"/>
      <c r="D257" s="1643">
        <f>SUM(D245:D256)</f>
        <v>2889</v>
      </c>
      <c r="E257" s="593"/>
      <c r="F257" s="593"/>
      <c r="G257" s="593"/>
      <c r="H257" s="593"/>
      <c r="I257" s="593"/>
      <c r="J257" s="593"/>
      <c r="K257" s="1643">
        <f>SUM(K245:K256)</f>
        <v>2889</v>
      </c>
      <c r="L257" s="1643">
        <f>SUM(L245:L256)</f>
        <v>11100</v>
      </c>
    </row>
    <row r="258" spans="1:14" ht="15.75" customHeight="1" thickTop="1" x14ac:dyDescent="0.2">
      <c r="A258" s="601" t="s">
        <v>611</v>
      </c>
      <c r="B258" s="659"/>
      <c r="C258" s="593"/>
      <c r="D258" s="603"/>
      <c r="E258" s="593"/>
      <c r="F258" s="593"/>
      <c r="G258" s="593"/>
      <c r="H258" s="593"/>
      <c r="I258" s="593"/>
      <c r="J258" s="593"/>
      <c r="K258" s="603"/>
      <c r="L258" s="603"/>
    </row>
    <row r="259" spans="1:14" x14ac:dyDescent="0.2">
      <c r="A259" s="1477" t="s">
        <v>1067</v>
      </c>
      <c r="B259" s="660">
        <v>2410</v>
      </c>
      <c r="C259" s="593"/>
      <c r="D259" s="477">
        <v>11197</v>
      </c>
      <c r="E259" s="593"/>
      <c r="F259" s="593"/>
      <c r="G259" s="593"/>
      <c r="H259" s="593"/>
      <c r="I259" s="593"/>
      <c r="J259" s="593"/>
      <c r="K259" s="1645">
        <f>D259</f>
        <v>11197</v>
      </c>
      <c r="L259" s="477">
        <v>15000</v>
      </c>
    </row>
    <row r="260" spans="1:14" s="574" customFormat="1" x14ac:dyDescent="0.2">
      <c r="A260" s="1495" t="s">
        <v>1804</v>
      </c>
      <c r="B260" s="605">
        <v>2490</v>
      </c>
      <c r="C260" s="593"/>
      <c r="D260" s="1967">
        <v>0</v>
      </c>
      <c r="E260" s="593"/>
      <c r="F260" s="593"/>
      <c r="G260" s="593"/>
      <c r="H260" s="593"/>
      <c r="I260" s="593"/>
      <c r="J260" s="593"/>
      <c r="K260" s="1645">
        <f>D260</f>
        <v>0</v>
      </c>
      <c r="L260" s="1989">
        <v>0</v>
      </c>
      <c r="M260" s="210"/>
      <c r="N260" s="210"/>
    </row>
    <row r="261" spans="1:14" ht="12.75" customHeight="1" thickBot="1" x14ac:dyDescent="0.25">
      <c r="A261" s="1665" t="s">
        <v>263</v>
      </c>
      <c r="B261" s="1670" t="s">
        <v>34</v>
      </c>
      <c r="C261" s="593"/>
      <c r="D261" s="1643">
        <f>SUM(D259:D260)</f>
        <v>11197</v>
      </c>
      <c r="E261" s="593"/>
      <c r="F261" s="593"/>
      <c r="G261" s="593"/>
      <c r="H261" s="593"/>
      <c r="I261" s="593"/>
      <c r="J261" s="593"/>
      <c r="K261" s="1643">
        <f>SUM(K259:K260)</f>
        <v>11197</v>
      </c>
      <c r="L261" s="1643">
        <f>SUM(L259:L260)</f>
        <v>15000</v>
      </c>
    </row>
    <row r="262" spans="1:14" ht="15.75" customHeight="1" thickTop="1" x14ac:dyDescent="0.2">
      <c r="A262" s="601" t="s">
        <v>612</v>
      </c>
      <c r="B262" s="659"/>
      <c r="C262" s="593"/>
      <c r="D262" s="593"/>
      <c r="E262" s="593"/>
      <c r="F262" s="593"/>
      <c r="G262" s="593"/>
      <c r="H262" s="593"/>
      <c r="I262" s="593"/>
      <c r="J262" s="593"/>
      <c r="K262" s="603"/>
      <c r="L262" s="603"/>
    </row>
    <row r="263" spans="1:14" x14ac:dyDescent="0.2">
      <c r="A263" s="1477" t="s">
        <v>1068</v>
      </c>
      <c r="B263" s="660">
        <v>2510</v>
      </c>
      <c r="C263" s="593"/>
      <c r="D263" s="1967">
        <v>0</v>
      </c>
      <c r="E263" s="593"/>
      <c r="F263" s="593"/>
      <c r="G263" s="593"/>
      <c r="H263" s="593"/>
      <c r="I263" s="593"/>
      <c r="J263" s="593"/>
      <c r="K263" s="1645">
        <f>D263</f>
        <v>0</v>
      </c>
      <c r="L263" s="477">
        <v>0</v>
      </c>
    </row>
    <row r="264" spans="1:14" x14ac:dyDescent="0.2">
      <c r="A264" s="1477" t="s">
        <v>463</v>
      </c>
      <c r="B264" s="660">
        <v>2520</v>
      </c>
      <c r="C264" s="593"/>
      <c r="D264" s="1967">
        <v>11195</v>
      </c>
      <c r="E264" s="593"/>
      <c r="F264" s="593"/>
      <c r="G264" s="593"/>
      <c r="H264" s="593"/>
      <c r="I264" s="593"/>
      <c r="J264" s="593"/>
      <c r="K264" s="1645">
        <f t="shared" ref="K264:K269" si="22">D264</f>
        <v>11195</v>
      </c>
      <c r="L264" s="1989">
        <v>12000</v>
      </c>
    </row>
    <row r="265" spans="1:14" x14ac:dyDescent="0.2">
      <c r="A265" s="1477" t="s">
        <v>4</v>
      </c>
      <c r="B265" s="591">
        <v>2530</v>
      </c>
      <c r="C265" s="593"/>
      <c r="D265" s="1967">
        <v>0</v>
      </c>
      <c r="E265" s="593"/>
      <c r="F265" s="593"/>
      <c r="G265" s="593"/>
      <c r="H265" s="593"/>
      <c r="I265" s="593"/>
      <c r="J265" s="593"/>
      <c r="K265" s="1645">
        <f t="shared" si="22"/>
        <v>0</v>
      </c>
      <c r="L265" s="1989">
        <v>0</v>
      </c>
    </row>
    <row r="266" spans="1:14" x14ac:dyDescent="0.2">
      <c r="A266" s="1477" t="s">
        <v>197</v>
      </c>
      <c r="B266" s="591">
        <v>2540</v>
      </c>
      <c r="C266" s="593"/>
      <c r="D266" s="1967">
        <v>16642</v>
      </c>
      <c r="E266" s="593"/>
      <c r="F266" s="593"/>
      <c r="G266" s="593"/>
      <c r="H266" s="593"/>
      <c r="I266" s="593"/>
      <c r="J266" s="593"/>
      <c r="K266" s="1645">
        <f t="shared" si="22"/>
        <v>16642</v>
      </c>
      <c r="L266" s="1989">
        <v>18000</v>
      </c>
    </row>
    <row r="267" spans="1:14" x14ac:dyDescent="0.2">
      <c r="A267" s="1477" t="s">
        <v>953</v>
      </c>
      <c r="B267" s="591">
        <v>2550</v>
      </c>
      <c r="C267" s="593"/>
      <c r="D267" s="1967">
        <v>19477</v>
      </c>
      <c r="E267" s="593"/>
      <c r="F267" s="593"/>
      <c r="G267" s="593"/>
      <c r="H267" s="593"/>
      <c r="I267" s="593"/>
      <c r="J267" s="593"/>
      <c r="K267" s="1645">
        <f t="shared" si="22"/>
        <v>19477</v>
      </c>
      <c r="L267" s="1989">
        <v>26000</v>
      </c>
    </row>
    <row r="268" spans="1:14" x14ac:dyDescent="0.2">
      <c r="A268" s="1477" t="s">
        <v>100</v>
      </c>
      <c r="B268" s="591">
        <v>2560</v>
      </c>
      <c r="C268" s="593"/>
      <c r="D268" s="1967">
        <v>5801</v>
      </c>
      <c r="E268" s="593"/>
      <c r="F268" s="593"/>
      <c r="G268" s="593"/>
      <c r="H268" s="593"/>
      <c r="I268" s="593"/>
      <c r="J268" s="593"/>
      <c r="K268" s="1645">
        <f t="shared" si="22"/>
        <v>5801</v>
      </c>
      <c r="L268" s="1989">
        <v>6900</v>
      </c>
    </row>
    <row r="269" spans="1:14" x14ac:dyDescent="0.2">
      <c r="A269" s="1477" t="s">
        <v>101</v>
      </c>
      <c r="B269" s="591">
        <v>2570</v>
      </c>
      <c r="C269" s="593"/>
      <c r="D269" s="1967">
        <v>0</v>
      </c>
      <c r="E269" s="593"/>
      <c r="F269" s="593"/>
      <c r="G269" s="593"/>
      <c r="H269" s="593"/>
      <c r="I269" s="593"/>
      <c r="J269" s="593"/>
      <c r="K269" s="1645">
        <f t="shared" si="22"/>
        <v>0</v>
      </c>
      <c r="L269" s="1989">
        <v>0</v>
      </c>
    </row>
    <row r="270" spans="1:14" ht="12.75" customHeight="1" thickBot="1" x14ac:dyDescent="0.25">
      <c r="A270" s="1641" t="s">
        <v>719</v>
      </c>
      <c r="B270" s="1648" t="s">
        <v>35</v>
      </c>
      <c r="C270" s="593"/>
      <c r="D270" s="1643">
        <f>SUM(D263:D269)</f>
        <v>53115</v>
      </c>
      <c r="E270" s="593"/>
      <c r="F270" s="593"/>
      <c r="G270" s="593"/>
      <c r="H270" s="593"/>
      <c r="I270" s="593"/>
      <c r="J270" s="593"/>
      <c r="K270" s="1643">
        <f>SUM(K263:K269)</f>
        <v>53115</v>
      </c>
      <c r="L270" s="1643">
        <f>SUM(L263:L269)</f>
        <v>62900</v>
      </c>
    </row>
    <row r="271" spans="1:14" ht="15.75" customHeight="1" thickTop="1" x14ac:dyDescent="0.2">
      <c r="A271" s="644" t="s">
        <v>613</v>
      </c>
      <c r="B271" s="602"/>
      <c r="C271" s="593"/>
      <c r="D271" s="603"/>
      <c r="E271" s="593"/>
      <c r="F271" s="593"/>
      <c r="G271" s="593"/>
      <c r="H271" s="593"/>
      <c r="I271" s="593"/>
      <c r="J271" s="593"/>
      <c r="K271" s="603"/>
      <c r="L271" s="603"/>
    </row>
    <row r="272" spans="1:14" x14ac:dyDescent="0.2">
      <c r="A272" s="1477" t="s">
        <v>1060</v>
      </c>
      <c r="B272" s="591">
        <v>2610</v>
      </c>
      <c r="C272" s="593"/>
      <c r="D272" s="477">
        <v>0</v>
      </c>
      <c r="E272" s="593"/>
      <c r="F272" s="593"/>
      <c r="G272" s="593"/>
      <c r="H272" s="593"/>
      <c r="I272" s="593"/>
      <c r="J272" s="593"/>
      <c r="K272" s="1645">
        <f>D272</f>
        <v>0</v>
      </c>
      <c r="L272" s="477">
        <v>0</v>
      </c>
    </row>
    <row r="273" spans="1:12" x14ac:dyDescent="0.2">
      <c r="A273" s="1477" t="s">
        <v>607</v>
      </c>
      <c r="B273" s="605">
        <v>2620</v>
      </c>
      <c r="C273" s="593"/>
      <c r="D273" s="1967">
        <v>0</v>
      </c>
      <c r="E273" s="593"/>
      <c r="F273" s="593"/>
      <c r="G273" s="593"/>
      <c r="H273" s="593"/>
      <c r="I273" s="593"/>
      <c r="J273" s="593"/>
      <c r="K273" s="1645">
        <f>D273</f>
        <v>0</v>
      </c>
      <c r="L273" s="1989">
        <v>0</v>
      </c>
    </row>
    <row r="274" spans="1:12" ht="12" customHeight="1" x14ac:dyDescent="0.2">
      <c r="A274" s="1477" t="s">
        <v>1061</v>
      </c>
      <c r="B274" s="591">
        <v>2630</v>
      </c>
      <c r="C274" s="593"/>
      <c r="D274" s="1967">
        <v>0</v>
      </c>
      <c r="E274" s="593"/>
      <c r="F274" s="593"/>
      <c r="G274" s="593"/>
      <c r="H274" s="593"/>
      <c r="I274" s="593"/>
      <c r="J274" s="593"/>
      <c r="K274" s="1645">
        <f>D274</f>
        <v>0</v>
      </c>
      <c r="L274" s="1989">
        <v>0</v>
      </c>
    </row>
    <row r="275" spans="1:12" x14ac:dyDescent="0.2">
      <c r="A275" s="1477" t="s">
        <v>403</v>
      </c>
      <c r="B275" s="591">
        <v>2640</v>
      </c>
      <c r="C275" s="593"/>
      <c r="D275" s="1967">
        <v>0</v>
      </c>
      <c r="E275" s="593"/>
      <c r="F275" s="593"/>
      <c r="G275" s="593"/>
      <c r="H275" s="593"/>
      <c r="I275" s="593"/>
      <c r="J275" s="593"/>
      <c r="K275" s="1645">
        <f>D275</f>
        <v>0</v>
      </c>
      <c r="L275" s="1989">
        <v>0</v>
      </c>
    </row>
    <row r="276" spans="1:12" x14ac:dyDescent="0.2">
      <c r="A276" s="1477" t="s">
        <v>404</v>
      </c>
      <c r="B276" s="591">
        <v>2660</v>
      </c>
      <c r="C276" s="593"/>
      <c r="D276" s="1967">
        <v>0</v>
      </c>
      <c r="E276" s="593"/>
      <c r="F276" s="593"/>
      <c r="G276" s="593"/>
      <c r="H276" s="593"/>
      <c r="I276" s="593"/>
      <c r="J276" s="593"/>
      <c r="K276" s="1645">
        <f>D276</f>
        <v>0</v>
      </c>
      <c r="L276" s="1989">
        <v>0</v>
      </c>
    </row>
    <row r="277" spans="1:12" ht="12.75" customHeight="1" thickBot="1" x14ac:dyDescent="0.25">
      <c r="A277" s="1664" t="s">
        <v>37</v>
      </c>
      <c r="B277" s="1642" t="s">
        <v>36</v>
      </c>
      <c r="C277" s="593"/>
      <c r="D277" s="1643">
        <f>SUM(D272:D276)</f>
        <v>0</v>
      </c>
      <c r="E277" s="593"/>
      <c r="F277" s="593"/>
      <c r="G277" s="593"/>
      <c r="H277" s="593"/>
      <c r="I277" s="593"/>
      <c r="J277" s="593"/>
      <c r="K277" s="1643">
        <f>SUM(K272:K276)</f>
        <v>0</v>
      </c>
      <c r="L277" s="1643">
        <f>SUM(L272:L276)</f>
        <v>0</v>
      </c>
    </row>
    <row r="278" spans="1:12" ht="13.5" customHeight="1" thickTop="1" x14ac:dyDescent="0.2">
      <c r="A278" s="1483" t="s">
        <v>980</v>
      </c>
      <c r="B278" s="631" t="s">
        <v>574</v>
      </c>
      <c r="C278" s="593"/>
      <c r="D278" s="1983">
        <v>0</v>
      </c>
      <c r="E278" s="593"/>
      <c r="F278" s="593"/>
      <c r="G278" s="593"/>
      <c r="H278" s="593"/>
      <c r="I278" s="593"/>
      <c r="J278" s="593"/>
      <c r="K278" s="1658">
        <f>D278</f>
        <v>0</v>
      </c>
      <c r="L278" s="2004">
        <v>0</v>
      </c>
    </row>
    <row r="279" spans="1:12" ht="12.75" customHeight="1" thickBot="1" x14ac:dyDescent="0.25">
      <c r="A279" s="1671" t="s">
        <v>811</v>
      </c>
      <c r="B279" s="1654">
        <v>2000</v>
      </c>
      <c r="C279" s="593"/>
      <c r="D279" s="1650">
        <f>SUM(D238,D243,D257,D261,D270,D277,D278)</f>
        <v>67877</v>
      </c>
      <c r="E279" s="593"/>
      <c r="F279" s="593"/>
      <c r="G279" s="593"/>
      <c r="H279" s="593"/>
      <c r="I279" s="593"/>
      <c r="J279" s="593"/>
      <c r="K279" s="1650">
        <f>SUM(K238,K243,K257,K261,K270,K277,K278)</f>
        <v>67877</v>
      </c>
      <c r="L279" s="1650">
        <f>SUM(L238,L243,L257,L261,L270,L277,L278)</f>
        <v>89720</v>
      </c>
    </row>
    <row r="280" spans="1:12" ht="15.75" customHeight="1" thickTop="1" thickBot="1" x14ac:dyDescent="0.25">
      <c r="A280" s="1597" t="s">
        <v>875</v>
      </c>
      <c r="B280" s="1586">
        <v>3000</v>
      </c>
      <c r="C280" s="593"/>
      <c r="D280" s="1980">
        <v>0</v>
      </c>
      <c r="E280" s="593"/>
      <c r="F280" s="593"/>
      <c r="G280" s="593"/>
      <c r="H280" s="593"/>
      <c r="I280" s="593"/>
      <c r="J280" s="593"/>
      <c r="K280" s="1652">
        <f>D280</f>
        <v>0</v>
      </c>
      <c r="L280" s="2002">
        <v>0</v>
      </c>
    </row>
    <row r="281" spans="1:12" ht="15.75" customHeight="1" thickTop="1" x14ac:dyDescent="0.2">
      <c r="A281" s="1587" t="s">
        <v>142</v>
      </c>
      <c r="B281" s="1588" t="s">
        <v>860</v>
      </c>
      <c r="C281" s="593"/>
      <c r="D281" s="554"/>
      <c r="E281" s="593"/>
      <c r="F281" s="593"/>
      <c r="G281" s="593"/>
      <c r="H281" s="593"/>
      <c r="I281" s="593"/>
      <c r="J281" s="593"/>
      <c r="K281" s="593"/>
      <c r="L281" s="593"/>
    </row>
    <row r="282" spans="1:12" ht="15.75" customHeight="1" x14ac:dyDescent="0.2">
      <c r="A282" s="1803" t="s">
        <v>496</v>
      </c>
      <c r="B282" s="665" t="s">
        <v>1845</v>
      </c>
      <c r="C282" s="593"/>
      <c r="D282" s="1968">
        <v>0</v>
      </c>
      <c r="E282" s="593"/>
      <c r="F282" s="593"/>
      <c r="G282" s="593"/>
      <c r="H282" s="593"/>
      <c r="I282" s="593"/>
      <c r="J282" s="593"/>
      <c r="K282" s="1644">
        <f>D282</f>
        <v>0</v>
      </c>
      <c r="L282" s="1990">
        <v>0</v>
      </c>
    </row>
    <row r="283" spans="1:12" x14ac:dyDescent="0.2">
      <c r="A283" s="1477" t="s">
        <v>304</v>
      </c>
      <c r="B283" s="591">
        <v>4120</v>
      </c>
      <c r="C283" s="593"/>
      <c r="D283" s="1967">
        <v>0</v>
      </c>
      <c r="E283" s="593"/>
      <c r="F283" s="593"/>
      <c r="G283" s="593"/>
      <c r="H283" s="593"/>
      <c r="I283" s="593"/>
      <c r="J283" s="593"/>
      <c r="K283" s="1644">
        <f>D283</f>
        <v>0</v>
      </c>
      <c r="L283" s="1989">
        <v>0</v>
      </c>
    </row>
    <row r="284" spans="1:12" x14ac:dyDescent="0.2">
      <c r="A284" s="1477" t="s">
        <v>697</v>
      </c>
      <c r="B284" s="591">
        <v>4140</v>
      </c>
      <c r="C284" s="593"/>
      <c r="D284" s="1968">
        <v>0</v>
      </c>
      <c r="E284" s="593"/>
      <c r="F284" s="593"/>
      <c r="G284" s="593"/>
      <c r="H284" s="593"/>
      <c r="I284" s="593"/>
      <c r="J284" s="593"/>
      <c r="K284" s="1644">
        <f>D284</f>
        <v>0</v>
      </c>
      <c r="L284" s="1989">
        <v>0</v>
      </c>
    </row>
    <row r="285" spans="1:12" ht="12.75" customHeight="1" thickBot="1" x14ac:dyDescent="0.25">
      <c r="A285" s="1641" t="s">
        <v>1487</v>
      </c>
      <c r="B285" s="1642" t="s">
        <v>860</v>
      </c>
      <c r="C285" s="593"/>
      <c r="D285" s="1643">
        <f>SUM(D282:D284)</f>
        <v>0</v>
      </c>
      <c r="E285" s="593"/>
      <c r="F285" s="593"/>
      <c r="G285" s="593"/>
      <c r="H285" s="593"/>
      <c r="I285" s="593"/>
      <c r="J285" s="593"/>
      <c r="K285" s="1643">
        <f>SUM(K282:K284)</f>
        <v>0</v>
      </c>
      <c r="L285" s="1643">
        <f>SUM(L282:L284)</f>
        <v>0</v>
      </c>
    </row>
    <row r="286" spans="1:12" ht="15.75" customHeight="1" thickTop="1" x14ac:dyDescent="0.2">
      <c r="A286" s="1585" t="s">
        <v>876</v>
      </c>
      <c r="B286" s="1582" t="s">
        <v>492</v>
      </c>
      <c r="C286" s="593"/>
      <c r="D286" s="593"/>
      <c r="E286" s="593"/>
      <c r="F286" s="593"/>
      <c r="G286" s="593"/>
      <c r="H286" s="593"/>
      <c r="I286" s="593"/>
      <c r="J286" s="593"/>
      <c r="K286" s="593"/>
      <c r="L286" s="593"/>
    </row>
    <row r="287" spans="1:12" ht="15.75" customHeight="1" x14ac:dyDescent="0.2">
      <c r="A287" s="629" t="s">
        <v>93</v>
      </c>
      <c r="B287" s="599"/>
      <c r="C287" s="593"/>
      <c r="D287" s="593"/>
      <c r="E287" s="593"/>
      <c r="F287" s="593"/>
      <c r="G287" s="593"/>
      <c r="H287" s="600"/>
      <c r="I287" s="593"/>
      <c r="J287" s="593"/>
      <c r="K287" s="593"/>
      <c r="L287" s="593"/>
    </row>
    <row r="288" spans="1:12" x14ac:dyDescent="0.2">
      <c r="A288" s="1477" t="s">
        <v>87</v>
      </c>
      <c r="B288" s="591">
        <v>5110</v>
      </c>
      <c r="C288" s="593"/>
      <c r="D288" s="593"/>
      <c r="E288" s="593"/>
      <c r="F288" s="593"/>
      <c r="G288" s="593"/>
      <c r="H288" s="1967">
        <v>0</v>
      </c>
      <c r="I288" s="593"/>
      <c r="J288" s="593"/>
      <c r="K288" s="1644">
        <f>H288</f>
        <v>0</v>
      </c>
      <c r="L288" s="1989">
        <v>0</v>
      </c>
    </row>
    <row r="289" spans="1:14" x14ac:dyDescent="0.2">
      <c r="A289" s="1477" t="s">
        <v>88</v>
      </c>
      <c r="B289" s="591">
        <v>5120</v>
      </c>
      <c r="C289" s="593"/>
      <c r="D289" s="593"/>
      <c r="E289" s="593"/>
      <c r="F289" s="593"/>
      <c r="G289" s="593"/>
      <c r="H289" s="1967">
        <v>0</v>
      </c>
      <c r="I289" s="593"/>
      <c r="J289" s="593"/>
      <c r="K289" s="1644">
        <f>H289</f>
        <v>0</v>
      </c>
      <c r="L289" s="1989">
        <v>0</v>
      </c>
    </row>
    <row r="290" spans="1:14" ht="12.75" customHeight="1" x14ac:dyDescent="0.2">
      <c r="A290" s="1477" t="s">
        <v>1170</v>
      </c>
      <c r="B290" s="605" t="s">
        <v>617</v>
      </c>
      <c r="C290" s="593"/>
      <c r="D290" s="593"/>
      <c r="E290" s="593"/>
      <c r="F290" s="593"/>
      <c r="G290" s="593"/>
      <c r="H290" s="1967">
        <v>0</v>
      </c>
      <c r="I290" s="593"/>
      <c r="J290" s="593"/>
      <c r="K290" s="1644">
        <f>H290</f>
        <v>0</v>
      </c>
      <c r="L290" s="1989">
        <v>0</v>
      </c>
    </row>
    <row r="291" spans="1:14" x14ac:dyDescent="0.2">
      <c r="A291" s="1477" t="s">
        <v>89</v>
      </c>
      <c r="B291" s="591" t="s">
        <v>589</v>
      </c>
      <c r="C291" s="593"/>
      <c r="D291" s="593"/>
      <c r="E291" s="593"/>
      <c r="F291" s="593"/>
      <c r="G291" s="593"/>
      <c r="H291" s="1967">
        <v>0</v>
      </c>
      <c r="I291" s="593"/>
      <c r="J291" s="593"/>
      <c r="K291" s="1644">
        <f>H291</f>
        <v>0</v>
      </c>
      <c r="L291" s="1989">
        <v>0</v>
      </c>
    </row>
    <row r="292" spans="1:14" x14ac:dyDescent="0.2">
      <c r="A292" s="1477" t="s">
        <v>762</v>
      </c>
      <c r="B292" s="591" t="s">
        <v>618</v>
      </c>
      <c r="C292" s="593"/>
      <c r="D292" s="593"/>
      <c r="E292" s="593"/>
      <c r="F292" s="593"/>
      <c r="G292" s="593"/>
      <c r="H292" s="1967">
        <v>0</v>
      </c>
      <c r="I292" s="593"/>
      <c r="J292" s="593"/>
      <c r="K292" s="1644">
        <f>H292</f>
        <v>0</v>
      </c>
      <c r="L292" s="1989">
        <v>0</v>
      </c>
    </row>
    <row r="293" spans="1:14" ht="12.75" customHeight="1" thickBot="1" x14ac:dyDescent="0.25">
      <c r="A293" s="1641" t="s">
        <v>484</v>
      </c>
      <c r="B293" s="1642" t="s">
        <v>492</v>
      </c>
      <c r="C293" s="593"/>
      <c r="D293" s="593"/>
      <c r="E293" s="593"/>
      <c r="F293" s="593"/>
      <c r="G293" s="593"/>
      <c r="H293" s="1643">
        <f>SUM(H288:H292)</f>
        <v>0</v>
      </c>
      <c r="I293" s="593"/>
      <c r="J293" s="593"/>
      <c r="K293" s="1643">
        <f>SUM(K288:K292)</f>
        <v>0</v>
      </c>
      <c r="L293" s="1643">
        <f>SUM(L288:L292)</f>
        <v>0</v>
      </c>
    </row>
    <row r="294" spans="1:14" ht="15.75" customHeight="1" thickTop="1" thickBot="1" x14ac:dyDescent="0.25">
      <c r="A294" s="1598" t="s">
        <v>877</v>
      </c>
      <c r="B294" s="1586" t="s">
        <v>861</v>
      </c>
      <c r="C294" s="593"/>
      <c r="D294" s="600"/>
      <c r="E294" s="593"/>
      <c r="F294" s="593"/>
      <c r="G294" s="593"/>
      <c r="H294" s="661"/>
      <c r="I294" s="593"/>
      <c r="J294" s="593"/>
      <c r="K294" s="661"/>
      <c r="L294" s="2003">
        <v>0</v>
      </c>
    </row>
    <row r="295" spans="1:14" ht="12.75" customHeight="1" thickTop="1" thickBot="1" x14ac:dyDescent="0.25">
      <c r="A295" s="2246" t="s">
        <v>505</v>
      </c>
      <c r="B295" s="2247"/>
      <c r="C295" s="593"/>
      <c r="D295" s="1643">
        <f>SUM(D229,D279,D280,D285)</f>
        <v>120571</v>
      </c>
      <c r="E295" s="593"/>
      <c r="F295" s="593"/>
      <c r="G295" s="593"/>
      <c r="H295" s="1643">
        <f>H293</f>
        <v>0</v>
      </c>
      <c r="I295" s="593"/>
      <c r="J295" s="593"/>
      <c r="K295" s="1643">
        <f>SUM(K229,K279,K280,K285,K293,K294)</f>
        <v>120571</v>
      </c>
      <c r="L295" s="1643">
        <f>SUM(L229,L279,L280,L285,L293,L294)</f>
        <v>155820</v>
      </c>
    </row>
    <row r="296" spans="1:14" ht="13.5" thickTop="1" x14ac:dyDescent="0.2">
      <c r="A296" s="2228" t="s">
        <v>996</v>
      </c>
      <c r="B296" s="2229"/>
      <c r="C296" s="593"/>
      <c r="D296" s="595"/>
      <c r="E296" s="593"/>
      <c r="F296" s="593"/>
      <c r="G296" s="593"/>
      <c r="H296" s="662"/>
      <c r="I296" s="593"/>
      <c r="J296" s="593"/>
      <c r="K296" s="1657">
        <f>'Revenues 9-14'!G268-'Expenditures 15-22'!K295</f>
        <v>32767</v>
      </c>
      <c r="L296" s="662"/>
    </row>
    <row r="297" spans="1:14" s="641" customFormat="1" ht="9" customHeight="1" x14ac:dyDescent="0.2">
      <c r="A297" s="638"/>
      <c r="B297" s="648"/>
      <c r="C297" s="626"/>
      <c r="D297" s="626"/>
      <c r="E297" s="626"/>
      <c r="F297" s="626"/>
      <c r="G297" s="626"/>
      <c r="H297" s="626"/>
      <c r="I297" s="626"/>
      <c r="J297" s="626"/>
      <c r="K297" s="626"/>
      <c r="L297" s="626"/>
      <c r="M297" s="640"/>
      <c r="N297" s="640"/>
    </row>
    <row r="298" spans="1:14" ht="16.7" customHeight="1" x14ac:dyDescent="0.2">
      <c r="A298" s="2238" t="s">
        <v>143</v>
      </c>
      <c r="B298" s="2232"/>
      <c r="C298" s="1524"/>
      <c r="D298" s="1525"/>
      <c r="E298" s="1525"/>
      <c r="F298" s="1525"/>
      <c r="G298" s="1525"/>
      <c r="H298" s="1525"/>
      <c r="I298" s="1525"/>
      <c r="J298" s="1525"/>
      <c r="K298" s="1525"/>
      <c r="L298" s="1526"/>
    </row>
    <row r="299" spans="1:14" ht="15.75" customHeight="1" x14ac:dyDescent="0.2">
      <c r="A299" s="1585" t="s">
        <v>144</v>
      </c>
      <c r="B299" s="1588" t="s">
        <v>569</v>
      </c>
      <c r="C299" s="593"/>
      <c r="D299" s="593"/>
      <c r="E299" s="593"/>
      <c r="F299" s="593"/>
      <c r="G299" s="593"/>
      <c r="H299" s="593"/>
      <c r="I299" s="593"/>
      <c r="J299" s="593"/>
      <c r="K299" s="593"/>
      <c r="L299" s="593"/>
    </row>
    <row r="300" spans="1:14" ht="15.75" customHeight="1" x14ac:dyDescent="0.2">
      <c r="A300" s="663" t="s">
        <v>612</v>
      </c>
      <c r="B300" s="608"/>
      <c r="C300" s="600"/>
      <c r="D300" s="600"/>
      <c r="E300" s="600"/>
      <c r="F300" s="600"/>
      <c r="G300" s="600"/>
      <c r="H300" s="600"/>
      <c r="I300" s="593"/>
      <c r="J300" s="593"/>
      <c r="K300" s="600"/>
      <c r="L300" s="600"/>
    </row>
    <row r="301" spans="1:14" x14ac:dyDescent="0.2">
      <c r="A301" s="1490" t="s">
        <v>608</v>
      </c>
      <c r="B301" s="664">
        <v>2530</v>
      </c>
      <c r="C301" s="1967">
        <v>0</v>
      </c>
      <c r="D301" s="1967">
        <v>0</v>
      </c>
      <c r="E301" s="1967">
        <v>21414</v>
      </c>
      <c r="F301" s="1967">
        <v>0</v>
      </c>
      <c r="G301" s="1967">
        <v>317795</v>
      </c>
      <c r="H301" s="1967">
        <v>0</v>
      </c>
      <c r="I301" s="1968">
        <v>0</v>
      </c>
      <c r="J301" s="1968">
        <v>0</v>
      </c>
      <c r="K301" s="1644">
        <f>SUM(C301:J301)</f>
        <v>339209</v>
      </c>
      <c r="L301" s="1990">
        <v>462000</v>
      </c>
    </row>
    <row r="302" spans="1:14" ht="13.5" customHeight="1" x14ac:dyDescent="0.2">
      <c r="A302" s="1490" t="s">
        <v>980</v>
      </c>
      <c r="B302" s="591" t="s">
        <v>574</v>
      </c>
      <c r="C302" s="1967">
        <v>0</v>
      </c>
      <c r="D302" s="1967">
        <v>0</v>
      </c>
      <c r="E302" s="1967">
        <v>0</v>
      </c>
      <c r="F302" s="1967">
        <v>0</v>
      </c>
      <c r="G302" s="1967">
        <v>0</v>
      </c>
      <c r="H302" s="1967">
        <v>0</v>
      </c>
      <c r="I302" s="1968">
        <v>0</v>
      </c>
      <c r="J302" s="1968">
        <v>0</v>
      </c>
      <c r="K302" s="1644">
        <f>SUM(C302:J302)</f>
        <v>0</v>
      </c>
      <c r="L302" s="1989">
        <v>0</v>
      </c>
    </row>
    <row r="303" spans="1:14" ht="12.75" customHeight="1" thickBot="1" x14ac:dyDescent="0.25">
      <c r="A303" s="1641" t="s">
        <v>811</v>
      </c>
      <c r="B303" s="1642" t="s">
        <v>569</v>
      </c>
      <c r="C303" s="1650">
        <f>SUM(C301:C302)</f>
        <v>0</v>
      </c>
      <c r="D303" s="1650">
        <f t="shared" ref="D303:L303" si="23">SUM(D301:D302)</f>
        <v>0</v>
      </c>
      <c r="E303" s="1650">
        <f t="shared" si="23"/>
        <v>21414</v>
      </c>
      <c r="F303" s="1650">
        <f t="shared" si="23"/>
        <v>0</v>
      </c>
      <c r="G303" s="1650">
        <f t="shared" si="23"/>
        <v>317795</v>
      </c>
      <c r="H303" s="1650">
        <f t="shared" si="23"/>
        <v>0</v>
      </c>
      <c r="I303" s="1650">
        <f t="shared" si="23"/>
        <v>0</v>
      </c>
      <c r="J303" s="1650">
        <f t="shared" si="23"/>
        <v>0</v>
      </c>
      <c r="K303" s="1650">
        <f t="shared" si="23"/>
        <v>339209</v>
      </c>
      <c r="L303" s="1650">
        <f t="shared" si="23"/>
        <v>462000</v>
      </c>
    </row>
    <row r="304" spans="1:14" ht="15.75" customHeight="1" thickTop="1" x14ac:dyDescent="0.2">
      <c r="A304" s="1585" t="s">
        <v>145</v>
      </c>
      <c r="B304" s="1586" t="s">
        <v>860</v>
      </c>
      <c r="C304" s="593"/>
      <c r="D304" s="593"/>
      <c r="E304" s="593"/>
      <c r="F304" s="593"/>
      <c r="G304" s="593"/>
      <c r="H304" s="593"/>
      <c r="I304" s="593"/>
      <c r="J304" s="593"/>
      <c r="K304" s="593"/>
      <c r="L304" s="593"/>
    </row>
    <row r="305" spans="1:14" ht="15.75" customHeight="1" x14ac:dyDescent="0.2">
      <c r="A305" s="629" t="s">
        <v>897</v>
      </c>
      <c r="B305" s="599"/>
      <c r="C305" s="593"/>
      <c r="D305" s="593"/>
      <c r="E305" s="593"/>
      <c r="F305" s="593"/>
      <c r="G305" s="593"/>
      <c r="H305" s="593"/>
      <c r="I305" s="593"/>
      <c r="J305" s="593"/>
      <c r="K305" s="593"/>
      <c r="L305" s="593"/>
    </row>
    <row r="306" spans="1:14" x14ac:dyDescent="0.2">
      <c r="A306" s="1491" t="s">
        <v>1850</v>
      </c>
      <c r="B306" s="665" t="s">
        <v>1845</v>
      </c>
      <c r="C306" s="593"/>
      <c r="D306" s="593"/>
      <c r="E306" s="1968">
        <v>0</v>
      </c>
      <c r="F306" s="593"/>
      <c r="G306" s="593"/>
      <c r="H306" s="1968">
        <v>0</v>
      </c>
      <c r="I306" s="593"/>
      <c r="J306" s="593"/>
      <c r="K306" s="1644">
        <f>SUM(E306,H306)</f>
        <v>0</v>
      </c>
      <c r="L306" s="1990">
        <v>0</v>
      </c>
    </row>
    <row r="307" spans="1:14" x14ac:dyDescent="0.2">
      <c r="A307" s="1477" t="s">
        <v>304</v>
      </c>
      <c r="B307" s="591">
        <v>4120</v>
      </c>
      <c r="C307" s="593"/>
      <c r="D307" s="593"/>
      <c r="E307" s="1968">
        <v>0</v>
      </c>
      <c r="F307" s="593"/>
      <c r="G307" s="593"/>
      <c r="H307" s="1968">
        <v>0</v>
      </c>
      <c r="I307" s="473"/>
      <c r="J307" s="593"/>
      <c r="K307" s="1644">
        <f>SUM(E307,H307)</f>
        <v>0</v>
      </c>
      <c r="L307" s="1989">
        <v>0</v>
      </c>
    </row>
    <row r="308" spans="1:14" x14ac:dyDescent="0.2">
      <c r="A308" s="1477" t="s">
        <v>697</v>
      </c>
      <c r="B308" s="591">
        <v>4140</v>
      </c>
      <c r="C308" s="593"/>
      <c r="D308" s="593"/>
      <c r="E308" s="1968">
        <v>0</v>
      </c>
      <c r="F308" s="593"/>
      <c r="G308" s="593"/>
      <c r="H308" s="1968">
        <v>0</v>
      </c>
      <c r="I308" s="473"/>
      <c r="J308" s="593"/>
      <c r="K308" s="1644">
        <f>SUM(E308,H308)</f>
        <v>0</v>
      </c>
      <c r="L308" s="1989">
        <v>0</v>
      </c>
    </row>
    <row r="309" spans="1:14" ht="12.75" customHeight="1" x14ac:dyDescent="0.2">
      <c r="A309" s="1481" t="s">
        <v>698</v>
      </c>
      <c r="B309" s="605">
        <v>4190</v>
      </c>
      <c r="C309" s="593"/>
      <c r="D309" s="593"/>
      <c r="E309" s="1968">
        <v>0</v>
      </c>
      <c r="F309" s="593"/>
      <c r="G309" s="593"/>
      <c r="H309" s="1968">
        <v>0</v>
      </c>
      <c r="I309" s="473"/>
      <c r="J309" s="593"/>
      <c r="K309" s="1644">
        <f>SUM(E309,H309)</f>
        <v>0</v>
      </c>
      <c r="L309" s="1989">
        <v>0</v>
      </c>
    </row>
    <row r="310" spans="1:14" ht="12.75" customHeight="1" thickBot="1" x14ac:dyDescent="0.25">
      <c r="A310" s="1641" t="s">
        <v>1487</v>
      </c>
      <c r="B310" s="1648" t="s">
        <v>860</v>
      </c>
      <c r="C310" s="593"/>
      <c r="D310" s="593"/>
      <c r="E310" s="1643">
        <f>SUM(E306:E309)</f>
        <v>0</v>
      </c>
      <c r="F310" s="593"/>
      <c r="G310" s="593"/>
      <c r="H310" s="1643">
        <f>SUM(H306:H309)</f>
        <v>0</v>
      </c>
      <c r="I310" s="473"/>
      <c r="J310" s="593"/>
      <c r="K310" s="1643">
        <f>SUM(K306:K309)</f>
        <v>0</v>
      </c>
      <c r="L310" s="1650">
        <f>SUM(L306:L309)</f>
        <v>0</v>
      </c>
    </row>
    <row r="311" spans="1:14" ht="15.75" customHeight="1" thickTop="1" thickBot="1" x14ac:dyDescent="0.25">
      <c r="A311" s="1592" t="s">
        <v>895</v>
      </c>
      <c r="B311" s="1584" t="s">
        <v>861</v>
      </c>
      <c r="C311" s="600"/>
      <c r="D311" s="600"/>
      <c r="E311" s="600"/>
      <c r="F311" s="600"/>
      <c r="G311" s="600"/>
      <c r="H311" s="600"/>
      <c r="I311" s="600"/>
      <c r="J311" s="593"/>
      <c r="K311" s="600"/>
      <c r="L311" s="2002">
        <v>0</v>
      </c>
    </row>
    <row r="312" spans="1:14" s="649" customFormat="1" ht="12.75" customHeight="1" thickTop="1" thickBot="1" x14ac:dyDescent="0.25">
      <c r="A312" s="2243" t="s">
        <v>277</v>
      </c>
      <c r="B312" s="2244"/>
      <c r="C312" s="1643">
        <f>SUM(C303)</f>
        <v>0</v>
      </c>
      <c r="D312" s="1643">
        <f>SUM(D303)</f>
        <v>0</v>
      </c>
      <c r="E312" s="1643">
        <f>SUM(E303,E310)</f>
        <v>21414</v>
      </c>
      <c r="F312" s="1643">
        <f>SUM(F303)</f>
        <v>0</v>
      </c>
      <c r="G312" s="1643">
        <f>SUM(G303)</f>
        <v>317795</v>
      </c>
      <c r="H312" s="1643">
        <f>SUM(H303,H310)</f>
        <v>0</v>
      </c>
      <c r="I312" s="1643">
        <f>SUM(I303)</f>
        <v>0</v>
      </c>
      <c r="J312" s="1643">
        <f>SUM(J303)</f>
        <v>0</v>
      </c>
      <c r="K312" s="1643">
        <f>SUM(K303,K310,K311)</f>
        <v>339209</v>
      </c>
      <c r="L312" s="1643">
        <f>SUM(L303,L310,L311)</f>
        <v>462000</v>
      </c>
      <c r="M312" s="640"/>
      <c r="N312" s="640"/>
    </row>
    <row r="313" spans="1:14" ht="13.5" thickTop="1" x14ac:dyDescent="0.2">
      <c r="A313" s="2239" t="s">
        <v>996</v>
      </c>
      <c r="B313" s="2240"/>
      <c r="C313" s="603"/>
      <c r="D313" s="603"/>
      <c r="E313" s="603"/>
      <c r="F313" s="603"/>
      <c r="G313" s="603"/>
      <c r="H313" s="603"/>
      <c r="I313" s="603"/>
      <c r="J313" s="603"/>
      <c r="K313" s="1658">
        <f>'Revenues 9-14'!H268-'Expenditures 15-22'!K312</f>
        <v>-335886</v>
      </c>
      <c r="L313" s="603"/>
    </row>
    <row r="314" spans="1:14" s="641" customFormat="1" ht="9" customHeight="1" x14ac:dyDescent="0.2">
      <c r="A314" s="666"/>
      <c r="B314" s="667"/>
      <c r="C314" s="668"/>
      <c r="D314" s="668"/>
      <c r="E314" s="668"/>
      <c r="F314" s="668"/>
      <c r="G314" s="668"/>
      <c r="H314" s="668"/>
      <c r="I314" s="668"/>
      <c r="J314" s="668"/>
      <c r="K314" s="668"/>
      <c r="L314" s="668"/>
      <c r="M314" s="640"/>
      <c r="N314" s="640"/>
    </row>
    <row r="315" spans="1:14" ht="16.7" customHeight="1" x14ac:dyDescent="0.2">
      <c r="A315" s="2252" t="s">
        <v>149</v>
      </c>
      <c r="B315" s="2253"/>
      <c r="C315" s="1529"/>
      <c r="D315" s="1530"/>
      <c r="E315" s="1530"/>
      <c r="F315" s="1530"/>
      <c r="G315" s="1530"/>
      <c r="H315" s="1530"/>
      <c r="I315" s="1530"/>
      <c r="J315" s="1530"/>
      <c r="K315" s="1530"/>
      <c r="L315" s="1531"/>
    </row>
    <row r="316" spans="1:14" s="649" customFormat="1" ht="9" customHeight="1" x14ac:dyDescent="0.2">
      <c r="A316" s="666"/>
      <c r="B316" s="667"/>
      <c r="C316" s="669"/>
      <c r="D316" s="669"/>
      <c r="E316" s="669"/>
      <c r="F316" s="669"/>
      <c r="G316" s="669"/>
      <c r="H316" s="669"/>
      <c r="I316" s="669"/>
      <c r="J316" s="669"/>
      <c r="K316" s="669"/>
      <c r="L316" s="669"/>
      <c r="M316" s="640"/>
      <c r="N316" s="640"/>
    </row>
    <row r="317" spans="1:14" ht="16.7" customHeight="1" x14ac:dyDescent="0.2">
      <c r="A317" s="2254" t="s">
        <v>898</v>
      </c>
      <c r="B317" s="2253"/>
      <c r="C317" s="1529"/>
      <c r="D317" s="1530"/>
      <c r="E317" s="1530"/>
      <c r="F317" s="1530"/>
      <c r="G317" s="1530"/>
      <c r="H317" s="1530"/>
      <c r="I317" s="1530"/>
      <c r="J317" s="1530"/>
      <c r="K317" s="1530"/>
      <c r="L317" s="1531"/>
    </row>
    <row r="318" spans="1:14" s="649" customFormat="1" ht="15.75" customHeight="1" x14ac:dyDescent="0.2">
      <c r="A318" s="670" t="s">
        <v>610</v>
      </c>
      <c r="B318" s="671"/>
      <c r="C318" s="615"/>
      <c r="D318" s="615"/>
      <c r="E318" s="615"/>
      <c r="F318" s="615"/>
      <c r="G318" s="615"/>
      <c r="H318" s="615"/>
      <c r="I318" s="615"/>
      <c r="J318" s="615"/>
      <c r="K318" s="615"/>
      <c r="L318" s="615"/>
      <c r="M318" s="640"/>
      <c r="N318" s="640"/>
    </row>
    <row r="319" spans="1:14" s="649" customFormat="1" x14ac:dyDescent="0.2">
      <c r="A319" s="1492" t="s">
        <v>299</v>
      </c>
      <c r="B319" s="672" t="s">
        <v>281</v>
      </c>
      <c r="C319" s="1968">
        <v>0</v>
      </c>
      <c r="D319" s="1968">
        <v>0</v>
      </c>
      <c r="E319" s="1968">
        <v>0</v>
      </c>
      <c r="F319" s="1968">
        <v>0</v>
      </c>
      <c r="G319" s="1968">
        <v>0</v>
      </c>
      <c r="H319" s="1968">
        <v>0</v>
      </c>
      <c r="I319" s="1968">
        <v>0</v>
      </c>
      <c r="J319" s="1968">
        <v>0</v>
      </c>
      <c r="K319" s="1644">
        <f>SUM(C319:J319)</f>
        <v>0</v>
      </c>
      <c r="L319" s="1990">
        <v>0</v>
      </c>
      <c r="M319" s="640"/>
      <c r="N319" s="640"/>
    </row>
    <row r="320" spans="1:14" s="649" customFormat="1" x14ac:dyDescent="0.2">
      <c r="A320" s="1496" t="s">
        <v>1805</v>
      </c>
      <c r="B320" s="673" t="s">
        <v>282</v>
      </c>
      <c r="C320" s="1968">
        <v>0</v>
      </c>
      <c r="D320" s="1968">
        <v>0</v>
      </c>
      <c r="E320" s="1968">
        <v>0</v>
      </c>
      <c r="F320" s="1968">
        <v>0</v>
      </c>
      <c r="G320" s="1968">
        <v>0</v>
      </c>
      <c r="H320" s="1968">
        <v>0</v>
      </c>
      <c r="I320" s="1968">
        <v>0</v>
      </c>
      <c r="J320" s="1968">
        <v>0</v>
      </c>
      <c r="K320" s="1644">
        <f t="shared" ref="K320:K327" si="24">SUM(C320:J320)</f>
        <v>0</v>
      </c>
      <c r="L320" s="1990">
        <v>0</v>
      </c>
      <c r="M320" s="640"/>
      <c r="N320" s="640"/>
    </row>
    <row r="321" spans="1:14" s="649" customFormat="1" x14ac:dyDescent="0.2">
      <c r="A321" s="1492" t="s">
        <v>300</v>
      </c>
      <c r="B321" s="672" t="s">
        <v>283</v>
      </c>
      <c r="C321" s="1968">
        <v>0</v>
      </c>
      <c r="D321" s="1968">
        <v>0</v>
      </c>
      <c r="E321" s="1968">
        <v>0</v>
      </c>
      <c r="F321" s="1968">
        <v>0</v>
      </c>
      <c r="G321" s="1968">
        <v>0</v>
      </c>
      <c r="H321" s="1968">
        <v>0</v>
      </c>
      <c r="I321" s="1968">
        <v>0</v>
      </c>
      <c r="J321" s="1968">
        <v>0</v>
      </c>
      <c r="K321" s="1644">
        <f t="shared" si="24"/>
        <v>0</v>
      </c>
      <c r="L321" s="1990">
        <v>0</v>
      </c>
      <c r="M321" s="640"/>
      <c r="N321" s="640"/>
    </row>
    <row r="322" spans="1:14" s="649" customFormat="1" x14ac:dyDescent="0.2">
      <c r="A322" s="1492" t="s">
        <v>238</v>
      </c>
      <c r="B322" s="672" t="s">
        <v>284</v>
      </c>
      <c r="C322" s="1968">
        <v>0</v>
      </c>
      <c r="D322" s="1968">
        <v>0</v>
      </c>
      <c r="E322" s="1968">
        <v>47338</v>
      </c>
      <c r="F322" s="1968">
        <v>0</v>
      </c>
      <c r="G322" s="1968">
        <v>0</v>
      </c>
      <c r="H322" s="1968">
        <v>0</v>
      </c>
      <c r="I322" s="1968">
        <v>0</v>
      </c>
      <c r="J322" s="1968">
        <v>0</v>
      </c>
      <c r="K322" s="1644">
        <f t="shared" si="24"/>
        <v>47338</v>
      </c>
      <c r="L322" s="1990">
        <v>52500</v>
      </c>
      <c r="M322" s="640"/>
      <c r="N322" s="640"/>
    </row>
    <row r="323" spans="1:14" s="649" customFormat="1" x14ac:dyDescent="0.2">
      <c r="A323" s="1492" t="s">
        <v>702</v>
      </c>
      <c r="B323" s="672" t="s">
        <v>285</v>
      </c>
      <c r="C323" s="1968">
        <v>0</v>
      </c>
      <c r="D323" s="1968">
        <v>0</v>
      </c>
      <c r="E323" s="1968">
        <v>0</v>
      </c>
      <c r="F323" s="1968">
        <v>0</v>
      </c>
      <c r="G323" s="1968">
        <v>0</v>
      </c>
      <c r="H323" s="1968">
        <v>0</v>
      </c>
      <c r="I323" s="1968">
        <v>0</v>
      </c>
      <c r="J323" s="1968">
        <v>0</v>
      </c>
      <c r="K323" s="1644">
        <f t="shared" si="24"/>
        <v>0</v>
      </c>
      <c r="L323" s="1990">
        <v>0</v>
      </c>
      <c r="M323" s="640"/>
      <c r="N323" s="640"/>
    </row>
    <row r="324" spans="1:14" s="649" customFormat="1" x14ac:dyDescent="0.2">
      <c r="A324" s="1492" t="s">
        <v>239</v>
      </c>
      <c r="B324" s="672" t="s">
        <v>286</v>
      </c>
      <c r="C324" s="1968">
        <v>0</v>
      </c>
      <c r="D324" s="1968">
        <v>0</v>
      </c>
      <c r="E324" s="1968">
        <v>0</v>
      </c>
      <c r="F324" s="1968">
        <v>0</v>
      </c>
      <c r="G324" s="1968">
        <v>0</v>
      </c>
      <c r="H324" s="1968">
        <v>0</v>
      </c>
      <c r="I324" s="1968">
        <v>0</v>
      </c>
      <c r="J324" s="1968">
        <v>0</v>
      </c>
      <c r="K324" s="1644">
        <f t="shared" si="24"/>
        <v>0</v>
      </c>
      <c r="L324" s="1990">
        <v>0</v>
      </c>
      <c r="M324" s="640"/>
      <c r="N324" s="640"/>
    </row>
    <row r="325" spans="1:14" s="649" customFormat="1" ht="22.5" x14ac:dyDescent="0.2">
      <c r="A325" s="1492" t="s">
        <v>1029</v>
      </c>
      <c r="B325" s="673" t="s">
        <v>287</v>
      </c>
      <c r="C325" s="1968">
        <v>0</v>
      </c>
      <c r="D325" s="1968">
        <v>0</v>
      </c>
      <c r="E325" s="1968">
        <v>0</v>
      </c>
      <c r="F325" s="1968">
        <v>0</v>
      </c>
      <c r="G325" s="1968">
        <v>0</v>
      </c>
      <c r="H325" s="1968">
        <v>0</v>
      </c>
      <c r="I325" s="1968">
        <v>0</v>
      </c>
      <c r="J325" s="1968">
        <v>0</v>
      </c>
      <c r="K325" s="1644">
        <f t="shared" si="24"/>
        <v>0</v>
      </c>
      <c r="L325" s="1990">
        <v>0</v>
      </c>
      <c r="M325" s="640"/>
      <c r="N325" s="640"/>
    </row>
    <row r="326" spans="1:14" s="649" customFormat="1" x14ac:dyDescent="0.2">
      <c r="A326" s="1492" t="s">
        <v>1030</v>
      </c>
      <c r="B326" s="672" t="s">
        <v>288</v>
      </c>
      <c r="C326" s="1968">
        <v>0</v>
      </c>
      <c r="D326" s="1968">
        <v>0</v>
      </c>
      <c r="E326" s="1968">
        <v>0</v>
      </c>
      <c r="F326" s="1968">
        <v>0</v>
      </c>
      <c r="G326" s="1968">
        <v>0</v>
      </c>
      <c r="H326" s="1968">
        <v>0</v>
      </c>
      <c r="I326" s="1968">
        <v>0</v>
      </c>
      <c r="J326" s="1968">
        <v>0</v>
      </c>
      <c r="K326" s="1644">
        <f t="shared" si="24"/>
        <v>0</v>
      </c>
      <c r="L326" s="1990">
        <v>0</v>
      </c>
      <c r="M326" s="640"/>
      <c r="N326" s="640"/>
    </row>
    <row r="327" spans="1:14" s="649" customFormat="1" x14ac:dyDescent="0.2">
      <c r="A327" s="1492" t="s">
        <v>971</v>
      </c>
      <c r="B327" s="672" t="s">
        <v>289</v>
      </c>
      <c r="C327" s="1968">
        <v>0</v>
      </c>
      <c r="D327" s="1968">
        <v>0</v>
      </c>
      <c r="E327" s="1968">
        <v>0</v>
      </c>
      <c r="F327" s="1968">
        <v>0</v>
      </c>
      <c r="G327" s="1968">
        <v>0</v>
      </c>
      <c r="H327" s="1968">
        <v>0</v>
      </c>
      <c r="I327" s="1968">
        <v>0</v>
      </c>
      <c r="J327" s="1968">
        <v>0</v>
      </c>
      <c r="K327" s="1644">
        <f t="shared" si="24"/>
        <v>0</v>
      </c>
      <c r="L327" s="1990">
        <v>0</v>
      </c>
      <c r="M327" s="640"/>
      <c r="N327" s="640"/>
    </row>
    <row r="328" spans="1:14" s="649" customFormat="1" x14ac:dyDescent="0.2">
      <c r="A328" s="1493" t="s">
        <v>472</v>
      </c>
      <c r="B328" s="665" t="s">
        <v>1132</v>
      </c>
      <c r="C328" s="1970">
        <v>0</v>
      </c>
      <c r="D328" s="1970">
        <v>0</v>
      </c>
      <c r="E328" s="1970">
        <v>0</v>
      </c>
      <c r="F328" s="1970">
        <v>0</v>
      </c>
      <c r="G328" s="1970">
        <v>0</v>
      </c>
      <c r="H328" s="1970">
        <v>0</v>
      </c>
      <c r="I328" s="1970">
        <v>0</v>
      </c>
      <c r="J328" s="1970">
        <v>0</v>
      </c>
      <c r="K328" s="1672">
        <f>SUM(C328:J328)</f>
        <v>0</v>
      </c>
      <c r="L328" s="1992">
        <v>0</v>
      </c>
      <c r="M328" s="640"/>
      <c r="N328" s="640"/>
    </row>
    <row r="329" spans="1:14" s="649" customFormat="1" x14ac:dyDescent="0.2">
      <c r="A329" s="1493" t="s">
        <v>1133</v>
      </c>
      <c r="B329" s="665" t="s">
        <v>1134</v>
      </c>
      <c r="C329" s="1970">
        <v>0</v>
      </c>
      <c r="D329" s="1970">
        <v>0</v>
      </c>
      <c r="E329" s="1970">
        <v>0</v>
      </c>
      <c r="F329" s="1970">
        <v>0</v>
      </c>
      <c r="G329" s="1970">
        <v>0</v>
      </c>
      <c r="H329" s="1970">
        <v>0</v>
      </c>
      <c r="I329" s="1970">
        <v>0</v>
      </c>
      <c r="J329" s="1970">
        <v>0</v>
      </c>
      <c r="K329" s="1672">
        <f>SUM(C329:J329)</f>
        <v>0</v>
      </c>
      <c r="L329" s="1992">
        <v>0</v>
      </c>
      <c r="M329" s="640"/>
      <c r="N329" s="640"/>
    </row>
    <row r="330" spans="1:14" s="649" customFormat="1" ht="12.75" customHeight="1" thickBot="1" x14ac:dyDescent="0.25">
      <c r="A330" s="1673" t="s">
        <v>717</v>
      </c>
      <c r="B330" s="1642" t="s">
        <v>569</v>
      </c>
      <c r="C330" s="1643">
        <f>SUM(C319:C329)</f>
        <v>0</v>
      </c>
      <c r="D330" s="1643">
        <f t="shared" ref="D330:J330" si="25">SUM(D319:D329)</f>
        <v>0</v>
      </c>
      <c r="E330" s="1643">
        <f t="shared" si="25"/>
        <v>47338</v>
      </c>
      <c r="F330" s="1643">
        <f t="shared" si="25"/>
        <v>0</v>
      </c>
      <c r="G330" s="1643">
        <f t="shared" si="25"/>
        <v>0</v>
      </c>
      <c r="H330" s="1643">
        <f t="shared" si="25"/>
        <v>0</v>
      </c>
      <c r="I330" s="1643">
        <f t="shared" si="25"/>
        <v>0</v>
      </c>
      <c r="J330" s="1643">
        <f t="shared" si="25"/>
        <v>0</v>
      </c>
      <c r="K330" s="1643">
        <f>SUM(K319:K329)</f>
        <v>47338</v>
      </c>
      <c r="L330" s="1643">
        <f>SUM(L319:L329)</f>
        <v>52500</v>
      </c>
      <c r="M330" s="640"/>
      <c r="N330" s="640"/>
    </row>
    <row r="331" spans="1:14" s="649" customFormat="1" ht="12.75" customHeight="1" thickTop="1" x14ac:dyDescent="0.2">
      <c r="A331" s="1804" t="s">
        <v>1851</v>
      </c>
      <c r="B331" s="623" t="s">
        <v>860</v>
      </c>
      <c r="C331" s="1806"/>
      <c r="D331" s="1806"/>
      <c r="E331" s="1806"/>
      <c r="F331" s="1806"/>
      <c r="G331" s="1806"/>
      <c r="H331" s="1806"/>
      <c r="I331" s="1806"/>
      <c r="J331" s="1806"/>
      <c r="K331" s="1806"/>
      <c r="L331" s="1806"/>
      <c r="M331" s="640"/>
      <c r="N331" s="640"/>
    </row>
    <row r="332" spans="1:14" s="649" customFormat="1" ht="12.75" customHeight="1" x14ac:dyDescent="0.2">
      <c r="A332" s="1805" t="s">
        <v>496</v>
      </c>
      <c r="B332" s="1800" t="s">
        <v>1845</v>
      </c>
      <c r="C332" s="1806"/>
      <c r="D332" s="1806"/>
      <c r="E332" s="1806"/>
      <c r="F332" s="1806"/>
      <c r="G332" s="1806"/>
      <c r="H332" s="1968">
        <v>0</v>
      </c>
      <c r="I332" s="1806"/>
      <c r="J332" s="1806"/>
      <c r="K332" s="1644">
        <f>H332</f>
        <v>0</v>
      </c>
      <c r="L332" s="1990">
        <v>0</v>
      </c>
      <c r="M332" s="640"/>
      <c r="N332" s="640"/>
    </row>
    <row r="333" spans="1:14" s="649" customFormat="1" ht="12.75" customHeight="1" x14ac:dyDescent="0.2">
      <c r="A333" s="1805" t="s">
        <v>304</v>
      </c>
      <c r="B333" s="1800" t="s">
        <v>1847</v>
      </c>
      <c r="C333" s="1806"/>
      <c r="D333" s="1806"/>
      <c r="E333" s="1806"/>
      <c r="F333" s="1806"/>
      <c r="G333" s="1806"/>
      <c r="H333" s="1968">
        <v>0</v>
      </c>
      <c r="I333" s="1806"/>
      <c r="J333" s="1806"/>
      <c r="K333" s="1644">
        <f>H333</f>
        <v>0</v>
      </c>
      <c r="L333" s="1990">
        <v>0</v>
      </c>
      <c r="M333" s="640"/>
      <c r="N333" s="640"/>
    </row>
    <row r="334" spans="1:14" s="649" customFormat="1" ht="12.75" customHeight="1" thickBot="1" x14ac:dyDescent="0.25">
      <c r="A334" s="1805" t="s">
        <v>1852</v>
      </c>
      <c r="B334" s="1800" t="s">
        <v>860</v>
      </c>
      <c r="C334" s="1806"/>
      <c r="D334" s="1806"/>
      <c r="E334" s="1806"/>
      <c r="F334" s="1806"/>
      <c r="G334" s="1806"/>
      <c r="H334" s="1643">
        <f>SUM(H332:H333)</f>
        <v>0</v>
      </c>
      <c r="I334" s="1806"/>
      <c r="J334" s="1806"/>
      <c r="K334" s="1643">
        <f>SUM(K332:K333)</f>
        <v>0</v>
      </c>
      <c r="L334" s="1643">
        <f>SUM(L332:L333)</f>
        <v>0</v>
      </c>
      <c r="M334" s="640"/>
      <c r="N334" s="640"/>
    </row>
    <row r="335" spans="1:14" ht="15.75" customHeight="1" thickTop="1" x14ac:dyDescent="0.2">
      <c r="A335" s="1589" t="s">
        <v>899</v>
      </c>
      <c r="B335" s="1580" t="s">
        <v>492</v>
      </c>
      <c r="C335" s="593"/>
      <c r="D335" s="593"/>
      <c r="E335" s="593"/>
      <c r="F335" s="593"/>
      <c r="G335" s="593"/>
      <c r="H335" s="593"/>
      <c r="I335" s="593"/>
      <c r="J335" s="593"/>
      <c r="K335" s="593"/>
      <c r="L335" s="593"/>
    </row>
    <row r="336" spans="1:14" ht="15.75" customHeight="1" x14ac:dyDescent="0.2">
      <c r="A336" s="629" t="s">
        <v>615</v>
      </c>
      <c r="B336" s="599"/>
      <c r="C336" s="593"/>
      <c r="D336" s="593"/>
      <c r="E336" s="593"/>
      <c r="F336" s="593"/>
      <c r="G336" s="593"/>
      <c r="H336" s="600"/>
      <c r="I336" s="593"/>
      <c r="J336" s="593"/>
      <c r="K336" s="600"/>
      <c r="L336" s="600"/>
    </row>
    <row r="337" spans="1:14" x14ac:dyDescent="0.2">
      <c r="A337" s="1491" t="s">
        <v>87</v>
      </c>
      <c r="B337" s="665" t="s">
        <v>900</v>
      </c>
      <c r="C337" s="615"/>
      <c r="D337" s="615"/>
      <c r="E337" s="615"/>
      <c r="F337" s="615"/>
      <c r="G337" s="615"/>
      <c r="H337" s="474">
        <v>0</v>
      </c>
      <c r="I337" s="615"/>
      <c r="J337" s="615"/>
      <c r="K337" s="1644">
        <f>H337</f>
        <v>0</v>
      </c>
      <c r="L337" s="474">
        <v>0</v>
      </c>
    </row>
    <row r="338" spans="1:14" ht="12.75" customHeight="1" x14ac:dyDescent="0.2">
      <c r="A338" s="1491" t="s">
        <v>1170</v>
      </c>
      <c r="B338" s="665" t="s">
        <v>617</v>
      </c>
      <c r="C338" s="615"/>
      <c r="D338" s="615"/>
      <c r="E338" s="615"/>
      <c r="F338" s="615"/>
      <c r="G338" s="615"/>
      <c r="H338" s="474">
        <v>0</v>
      </c>
      <c r="I338" s="615"/>
      <c r="J338" s="615"/>
      <c r="K338" s="1644">
        <f>H338</f>
        <v>0</v>
      </c>
      <c r="L338" s="474">
        <v>0</v>
      </c>
    </row>
    <row r="339" spans="1:14" x14ac:dyDescent="0.2">
      <c r="A339" s="1477" t="s">
        <v>901</v>
      </c>
      <c r="B339" s="605">
        <v>5150</v>
      </c>
      <c r="C339" s="615"/>
      <c r="D339" s="615"/>
      <c r="E339" s="615"/>
      <c r="F339" s="615"/>
      <c r="G339" s="615"/>
      <c r="H339" s="1968">
        <v>0</v>
      </c>
      <c r="I339" s="615"/>
      <c r="J339" s="615"/>
      <c r="K339" s="1644">
        <f>H339</f>
        <v>0</v>
      </c>
      <c r="L339" s="1990">
        <v>0</v>
      </c>
    </row>
    <row r="340" spans="1:14" ht="13.5" thickBot="1" x14ac:dyDescent="0.25">
      <c r="A340" s="1667" t="s">
        <v>902</v>
      </c>
      <c r="B340" s="1642" t="s">
        <v>492</v>
      </c>
      <c r="C340" s="593"/>
      <c r="D340" s="593"/>
      <c r="E340" s="593"/>
      <c r="F340" s="593"/>
      <c r="G340" s="593"/>
      <c r="H340" s="1661">
        <f>SUM(H337:H339)</f>
        <v>0</v>
      </c>
      <c r="I340" s="593"/>
      <c r="J340" s="593"/>
      <c r="K340" s="1661">
        <f>SUM(K337:K339)</f>
        <v>0</v>
      </c>
      <c r="L340" s="1661">
        <f>SUM(L337:L339)</f>
        <v>0</v>
      </c>
    </row>
    <row r="341" spans="1:14" ht="15.75" customHeight="1" thickTop="1" thickBot="1" x14ac:dyDescent="0.25">
      <c r="A341" s="1592" t="s">
        <v>903</v>
      </c>
      <c r="B341" s="1584" t="s">
        <v>861</v>
      </c>
      <c r="C341" s="593"/>
      <c r="D341" s="593"/>
      <c r="E341" s="473"/>
      <c r="F341" s="467"/>
      <c r="G341" s="467"/>
      <c r="H341" s="473"/>
      <c r="I341" s="473"/>
      <c r="J341" s="467"/>
      <c r="K341" s="473"/>
      <c r="L341" s="2002">
        <v>0</v>
      </c>
    </row>
    <row r="342" spans="1:14" ht="12.75" customHeight="1" thickTop="1" thickBot="1" x14ac:dyDescent="0.25">
      <c r="A342" s="1659" t="s">
        <v>505</v>
      </c>
      <c r="B342" s="1674"/>
      <c r="C342" s="1643">
        <f>SUM(C330)</f>
        <v>0</v>
      </c>
      <c r="D342" s="1643">
        <f>SUM(D330)</f>
        <v>0</v>
      </c>
      <c r="E342" s="1643">
        <f>SUM(E330)</f>
        <v>47338</v>
      </c>
      <c r="F342" s="1643">
        <f>SUM(F330)</f>
        <v>0</v>
      </c>
      <c r="G342" s="1643">
        <f>SUM(G330)</f>
        <v>0</v>
      </c>
      <c r="H342" s="1643">
        <f>SUM(H330,H334,H340)</f>
        <v>0</v>
      </c>
      <c r="I342" s="1643">
        <f>SUM(I330)</f>
        <v>0</v>
      </c>
      <c r="J342" s="1643">
        <f>SUM(J330)</f>
        <v>0</v>
      </c>
      <c r="K342" s="1643">
        <f>SUM(K330,K334,K340)</f>
        <v>47338</v>
      </c>
      <c r="L342" s="1650">
        <f>SUM(L330,L340,L341)</f>
        <v>52500</v>
      </c>
    </row>
    <row r="343" spans="1:14" ht="12.75" customHeight="1" thickTop="1" x14ac:dyDescent="0.2">
      <c r="A343" s="2241" t="s">
        <v>996</v>
      </c>
      <c r="B343" s="2242"/>
      <c r="C343" s="593"/>
      <c r="D343" s="593"/>
      <c r="E343" s="593"/>
      <c r="F343" s="593"/>
      <c r="G343" s="593"/>
      <c r="H343" s="593"/>
      <c r="I343" s="593"/>
      <c r="J343" s="593"/>
      <c r="K343" s="1657">
        <f>'Revenues 9-14'!J268-'Expenditures 15-22'!K342</f>
        <v>1794</v>
      </c>
      <c r="L343" s="593"/>
    </row>
    <row r="344" spans="1:14" s="641" customFormat="1" ht="6" customHeight="1" x14ac:dyDescent="0.2">
      <c r="A344" s="638"/>
      <c r="B344" s="639"/>
      <c r="C344" s="626"/>
      <c r="D344" s="626"/>
      <c r="E344" s="626"/>
      <c r="F344" s="626"/>
      <c r="G344" s="626"/>
      <c r="H344" s="626"/>
      <c r="I344" s="626"/>
      <c r="J344" s="626"/>
      <c r="K344" s="626"/>
      <c r="L344" s="626"/>
      <c r="M344" s="640"/>
      <c r="N344" s="640"/>
    </row>
    <row r="345" spans="1:14" s="643" customFormat="1" ht="16.7" customHeight="1" x14ac:dyDescent="0.2">
      <c r="A345" s="2231" t="s">
        <v>966</v>
      </c>
      <c r="B345" s="2232"/>
      <c r="C345" s="1524"/>
      <c r="D345" s="1525"/>
      <c r="E345" s="1525"/>
      <c r="F345" s="1525"/>
      <c r="G345" s="1525"/>
      <c r="H345" s="1525"/>
      <c r="I345" s="1525"/>
      <c r="J345" s="1525"/>
      <c r="K345" s="1525"/>
      <c r="L345" s="1526"/>
      <c r="M345" s="642"/>
      <c r="N345" s="642"/>
    </row>
    <row r="346" spans="1:14" s="343" customFormat="1" ht="15.75" customHeight="1" x14ac:dyDescent="0.2">
      <c r="A346" s="1596" t="s">
        <v>844</v>
      </c>
      <c r="B346" s="1588" t="s">
        <v>569</v>
      </c>
      <c r="C346" s="593"/>
      <c r="D346" s="593"/>
      <c r="E346" s="593"/>
      <c r="F346" s="593"/>
      <c r="G346" s="593"/>
      <c r="H346" s="593"/>
      <c r="I346" s="593"/>
      <c r="J346" s="593"/>
      <c r="K346" s="593"/>
      <c r="L346" s="593"/>
      <c r="M346" s="586"/>
      <c r="N346" s="586"/>
    </row>
    <row r="347" spans="1:14" ht="15.75" customHeight="1" x14ac:dyDescent="0.2">
      <c r="A347" s="674" t="s">
        <v>612</v>
      </c>
      <c r="B347" s="675"/>
      <c r="C347" s="600"/>
      <c r="D347" s="600"/>
      <c r="E347" s="600"/>
      <c r="F347" s="600"/>
      <c r="G347" s="600"/>
      <c r="H347" s="600"/>
      <c r="I347" s="593"/>
      <c r="J347" s="593"/>
      <c r="K347" s="600"/>
      <c r="L347" s="600"/>
    </row>
    <row r="348" spans="1:14" x14ac:dyDescent="0.2">
      <c r="A348" s="1477" t="s">
        <v>4</v>
      </c>
      <c r="B348" s="591">
        <v>2530</v>
      </c>
      <c r="C348" s="1967">
        <v>0</v>
      </c>
      <c r="D348" s="1967">
        <v>0</v>
      </c>
      <c r="E348" s="1967">
        <v>0</v>
      </c>
      <c r="F348" s="1967">
        <v>0</v>
      </c>
      <c r="G348" s="1967">
        <v>0</v>
      </c>
      <c r="H348" s="1967">
        <v>0</v>
      </c>
      <c r="I348" s="1968">
        <v>0</v>
      </c>
      <c r="J348" s="1968">
        <v>0</v>
      </c>
      <c r="K348" s="1644">
        <f>SUM(C348:J348)</f>
        <v>0</v>
      </c>
      <c r="L348" s="1989">
        <v>0</v>
      </c>
    </row>
    <row r="349" spans="1:14" x14ac:dyDescent="0.2">
      <c r="A349" s="1477" t="s">
        <v>197</v>
      </c>
      <c r="B349" s="591">
        <v>2540</v>
      </c>
      <c r="C349" s="1967">
        <v>0</v>
      </c>
      <c r="D349" s="1967">
        <v>0</v>
      </c>
      <c r="E349" s="1967">
        <v>0</v>
      </c>
      <c r="F349" s="1967">
        <v>0</v>
      </c>
      <c r="G349" s="1967">
        <v>0</v>
      </c>
      <c r="H349" s="1967">
        <v>0</v>
      </c>
      <c r="I349" s="1968">
        <v>0</v>
      </c>
      <c r="J349" s="1968">
        <v>0</v>
      </c>
      <c r="K349" s="1644">
        <f>SUM(C349:J349)</f>
        <v>0</v>
      </c>
      <c r="L349" s="1989">
        <v>0</v>
      </c>
    </row>
    <row r="350" spans="1:14" ht="12.75" customHeight="1" thickBot="1" x14ac:dyDescent="0.25">
      <c r="A350" s="1641" t="s">
        <v>719</v>
      </c>
      <c r="B350" s="1642" t="s">
        <v>35</v>
      </c>
      <c r="C350" s="1643">
        <f>SUM(C348:C349)</f>
        <v>0</v>
      </c>
      <c r="D350" s="1643">
        <f t="shared" ref="D350:L350" si="26">SUM(D348:D349)</f>
        <v>0</v>
      </c>
      <c r="E350" s="1643">
        <f t="shared" si="26"/>
        <v>0</v>
      </c>
      <c r="F350" s="1643">
        <f t="shared" si="26"/>
        <v>0</v>
      </c>
      <c r="G350" s="1643">
        <f t="shared" si="26"/>
        <v>0</v>
      </c>
      <c r="H350" s="1643">
        <f t="shared" si="26"/>
        <v>0</v>
      </c>
      <c r="I350" s="1643">
        <f t="shared" si="26"/>
        <v>0</v>
      </c>
      <c r="J350" s="1643">
        <f t="shared" si="26"/>
        <v>0</v>
      </c>
      <c r="K350" s="1643">
        <f t="shared" si="26"/>
        <v>0</v>
      </c>
      <c r="L350" s="1643">
        <f t="shared" si="26"/>
        <v>0</v>
      </c>
    </row>
    <row r="351" spans="1:14" ht="12.75" customHeight="1" thickTop="1" x14ac:dyDescent="0.2">
      <c r="A351" s="1483" t="s">
        <v>980</v>
      </c>
      <c r="B351" s="619" t="s">
        <v>574</v>
      </c>
      <c r="C351" s="477">
        <v>0</v>
      </c>
      <c r="D351" s="477">
        <v>0</v>
      </c>
      <c r="E351" s="477">
        <v>0</v>
      </c>
      <c r="F351" s="477">
        <v>0</v>
      </c>
      <c r="G351" s="477">
        <v>0</v>
      </c>
      <c r="H351" s="477">
        <v>0</v>
      </c>
      <c r="I351" s="474">
        <v>0</v>
      </c>
      <c r="J351" s="474">
        <v>0</v>
      </c>
      <c r="K351" s="592">
        <f>SUM(C351:J351)</f>
        <v>0</v>
      </c>
      <c r="L351" s="477">
        <v>0</v>
      </c>
    </row>
    <row r="352" spans="1:14" ht="12.75" customHeight="1" thickBot="1" x14ac:dyDescent="0.25">
      <c r="A352" s="1641" t="s">
        <v>624</v>
      </c>
      <c r="B352" s="1648" t="s">
        <v>569</v>
      </c>
      <c r="C352" s="1643">
        <f>SUM(C350:C351)</f>
        <v>0</v>
      </c>
      <c r="D352" s="1643">
        <f t="shared" ref="D352:L352" si="27">SUM(D350:D351)</f>
        <v>0</v>
      </c>
      <c r="E352" s="1643">
        <f t="shared" si="27"/>
        <v>0</v>
      </c>
      <c r="F352" s="1643">
        <f t="shared" si="27"/>
        <v>0</v>
      </c>
      <c r="G352" s="1643">
        <f t="shared" si="27"/>
        <v>0</v>
      </c>
      <c r="H352" s="1643">
        <f t="shared" si="27"/>
        <v>0</v>
      </c>
      <c r="I352" s="1643">
        <f t="shared" si="27"/>
        <v>0</v>
      </c>
      <c r="J352" s="1643">
        <f t="shared" si="27"/>
        <v>0</v>
      </c>
      <c r="K352" s="1643">
        <f t="shared" si="27"/>
        <v>0</v>
      </c>
      <c r="L352" s="1643">
        <f t="shared" si="27"/>
        <v>0</v>
      </c>
    </row>
    <row r="353" spans="1:14" s="343" customFormat="1" ht="15.75" customHeight="1" thickTop="1" x14ac:dyDescent="0.2">
      <c r="A353" s="1585" t="s">
        <v>625</v>
      </c>
      <c r="B353" s="1582" t="s">
        <v>860</v>
      </c>
      <c r="C353" s="593"/>
      <c r="D353" s="593"/>
      <c r="E353" s="593"/>
      <c r="F353" s="593"/>
      <c r="G353" s="593"/>
      <c r="H353" s="593"/>
      <c r="I353" s="593"/>
      <c r="J353" s="593"/>
      <c r="K353" s="593"/>
      <c r="L353" s="593"/>
      <c r="M353" s="586"/>
      <c r="N353" s="586"/>
    </row>
    <row r="354" spans="1:14" x14ac:dyDescent="0.2">
      <c r="A354" s="1807" t="s">
        <v>1853</v>
      </c>
      <c r="B354" s="658" t="s">
        <v>1845</v>
      </c>
      <c r="C354" s="593"/>
      <c r="D354" s="593"/>
      <c r="E354" s="593"/>
      <c r="F354" s="593"/>
      <c r="G354" s="593"/>
      <c r="H354" s="1970">
        <v>0</v>
      </c>
      <c r="I354" s="676"/>
      <c r="J354" s="593"/>
      <c r="K354" s="1672">
        <f>H354</f>
        <v>0</v>
      </c>
      <c r="L354" s="1991">
        <v>0</v>
      </c>
    </row>
    <row r="355" spans="1:14" ht="12.75" customHeight="1" x14ac:dyDescent="0.2">
      <c r="A355" s="1486" t="s">
        <v>1854</v>
      </c>
      <c r="B355" s="665" t="s">
        <v>1847</v>
      </c>
      <c r="C355" s="593"/>
      <c r="D355" s="593"/>
      <c r="E355" s="593"/>
      <c r="F355" s="593"/>
      <c r="G355" s="593"/>
      <c r="H355" s="1968">
        <v>0</v>
      </c>
      <c r="I355" s="676"/>
      <c r="J355" s="593"/>
      <c r="K355" s="1716">
        <f>H355</f>
        <v>0</v>
      </c>
      <c r="L355" s="1990">
        <v>0</v>
      </c>
    </row>
    <row r="356" spans="1:14" ht="12.75" customHeight="1" x14ac:dyDescent="0.2">
      <c r="A356" s="1807" t="s">
        <v>698</v>
      </c>
      <c r="B356" s="658" t="s">
        <v>558</v>
      </c>
      <c r="C356" s="593"/>
      <c r="D356" s="593"/>
      <c r="E356" s="593"/>
      <c r="F356" s="593"/>
      <c r="G356" s="593"/>
      <c r="H356" s="1972">
        <v>0</v>
      </c>
      <c r="I356" s="676"/>
      <c r="J356" s="593"/>
      <c r="K356" s="1713">
        <f>H356</f>
        <v>0</v>
      </c>
      <c r="L356" s="1994">
        <v>0</v>
      </c>
    </row>
    <row r="357" spans="1:14" ht="12.75" customHeight="1" thickBot="1" x14ac:dyDescent="0.25">
      <c r="A357" s="1641" t="s">
        <v>1487</v>
      </c>
      <c r="B357" s="1642" t="s">
        <v>860</v>
      </c>
      <c r="C357" s="593"/>
      <c r="D357" s="593"/>
      <c r="E357" s="593"/>
      <c r="F357" s="593"/>
      <c r="G357" s="593"/>
      <c r="H357" s="1661">
        <f>SUM(H354:H356)</f>
        <v>0</v>
      </c>
      <c r="I357" s="676"/>
      <c r="J357" s="593"/>
      <c r="K357" s="1661">
        <f>SUM(K354:K356)</f>
        <v>0</v>
      </c>
      <c r="L357" s="1661">
        <f>SUM(L354:L356)</f>
        <v>0</v>
      </c>
    </row>
    <row r="358" spans="1:14" s="343" customFormat="1" ht="15.75" customHeight="1" thickTop="1" x14ac:dyDescent="0.2">
      <c r="A358" s="1585" t="s">
        <v>948</v>
      </c>
      <c r="B358" s="1582" t="s">
        <v>492</v>
      </c>
      <c r="C358" s="593"/>
      <c r="D358" s="593"/>
      <c r="E358" s="593"/>
      <c r="F358" s="593"/>
      <c r="G358" s="593"/>
      <c r="H358" s="593"/>
      <c r="I358" s="593"/>
      <c r="J358" s="593"/>
      <c r="K358" s="593"/>
      <c r="L358" s="593"/>
      <c r="M358" s="586"/>
      <c r="N358" s="586"/>
    </row>
    <row r="359" spans="1:14" s="343" customFormat="1" ht="15.75" customHeight="1" x14ac:dyDescent="0.2">
      <c r="A359" s="629" t="s">
        <v>627</v>
      </c>
      <c r="B359" s="599"/>
      <c r="C359" s="593"/>
      <c r="D359" s="593"/>
      <c r="E359" s="593"/>
      <c r="F359" s="593"/>
      <c r="G359" s="593"/>
      <c r="H359" s="593"/>
      <c r="I359" s="593"/>
      <c r="J359" s="593"/>
      <c r="K359" s="600"/>
      <c r="L359" s="600"/>
      <c r="M359" s="586"/>
      <c r="N359" s="586"/>
    </row>
    <row r="360" spans="1:14" x14ac:dyDescent="0.2">
      <c r="A360" s="1477" t="s">
        <v>87</v>
      </c>
      <c r="B360" s="591">
        <v>5110</v>
      </c>
      <c r="C360" s="593"/>
      <c r="D360" s="593"/>
      <c r="E360" s="593"/>
      <c r="F360" s="593"/>
      <c r="G360" s="593"/>
      <c r="H360" s="1984">
        <v>0</v>
      </c>
      <c r="I360" s="593"/>
      <c r="J360" s="593"/>
      <c r="K360" s="1644">
        <f>SUM(C360:J360)</f>
        <v>0</v>
      </c>
      <c r="L360" s="1989">
        <v>0</v>
      </c>
    </row>
    <row r="361" spans="1:14" ht="12.75" customHeight="1" x14ac:dyDescent="0.2">
      <c r="A361" s="1478" t="s">
        <v>619</v>
      </c>
      <c r="B361" s="579" t="s">
        <v>618</v>
      </c>
      <c r="C361" s="593"/>
      <c r="D361" s="593"/>
      <c r="E361" s="593"/>
      <c r="F361" s="593"/>
      <c r="G361" s="593"/>
      <c r="H361" s="1984">
        <v>0</v>
      </c>
      <c r="I361" s="593"/>
      <c r="J361" s="593"/>
      <c r="K361" s="1644">
        <f>SUM(C361:J361)</f>
        <v>0</v>
      </c>
      <c r="L361" s="1989">
        <v>0</v>
      </c>
    </row>
    <row r="362" spans="1:14" ht="12.75" customHeight="1" thickBot="1" x14ac:dyDescent="0.25">
      <c r="A362" s="1641" t="s">
        <v>626</v>
      </c>
      <c r="B362" s="1642" t="s">
        <v>718</v>
      </c>
      <c r="C362" s="593"/>
      <c r="D362" s="593"/>
      <c r="E362" s="593"/>
      <c r="F362" s="593"/>
      <c r="G362" s="593"/>
      <c r="H362" s="1676">
        <f>SUM(H360:H361)</f>
        <v>0</v>
      </c>
      <c r="I362" s="593"/>
      <c r="J362" s="593"/>
      <c r="K362" s="1676">
        <f>SUM(K360:K361)</f>
        <v>0</v>
      </c>
      <c r="L362" s="1676">
        <f>SUM(L360:L361)</f>
        <v>0</v>
      </c>
    </row>
    <row r="363" spans="1:14" s="649" customFormat="1" ht="15.75" customHeight="1" thickTop="1" x14ac:dyDescent="0.2">
      <c r="A363" s="635" t="s">
        <v>83</v>
      </c>
      <c r="B363" s="636" t="s">
        <v>38</v>
      </c>
      <c r="C363" s="615"/>
      <c r="D363" s="615"/>
      <c r="E363" s="615"/>
      <c r="F363" s="615"/>
      <c r="G363" s="615"/>
      <c r="H363" s="1985">
        <v>0</v>
      </c>
      <c r="I363" s="615"/>
      <c r="J363" s="615"/>
      <c r="K363" s="1672">
        <f>SUM(C363:J363)</f>
        <v>0</v>
      </c>
      <c r="L363" s="1994">
        <v>0</v>
      </c>
      <c r="M363" s="640"/>
      <c r="N363" s="640"/>
    </row>
    <row r="364" spans="1:14" s="681" customFormat="1" ht="29.25" customHeight="1" x14ac:dyDescent="0.2">
      <c r="A364" s="677" t="s">
        <v>1672</v>
      </c>
      <c r="B364" s="678">
        <v>5300</v>
      </c>
      <c r="C364" s="679"/>
      <c r="D364" s="680"/>
      <c r="E364" s="680"/>
      <c r="F364" s="679"/>
      <c r="G364" s="680"/>
      <c r="H364" s="1988">
        <v>0</v>
      </c>
      <c r="I364" s="680"/>
      <c r="J364" s="680"/>
      <c r="K364" s="1644">
        <f>SUM(C364:J364)</f>
        <v>0</v>
      </c>
      <c r="L364" s="2005">
        <v>0</v>
      </c>
    </row>
    <row r="365" spans="1:14" s="649" customFormat="1" ht="12.75" customHeight="1" thickBot="1" x14ac:dyDescent="0.25">
      <c r="A365" s="1494" t="s">
        <v>590</v>
      </c>
      <c r="B365" s="634" t="s">
        <v>492</v>
      </c>
      <c r="C365" s="615"/>
      <c r="D365" s="615"/>
      <c r="E365" s="615"/>
      <c r="F365" s="615"/>
      <c r="G365" s="615"/>
      <c r="H365" s="1676">
        <f>SUM(H362,H363,H364)</f>
        <v>0</v>
      </c>
      <c r="I365" s="615"/>
      <c r="J365" s="615"/>
      <c r="K365" s="1676">
        <f>SUM(K362,K363,K364)</f>
        <v>0</v>
      </c>
      <c r="L365" s="1676">
        <f>SUM(L362,L363,L364)</f>
        <v>0</v>
      </c>
      <c r="M365" s="640"/>
      <c r="N365" s="640"/>
    </row>
    <row r="366" spans="1:14" s="343" customFormat="1" ht="15.75" customHeight="1" thickTop="1" thickBot="1" x14ac:dyDescent="0.25">
      <c r="A366" s="1579" t="s">
        <v>949</v>
      </c>
      <c r="B366" s="1586" t="s">
        <v>861</v>
      </c>
      <c r="C366" s="600"/>
      <c r="D366" s="600"/>
      <c r="E366" s="600"/>
      <c r="F366" s="600"/>
      <c r="G366" s="600"/>
      <c r="H366" s="600"/>
      <c r="I366" s="600"/>
      <c r="J366" s="593"/>
      <c r="K366" s="600"/>
      <c r="L366" s="2001">
        <v>0</v>
      </c>
      <c r="M366" s="586"/>
      <c r="N366" s="586"/>
    </row>
    <row r="367" spans="1:14" ht="12.75" customHeight="1" thickTop="1" thickBot="1" x14ac:dyDescent="0.25">
      <c r="A367" s="1665" t="s">
        <v>505</v>
      </c>
      <c r="B367" s="1677"/>
      <c r="C367" s="1643">
        <f t="shared" ref="C367:L367" si="28">SUM(C352,C357,C365,C366)</f>
        <v>0</v>
      </c>
      <c r="D367" s="1643">
        <f t="shared" si="28"/>
        <v>0</v>
      </c>
      <c r="E367" s="1643">
        <f t="shared" si="28"/>
        <v>0</v>
      </c>
      <c r="F367" s="1643">
        <f t="shared" si="28"/>
        <v>0</v>
      </c>
      <c r="G367" s="1643">
        <f t="shared" si="28"/>
        <v>0</v>
      </c>
      <c r="H367" s="1643">
        <f t="shared" si="28"/>
        <v>0</v>
      </c>
      <c r="I367" s="1643">
        <f t="shared" si="28"/>
        <v>0</v>
      </c>
      <c r="J367" s="1643">
        <f t="shared" si="28"/>
        <v>0</v>
      </c>
      <c r="K367" s="1643">
        <f t="shared" si="28"/>
        <v>0</v>
      </c>
      <c r="L367" s="1643">
        <f t="shared" si="28"/>
        <v>0</v>
      </c>
    </row>
    <row r="368" spans="1:14" ht="13.5" thickTop="1" x14ac:dyDescent="0.2">
      <c r="A368" s="2228" t="s">
        <v>996</v>
      </c>
      <c r="B368" s="2229"/>
      <c r="C368" s="630"/>
      <c r="D368" s="630"/>
      <c r="E368" s="603"/>
      <c r="F368" s="603"/>
      <c r="G368" s="603"/>
      <c r="H368" s="603"/>
      <c r="I368" s="603"/>
      <c r="J368" s="600"/>
      <c r="K368" s="1644">
        <f>'Revenues 9-14'!K268-'Expenditures 15-22'!K367</f>
        <v>0</v>
      </c>
      <c r="L368" s="630"/>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20"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purl.org/dc/elements/1.1/"/>
    <ds:schemaRef ds:uri="http://purl.org/dc/terms/"/>
    <ds:schemaRef ds:uri="http://schemas.microsoft.com/office/infopath/2007/PartnerControls"/>
    <ds:schemaRef ds:uri="http://schemas.microsoft.com/sharepoint/v3"/>
    <ds:schemaRef ds:uri="http://schemas.openxmlformats.org/package/2006/metadata/core-properties"/>
    <ds:schemaRef ds:uri="http://schemas.microsoft.com/office/2006/documentManagement/types"/>
    <ds:schemaRef ds:uri="http://purl.org/dc/dcmitype/"/>
    <ds:schemaRef ds:uri="4d435f69-8686-490b-bd6d-b153bf22ab50"/>
    <ds:schemaRef ds:uri="d21dc803-237d-4c68-8692-8d731fd29118"/>
    <ds:schemaRef ds:uri="6ce3111e-7420-4802-b50a-75d4e9a0b98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BAXTER CHRISTOPHER</cp:lastModifiedBy>
  <cp:lastPrinted>2019-09-19T15:55:07Z</cp:lastPrinted>
  <dcterms:created xsi:type="dcterms:W3CDTF">2003-10-29T19:06:34Z</dcterms:created>
  <dcterms:modified xsi:type="dcterms:W3CDTF">2019-11-06T17:53:55Z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tabName">
    <vt:lpwstr>Working Files</vt:lpwstr>
  </property>
  <property fmtid="{D5CDD505-2E9C-101B-9397-08002B2CF9AE}" pid="5" name="tabIndex">
    <vt:lpwstr>1</vt:lpwstr>
  </property>
  <property fmtid="{D5CDD505-2E9C-101B-9397-08002B2CF9AE}" pid="6" name="workpaperIndex">
    <vt:lpwstr>2a</vt:lpwstr>
  </property>
</Properties>
</file>