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88B792F-AFE7-42A2-AD46-828CA41E7AB3}" xr6:coauthVersionLast="36" xr6:coauthVersionMax="36" xr10:uidLastSave="{00000000-0000-0000-0000-000000000000}"/>
  <bookViews>
    <workbookView xWindow="-120" yWindow="-120" windowWidth="29040" windowHeight="15840" tabRatio="69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2)" sheetId="183" r:id="rId28"/>
    <sheet name=" SEFA (3)" sheetId="184"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 (2)'!$B$1:$M$46</definedName>
    <definedName name="_xlnm.Print_Area" localSheetId="28">' SEFA (3)'!$B$1:$M$46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C6" i="7"/>
  <c r="I13" i="11"/>
  <c r="D13" i="11"/>
  <c r="I22" i="184" l="1"/>
  <c r="F22" i="184"/>
  <c r="F13" i="184"/>
  <c r="F12" i="184" l="1"/>
  <c r="F14" i="184" s="1"/>
  <c r="F17" i="184" s="1"/>
  <c r="I14" i="184"/>
  <c r="L14" i="184" s="1"/>
  <c r="L22" i="184"/>
  <c r="L21" i="184"/>
  <c r="L16" i="184"/>
  <c r="L13" i="184"/>
  <c r="L12" i="184"/>
  <c r="B4" i="184"/>
  <c r="G18" i="183"/>
  <c r="G24" i="184" s="1"/>
  <c r="I17" i="183"/>
  <c r="I18" i="183" s="1"/>
  <c r="G17" i="183"/>
  <c r="F17" i="183"/>
  <c r="F18" i="183" s="1"/>
  <c r="E17" i="183"/>
  <c r="E18" i="183" s="1"/>
  <c r="E24" i="184" s="1"/>
  <c r="L27" i="183"/>
  <c r="L26" i="183"/>
  <c r="L25" i="183"/>
  <c r="L24" i="183"/>
  <c r="L23" i="183"/>
  <c r="L22" i="183"/>
  <c r="L21" i="183"/>
  <c r="L20" i="183"/>
  <c r="L19" i="183"/>
  <c r="L16" i="183"/>
  <c r="L15" i="183"/>
  <c r="L14" i="183"/>
  <c r="L13" i="183"/>
  <c r="L12" i="183"/>
  <c r="L11" i="183"/>
  <c r="B4" i="183"/>
  <c r="F24" i="184" l="1"/>
  <c r="D35" i="171" s="1"/>
  <c r="I17" i="184"/>
  <c r="I24" i="184" s="1"/>
  <c r="L24" i="184" s="1"/>
  <c r="L18" i="183"/>
  <c r="L17" i="183"/>
  <c r="L17" i="184"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84"/>
  <c r="B2" i="183"/>
  <c r="B2" i="177"/>
  <c r="A2" i="170"/>
  <c r="B2" i="174"/>
  <c r="A2" i="173"/>
  <c r="A1" i="171"/>
  <c r="B2" i="176"/>
  <c r="B1" i="175"/>
  <c r="B1" i="177"/>
  <c r="A1" i="170"/>
  <c r="A2" i="171"/>
  <c r="A1" i="173"/>
  <c r="B1" i="174"/>
  <c r="B2" i="175"/>
  <c r="B1" i="176"/>
  <c r="B7773" i="106" l="1"/>
  <c r="H357" i="29" l="1"/>
  <c r="K354" i="29"/>
  <c r="B7791" i="106"/>
  <c r="D17" i="171"/>
  <c r="B7783" i="106"/>
  <c r="K282" i="29"/>
  <c r="B7784" i="106" s="1"/>
  <c r="D285" i="29"/>
  <c r="B7812" i="106"/>
  <c r="D7812" i="106" s="1"/>
  <c r="B7815" i="106"/>
  <c r="D7815" i="106" s="1"/>
  <c r="K355" i="29"/>
  <c r="B7794" i="106" s="1"/>
  <c r="B7793" i="106"/>
  <c r="B15" i="7"/>
  <c r="F29" i="34"/>
  <c r="D12" i="171"/>
  <c r="B7809" i="106"/>
  <c r="D7809" i="106" s="1"/>
  <c r="F166" i="34"/>
  <c r="K356" i="29"/>
  <c r="B7811" i="106"/>
  <c r="D7811" i="106" s="1"/>
  <c r="H137" i="29"/>
  <c r="B7775" i="106"/>
  <c r="B7816" i="106"/>
  <c r="D7816" i="106" s="1"/>
  <c r="B5196" i="106"/>
  <c r="H334" i="29"/>
  <c r="B7789" i="106" s="1"/>
  <c r="B7785" i="106"/>
  <c r="K332" i="29"/>
  <c r="B7814" i="106"/>
  <c r="D7814" i="106" s="1"/>
  <c r="K133" i="29"/>
  <c r="B7776" i="106" s="1"/>
  <c r="B7774" i="106"/>
  <c r="E137" i="29"/>
  <c r="E139" i="29" s="1"/>
  <c r="K157" i="29"/>
  <c r="B7778" i="106" s="1"/>
  <c r="H160" i="29"/>
  <c r="B7777" i="106"/>
  <c r="B7810" i="106"/>
  <c r="D7810" i="106" s="1"/>
  <c r="K158" i="29"/>
  <c r="B7780" i="106" s="1"/>
  <c r="B7779" i="106"/>
  <c r="K159" i="29"/>
  <c r="B7782" i="106" s="1"/>
  <c r="B7781" i="106"/>
  <c r="B7813" i="106"/>
  <c r="D7813" i="106" s="1"/>
  <c r="F167" i="34"/>
  <c r="B7787" i="106"/>
  <c r="K333" i="29"/>
  <c r="B7788" i="106" s="1"/>
  <c r="B61" i="106"/>
  <c r="B52" i="106"/>
  <c r="K160" i="29" l="1"/>
  <c r="F60" i="34" s="1"/>
  <c r="B7792" i="106"/>
  <c r="K357" i="29"/>
  <c r="K15" i="4" s="1"/>
  <c r="K334" i="29"/>
  <c r="B7786" i="106"/>
  <c r="B51" i="106"/>
  <c r="B49" i="106"/>
  <c r="B48" i="106"/>
  <c r="B47" i="106"/>
  <c r="B46" i="106"/>
  <c r="B45" i="106"/>
  <c r="B44" i="106"/>
  <c r="B43" i="106"/>
  <c r="B42" i="106"/>
  <c r="B41" i="106"/>
  <c r="B50" i="106"/>
  <c r="F74" i="34" l="1"/>
  <c r="J15" i="4"/>
  <c r="B7796" i="106" s="1"/>
  <c r="B7790" i="106"/>
  <c r="E15" i="4"/>
  <c r="B2633" i="106" s="1"/>
  <c r="D2633" i="106" s="1"/>
  <c r="F159" i="34"/>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82" i="36"/>
  <c r="D78" i="36"/>
  <c r="K75" i="29"/>
  <c r="G39" i="108"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59" i="127"/>
  <c r="B60" i="127"/>
  <c r="D26" i="108"/>
  <c r="F26" i="108"/>
  <c r="E27" i="108"/>
  <c r="F27" i="108"/>
  <c r="G27" i="108"/>
  <c r="F31" i="108"/>
  <c r="F36"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0" i="7"/>
  <c r="B1749" i="106" s="1"/>
  <c r="D1749" i="106" s="1"/>
  <c r="B11" i="7"/>
  <c r="B1752" i="106" s="1"/>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D7" i="118"/>
  <c r="D8" i="118"/>
  <c r="D9" i="118"/>
  <c r="H14" i="118"/>
  <c r="H19" i="118"/>
  <c r="H24" i="118"/>
  <c r="D22" i="37"/>
  <c r="J22" i="37"/>
  <c r="L5" i="11"/>
  <c r="B2056" i="106" s="1"/>
  <c r="D2056" i="106" s="1"/>
  <c r="G14" i="4" l="1"/>
  <c r="B2609" i="106" s="1"/>
  <c r="D2609" i="106" s="1"/>
  <c r="C14" i="4"/>
  <c r="B2558" i="106" s="1"/>
  <c r="D2558" i="106" s="1"/>
  <c r="D37" i="108"/>
  <c r="F37" i="108"/>
  <c r="E34" i="108"/>
  <c r="B2724" i="106"/>
  <c r="D2724" i="106" s="1"/>
  <c r="F44" i="34"/>
  <c r="G33" i="108"/>
  <c r="B7076" i="106"/>
  <c r="D7076" i="106" s="1"/>
  <c r="N22" i="3"/>
  <c r="B283" i="106" s="1"/>
  <c r="D283" i="106" s="1"/>
  <c r="D68" i="36"/>
  <c r="F37" i="34"/>
  <c r="G29" i="108"/>
  <c r="F50" i="34"/>
  <c r="E29" i="108"/>
  <c r="F46" i="34"/>
  <c r="F42" i="34"/>
  <c r="B7047" i="106"/>
  <c r="D7047" i="106" s="1"/>
  <c r="H28" i="118"/>
  <c r="D24" i="37"/>
  <c r="B4270" i="106" s="1"/>
  <c r="D4270" i="106" s="1"/>
  <c r="L22" i="37"/>
  <c r="D31" i="36"/>
  <c r="D11" i="37"/>
  <c r="H29" i="118"/>
  <c r="F36" i="34"/>
  <c r="B6289" i="106"/>
  <c r="D6289" i="106" s="1"/>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K184" i="29"/>
  <c r="F13" i="4" s="1"/>
  <c r="B2596" i="106" s="1"/>
  <c r="D2596" i="106" s="1"/>
  <c r="F77" i="4"/>
  <c r="B3255" i="106" s="1"/>
  <c r="D3255" i="106" s="1"/>
  <c r="G38" i="108"/>
  <c r="E38" i="108"/>
  <c r="G30" i="108"/>
  <c r="B1274" i="106"/>
  <c r="D1274" i="106" s="1"/>
  <c r="F70" i="34"/>
  <c r="E30" i="108"/>
  <c r="B2895" i="106"/>
  <c r="D2895" i="106" s="1"/>
  <c r="G210" i="29"/>
  <c r="I210" i="29"/>
  <c r="B7071" i="106" s="1"/>
  <c r="D7071" i="106" s="1"/>
  <c r="E26" i="108"/>
  <c r="G15" i="145"/>
  <c r="G26" i="108"/>
  <c r="B6995" i="106"/>
  <c r="D6995" i="106" s="1"/>
  <c r="F28" i="108"/>
  <c r="E28" i="108"/>
  <c r="B1124" i="106"/>
  <c r="D1124" i="106" s="1"/>
  <c r="F34" i="34"/>
  <c r="J352" i="29"/>
  <c r="J367" i="29" s="1"/>
  <c r="B7245" i="106" s="1"/>
  <c r="D7245" i="106" s="1"/>
  <c r="H342" i="29"/>
  <c r="B7221" i="106" s="1"/>
  <c r="D7221" i="106" s="1"/>
  <c r="H112" i="29"/>
  <c r="B7018" i="106" s="1"/>
  <c r="D7018" i="106" s="1"/>
  <c r="J77" i="4"/>
  <c r="B6262" i="106" s="1"/>
  <c r="D6262" i="106" s="1"/>
  <c r="H76" i="4"/>
  <c r="B3298" i="106" s="1"/>
  <c r="D3298" i="106" s="1"/>
  <c r="H365" i="29"/>
  <c r="B7242" i="106" s="1"/>
  <c r="D7242" i="106" s="1"/>
  <c r="C342" i="29"/>
  <c r="B7216" i="106" s="1"/>
  <c r="D7216" i="106" s="1"/>
  <c r="L15" i="11"/>
  <c r="B3459" i="106" s="1"/>
  <c r="D3459" i="106" s="1"/>
  <c r="H33" i="118"/>
  <c r="C129" i="29"/>
  <c r="B1225" i="106" s="1"/>
  <c r="D1225"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17" i="7"/>
  <c r="B4104" i="106" s="1"/>
  <c r="D4104"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7270" i="106"/>
  <c r="F41" i="108" l="1"/>
  <c r="G43" i="108" s="1"/>
  <c r="K28" i="118"/>
  <c r="O27" i="118" s="1"/>
  <c r="O29" i="118" s="1"/>
  <c r="B4435" i="106"/>
  <c r="D4435" i="106" s="1"/>
  <c r="B1266" i="106"/>
  <c r="D1266" i="106" s="1"/>
  <c r="F66" i="34"/>
  <c r="B1328" i="106"/>
  <c r="D1328" i="106" s="1"/>
  <c r="J151" i="29"/>
  <c r="B7052" i="106" s="1"/>
  <c r="D7052" i="106" s="1"/>
  <c r="B1381" i="106"/>
  <c r="D1381" i="106" s="1"/>
  <c r="K365" i="29"/>
  <c r="K16" i="4" s="1"/>
  <c r="M23" i="3"/>
  <c r="B273" i="106"/>
  <c r="D273" i="106" s="1"/>
  <c r="L16" i="11"/>
  <c r="B2061" i="106" s="1"/>
  <c r="D2061" i="106" s="1"/>
  <c r="H77" i="4"/>
  <c r="B3299" i="106" s="1"/>
  <c r="D3299"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C114" i="29"/>
  <c r="B757" i="106" s="1"/>
  <c r="D757" i="106" s="1"/>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F24" i="37"/>
  <c r="B1145" i="106"/>
  <c r="D1145" i="106" s="1"/>
  <c r="K367" i="29"/>
  <c r="B3678" i="106" s="1"/>
  <c r="D3678" i="106" s="1"/>
  <c r="B279" i="106"/>
  <c r="D279" i="106" s="1"/>
  <c r="B2916" i="106"/>
  <c r="D2916" i="106" s="1"/>
  <c r="L41"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F175" i="34"/>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D81" i="4"/>
  <c r="D58" i="36" s="1"/>
  <c r="B212" i="106"/>
  <c r="D212" i="106" s="1"/>
  <c r="H41" i="3"/>
  <c r="B6216" i="106"/>
  <c r="D6216" i="106" s="1"/>
  <c r="D51" i="36"/>
  <c r="B2912" i="106"/>
  <c r="D2912" i="106" s="1"/>
  <c r="I41" i="3"/>
  <c r="B3567" i="106"/>
  <c r="D3567" i="106" s="1"/>
  <c r="K41" i="3"/>
  <c r="B3278" i="106"/>
  <c r="D3278" i="106" s="1"/>
  <c r="E81" i="4"/>
  <c r="N21" i="3" s="1"/>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41" i="3" l="1"/>
  <c r="B124" i="106" s="1"/>
  <c r="D124" i="106" s="1"/>
  <c r="C11" i="146"/>
  <c r="B123" i="106"/>
  <c r="D123" i="106" s="1"/>
  <c r="B1644" i="106"/>
  <c r="D1644" i="106" s="1"/>
  <c r="D82" i="4"/>
  <c r="D83" i="4" s="1"/>
  <c r="B6277" i="106" s="1"/>
  <c r="D6277" i="106" s="1"/>
  <c r="B140" i="106"/>
  <c r="D140" i="106" s="1"/>
  <c r="E41" i="3"/>
  <c r="J16" i="37"/>
  <c r="B4269" i="106" s="1"/>
  <c r="D4269" i="106" s="1"/>
  <c r="D76" i="36"/>
  <c r="B2913" i="106"/>
  <c r="D2913" i="106" s="1"/>
  <c r="D50" i="36"/>
  <c r="B92" i="106"/>
  <c r="D92" i="106" s="1"/>
  <c r="C41" i="3"/>
  <c r="B3568" i="106"/>
  <c r="D3568" i="106" s="1"/>
  <c r="D52" i="36"/>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D45" i="36" l="1"/>
  <c r="B6268" i="106"/>
  <c r="D6268" i="106" s="1"/>
  <c r="O11" i="118"/>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<sst xmlns="http://schemas.openxmlformats.org/spreadsheetml/2006/main" count="5219" uniqueCount="2154">
  <si>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</si>
  <si>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</si>
  <si>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</si>
  <si>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</si>
  <si>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</si>
  <si>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</si>
  <si>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</si>
  <si>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</si>
  <si>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</si>
  <si>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</si>
  <si>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</si>
  <si>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</si>
  <si>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</si>
  <si>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</si>
  <si>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</si>
  <si>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</si>
  <si>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</si>
  <si>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</si>
  <si>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</si>
  <si>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</si>
  <si>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</si>
  <si>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</si>
  <si>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</si>
  <si>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</si>
  <si>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</si>
  <si>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</si>
  <si>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</si>
  <si>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</si>
  <si>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</si>
  <si>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</si>
  <si>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</si>
  <si>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</si>
  <si>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</si>
  <si>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</si>
  <si>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</si>
  <si>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</si>
  <si>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</si>
  <si>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</si>
  <si>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</si>
  <si>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</si>
  <si>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</si>
  <si>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</si>
  <si>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</si>
  <si>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</si>
  <si>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</si>
  <si>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</si>
  <si>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</si>
  <si>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</si>
  <si>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</si>
  <si>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</si>
  <si>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</si>
  <si>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</si>
  <si>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</si>
  <si>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</si>
  <si>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</si>
  <si>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</si>
  <si>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</si>
  <si>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</si>
  <si>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</si>
  <si>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</si>
  <si>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</si>
  <si>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</si>
  <si>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</si>
  <si>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</si>
  <si>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</si>
  <si>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</si>
  <si>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</si>
  <si>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</si>
  <si>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</si>
  <si>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</si>
  <si>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</si>
  <si>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</si>
  <si>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</si>
  <si>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</si>
  <si>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</si>
  <si>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</si>
  <si>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</si>
  <si>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</si>
  <si>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</si>
  <si>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</si>
  <si>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</si>
  <si>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</si>
  <si>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</si>
  <si>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</si>
  <si>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</si>
  <si>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</si>
  <si>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</si>
  <si>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</si>
  <si>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</si>
  <si>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</si>
  <si>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</si>
  <si>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</si>
  <si>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</si>
  <si>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</si>
  <si>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</si>
  <si>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</si>
  <si>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</si>
  <si>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</si>
  <si>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</si>
  <si>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</si>
  <si>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</si>
  <si>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</si>
  <si>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</si>
  <si>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</si>
  <si>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</si>
  <si>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</si>
  <si>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</si>
  <si>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</si>
  <si>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</si>
  <si>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</si>
  <si>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</si>
  <si>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</si>
  <si>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</si>
  <si>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</si>
  <si>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</si>
  <si>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</si>
  <si>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</si>
  <si>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</si>
  <si>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</si>
  <si>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</si>
  <si>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</si>
  <si>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</si>
  <si>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</si>
  <si>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</si>
  <si>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</si>
  <si>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</si>
  <si>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</si>
  <si>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</si>
  <si>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</si>
  <si>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</si>
  <si>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</si>
  <si>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</si>
  <si>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</si>
  <si>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</si>
  <si>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</si>
  <si>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</si>
  <si>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</si>
  <si>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</si>
  <si>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</si>
  <si>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</si>
  <si>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</si>
  <si>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</si>
  <si>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</si>
  <si>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</si>
  <si>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</si>
  <si>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</si>
  <si>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</si>
  <si>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</si>
  <si>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</si>
  <si>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</si>
  <si>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</si>
  <si>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</si>
  <si>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</si>
  <si>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</si>
  <si>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</si>
  <si>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</si>
  <si>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</si>
  <si>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</si>
  <si>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</si>
  <si>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</si>
  <si>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</si>
  <si>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</si>
  <si>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</si>
  <si>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</si>
  <si>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</si>
  <si>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</si>
  <si>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</si>
  <si>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</si>
  <si>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</si>
  <si>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</si>
  <si>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</si>
  <si>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</si>
  <si>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</si>
  <si>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</si>
  <si>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</si>
  <si>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</si>
  <si>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</si>
  <si>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</si>
  <si>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</si>
  <si>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</si>
  <si>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</si>
  <si>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</si>
  <si>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</si>
  <si>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</si>
  <si>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</si>
  <si>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</si>
  <si>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</si>
  <si>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</si>
  <si>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</si>
  <si>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</si>
  <si>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</si>
  <si>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</si>
  <si>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</si>
  <si>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</si>
  <si>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</si>
  <si>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</si>
  <si>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</si>
  <si>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</si>
  <si>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</si>
  <si>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</si>
  <si>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</si>
  <si>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</si>
  <si>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</si>
  <si>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</si>
  <si>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</si>
  <si>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</si>
  <si>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</si>
  <si>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</si>
  <si>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</si>
  <si>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</si>
  <si>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</si>
  <si>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</si>
  <si>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</si>
  <si>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</si>
  <si>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</si>
  <si>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</si>
  <si>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</si>
  <si>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</si>
  <si>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</si>
  <si>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</si>
  <si>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</si>
  <si>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</si>
  <si>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</si>
  <si>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</si>
  <si>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</si>
  <si>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</si>
  <si>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</si>
  <si>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</si>
  <si>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</si>
  <si>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</si>
  <si>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</si>
  <si>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</si>
  <si>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</si>
  <si>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</si>
  <si>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</si>
  <si>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</si>
  <si>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</si>
  <si>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</si>
  <si>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</si>
  <si>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</si>
  <si>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</si>
  <si>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</si>
  <si>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</si>
  <si>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</si>
  <si>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</si>
  <si>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</si>
  <si>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</si>
  <si>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</si>
  <si>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</si>
  <si>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</si>
  <si>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</si>
  <si>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</si>
  <si>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</si>
  <si>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</si>
  <si>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</si>
  <si>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</si>
  <si>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</si>
  <si>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</si>
  <si>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</si>
  <si>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</si>
  <si>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</si>
  <si>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</si>
  <si>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</si>
  <si>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</si>
  <si>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</si>
  <si>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</si>
  <si>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</si>
  <si>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</si>
  <si>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</si>
  <si>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</si>
  <si>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</si>
  <si>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</si>
  <si>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</si>
  <si>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</si>
  <si>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</si>
  <si>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</si>
  <si>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</si>
  <si>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</si>
  <si>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</si>
  <si>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</si>
  <si>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</si>
  <si>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</si>
  <si>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</si>
  <si>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</si>
  <si>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</si>
  <si>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</si>
  <si>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</si>
  <si>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</si>
  <si>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</si>
  <si>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</si>
  <si>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</si>
  <si>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</si>
  <si>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</si>
  <si>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</si>
  <si>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</si>
  <si>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</si>
  <si>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</si>
  <si>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</si>
  <si>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</si>
  <si>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</si>
  <si>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</si>
  <si>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</si>
  <si>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</si>
  <si>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</si>
  <si>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</si>
  <si>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</si>
  <si>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</si>
  <si>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</si>
  <si>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</si>
  <si>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</si>
  <si>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</si>
  <si>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</si>
  <si>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</si>
  <si>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</si>
  <si>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</si>
  <si>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</si>
  <si>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</si>
  <si>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</si>
  <si>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</si>
  <si>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</si>
  <si>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</si>
  <si>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</si>
  <si>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</si>
  <si>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</si>
  <si>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</si>
  <si>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</si>
  <si>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</si>
  <si>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</si>
  <si>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</si>
  <si>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</si>
  <si>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</si>
  <si>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</si>
  <si>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</si>
  <si>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</si>
  <si>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</si>
  <si>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</si>
  <si>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</si>
  <si>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</si>
  <si>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</si>
  <si>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</si>
  <si>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</si>
  <si>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</si>
  <si>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</si>
  <si>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</si>
  <si>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</si>
  <si>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</si>
  <si>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</si>
  <si>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</si>
  <si>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</si>
  <si>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</si>
  <si>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</si>
  <si>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</si>
  <si>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</si>
  <si>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</si>
  <si>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</si>
  <si>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</si>
  <si>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</si>
  <si>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</si>
  <si>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</si>
  <si>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</si>
  <si>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</si>
  <si>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</si>
  <si>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</si>
  <si>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</si>
  <si>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</si>
  <si>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</si>
  <si>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</si>
  <si>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</si>
  <si>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</si>
  <si>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</si>
  <si>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</si>
  <si>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</si>
  <si>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</si>
  <si>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</si>
  <si>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</si>
  <si>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</si>
  <si>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</si>
  <si>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</si>
  <si>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</si>
  <si>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</si>
  <si>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</si>
  <si>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</si>
  <si>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</si>
  <si>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</si>
  <si>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</si>
  <si>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</si>
  <si>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</si>
  <si>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</si>
  <si>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</si>
  <si>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</si>
  <si>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</si>
  <si>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</si>
  <si>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</si>
  <si>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</si>
  <si>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</si>
  <si>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</si>
  <si>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</si>
  <si>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</si>
  <si>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</si>
  <si>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</si>
  <si>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</si>
  <si>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</si>
  <si>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</si>
  <si>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</si>
  <si>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</si>
  <si>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</si>
  <si>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</si>
  <si>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</si>
  <si>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</si>
  <si>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</si>
  <si>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</si>
  <si>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</si>
  <si>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</si>
  <si>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</si>
  <si>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</si>
  <si>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</si>
  <si>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</si>
  <si>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</si>
  <si>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</si>
  <si>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</si>
  <si>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</si>
  <si>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</si>
  <si>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</si>
  <si>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</si>
  <si>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</si>
  <si>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</si>
  <si>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</si>
  <si>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</si>
  <si>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</si>
  <si>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</si>
  <si>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</si>
  <si>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</si>
  <si>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</si>
  <si>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</si>
  <si>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</si>
  <si>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</si>
  <si>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</si>
  <si>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</si>
  <si>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</si>
  <si>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</si>
  <si>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</si>
  <si>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</si>
  <si>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</si>
  <si>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</si>
  <si>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</si>
  <si>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</si>
  <si>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</si>
  <si>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</si>
  <si>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</si>
  <si>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</si>
  <si>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</si>
  <si>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</si>
  <si>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</si>
  <si>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</si>
  <si>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</si>
  <si>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</si>
  <si>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</si>
  <si>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</si>
  <si>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</si>
  <si>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</si>
  <si>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</si>
  <si>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</si>
  <si>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</si>
  <si>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</si>
  <si>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</si>
  <si>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</si>
  <si>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</si>
  <si>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</si>
  <si>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</si>
  <si>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</si>
  <si>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</si>
  <si>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</si>
  <si>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</si>
  <si>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</si>
  <si>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</si>
  <si>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</si>
  <si>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</si>
  <si>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</si>
  <si>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</si>
  <si>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</si>
  <si>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</si>
  <si>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</si>
  <si>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</si>
  <si>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</si>
  <si>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</si>
  <si>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</si>
  <si>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</si>
  <si>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</si>
  <si>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</si>
  <si>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</si>
  <si>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</si>
  <si>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</si>
  <si>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</si>
  <si>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</si>
  <si>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</si>
  <si>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</si>
  <si>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</si>
  <si>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</si>
  <si>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</si>
  <si>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</si>
  <si>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</si>
  <si>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</si>
  <si>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</si>
  <si>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</si>
  <si>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</si>
  <si>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</si>
  <si>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</si>
  <si>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</si>
  <si>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</si>
  <si>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</si>
  <si>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</si>
  <si>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</si>
  <si>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</si>
  <si>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</si>
  <si>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</si>
  <si>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</si>
  <si>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</si>
  <si>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</si>
  <si>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</si>
  <si>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</si>
  <si>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</si>
  <si>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</si>
  <si>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</si>
  <si>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</si>
  <si>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</si>
  <si>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</si>
  <si>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</si>
  <si>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</si>
  <si>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</si>
  <si>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</si>
  <si>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</si>
  <si>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</si>
  <si>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</si>
  <si>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</si>
  <si>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</si>
  <si>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</si>
  <si>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</si>
  <si>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</si>
  <si>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</si>
  <si>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</si>
  <si>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</si>
  <si>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</si>
  <si>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</si>
  <si>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</si>
  <si>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</si>
  <si>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</si>
  <si>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</si>
  <si>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</si>
  <si>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</si>
  <si>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</si>
  <si>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</si>
  <si>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</si>
  <si>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</si>
  <si>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</si>
  <si>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</si>
  <si>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</si>
  <si>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</si>
  <si>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</si>
  <si>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</si>
  <si>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</si>
  <si>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</si>
  <si>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</si>
  <si>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</si>
  <si>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</si>
  <si>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</si>
  <si>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</si>
  <si>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</si>
  <si>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</si>
  <si>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</si>
  <si>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</si>
  <si>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</si>
  <si>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</si>
  <si>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</si>
  <si>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</si>
  <si>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</si>
  <si>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</si>
  <si>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</si>
  <si>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</si>
  <si>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</si>
  <si>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</si>
  <si>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</si>
  <si>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</si>
  <si>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</si>
  <si>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</si>
  <si>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</si>
  <si>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</si>
  <si>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</si>
  <si>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</si>
  <si>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</si>
  <si>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</si>
  <si>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</si>
  <si>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</si>
  <si>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</si>
  <si>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</si>
  <si>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</si>
  <si>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</si>
  <si>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</si>
  <si>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</si>
  <si>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</si>
  <si>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</si>
  <si>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</si>
  <si>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</si>
  <si>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</si>
  <si>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</si>
  <si>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</si>
  <si>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</si>
  <si>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</si>
  <si>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</si>
  <si>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</si>
  <si>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</si>
  <si>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</si>
  <si>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</si>
  <si>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</si>
  <si>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</si>
  <si>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</si>
  <si>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</si>
  <si>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</si>
  <si>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</si>
  <si>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</si>
  <si>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</si>
  <si>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</si>
  <si>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</si>
  <si>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</si>
  <si>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</si>
  <si>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</si>
  <si>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</si>
  <si>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</si>
  <si>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</si>
  <si>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</si>
  <si>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</si>
  <si>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</si>
  <si>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</si>
  <si>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</si>
  <si>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</si>
  <si>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</si>
  <si>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</si>
  <si>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</si>
  <si>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</si>
  <si>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</si>
  <si>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</si>
  <si>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</si>
  <si>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</si>
  <si>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</si>
  <si>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</si>
  <si>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</si>
  <si>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</si>
  <si>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</si>
  <si>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</si>
  <si>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</si>
  <si>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</si>
  <si>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</si>
  <si>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</si>
  <si>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</si>
  <si>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</si>
  <si>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</si>
  <si>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</si>
  <si>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</si>
  <si>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</si>
  <si>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</si>
  <si>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</si>
  <si>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</si>
  <si>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</si>
  <si>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</si>
  <si>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</si>
  <si>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</si>
  <si>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</si>
  <si>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</si>
  <si>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</si>
  <si>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</si>
  <si>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</si>
  <si>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</si>
  <si>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</si>
  <si>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</si>
  <si>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</si>
  <si>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</si>
  <si>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</si>
  <si>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</si>
  <si>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</si>
  <si>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</si>
  <si>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</si>
  <si>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</si>
  <si>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</si>
  <si>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</si>
  <si>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</si>
  <si>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</si>
  <si>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</si>
  <si>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</si>
  <si>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</si>
  <si>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</si>
  <si>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</si>
  <si>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</si>
  <si>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</si>
  <si>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</si>
  <si>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</si>
  <si>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</si>
  <si>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</si>
  <si>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</si>
  <si>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</si>
  <si>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</si>
  <si>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</si>
  <si>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</si>
  <si>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</si>
  <si>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</si>
  <si>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</si>
  <si>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</si>
  <si>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</si>
  <si>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</si>
  <si>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</si>
  <si>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</si>
  <si>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</si>
  <si>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</si>
  <si>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</si>
  <si>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</si>
  <si>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</si>
  <si>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</si>
  <si>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</si>
  <si>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</si>
  <si>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</si>
  <si>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</si>
  <si>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</si>
  <si>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</si>
  <si>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</si>
  <si>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</si>
  <si>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</si>
  <si>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</si>
  <si>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</si>
  <si>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</si>
  <si>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</si>
  <si>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</si>
  <si>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</si>
  <si>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</si>
  <si>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</si>
  <si>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</si>
  <si>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</si>
  <si>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</si>
  <si>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</si>
  <si>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</si>
  <si>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</si>
  <si>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</si>
  <si>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</si>
  <si>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</si>
  <si>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</si>
  <si>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</si>
  <si>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</si>
  <si>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</si>
  <si>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</si>
  <si>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</si>
  <si>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</si>
  <si>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</si>
  <si>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</si>
  <si>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</si>
  <si>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</si>
  <si>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</si>
  <si>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</si>
  <si>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</si>
  <si>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</si>
  <si>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</si>
  <si>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</si>
  <si>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</si>
  <si>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</si>
  <si>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</si>
  <si>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</si>
  <si>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</si>
  <si>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</si>
  <si>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</si>
  <si>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</si>
  <si>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</si>
  <si>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</si>
  <si>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</si>
  <si>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</si>
  <si>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</si>
  <si>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</si>
  <si>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</si>
  <si>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</si>
  <si>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</si>
  <si>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</si>
  <si>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</si>
  <si>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</si>
  <si>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</si>
  <si>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</si>
  <si>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</si>
  <si>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</si>
  <si>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</si>
  <si>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</si>
  <si>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</si>
  <si>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</si>
  <si>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</si>
  <si>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</si>
  <si>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</si>
  <si>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</si>
  <si>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</si>
  <si>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</si>
  <si>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</si>
  <si>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</si>
  <si>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</si>
  <si>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</si>
  <si>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</si>
  <si>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</si>
  <si>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</si>
  <si>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</si>
  <si>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</si>
  <si>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</si>
  <si>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</si>
  <si>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</si>
  <si>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</si>
  <si>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</si>
  <si>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</si>
  <si>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</si>
  <si>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</si>
  <si>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</si>
  <si>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</si>
  <si>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</si>
  <si>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</si>
  <si>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</si>
  <si>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</si>
  <si>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</si>
  <si>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</si>
  <si>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</si>
  <si>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</si>
  <si>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</si>
  <si>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</si>
  <si>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</si>
  <si>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</si>
  <si>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</si>
  <si>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</si>
  <si>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</si>
  <si>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</si>
  <si>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</si>
  <si>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</si>
  <si>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</si>
  <si>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</si>
  <si>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</si>
  <si>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</si>
  <si>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</si>
  <si>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</si>
  <si>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</si>
  <si>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</si>
  <si>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</si>
  <si>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</si>
  <si>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</si>
  <si>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</si>
  <si>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</si>
  <si>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</si>
  <si>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</si>
  <si>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</si>
  <si>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</si>
  <si>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</si>
  <si>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</si>
  <si>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</si>
  <si>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</si>
  <si>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</si>
  <si>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</si>
  <si>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</si>
  <si>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</si>
  <si>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</si>
  <si>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</si>
  <si>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</si>
  <si>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</si>
  <si>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</si>
  <si>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</si>
  <si>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</si>
  <si>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</si>
  <si>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</si>
  <si>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</si>
  <si>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</si>
  <si>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</si>
  <si>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</si>
  <si>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</si>
  <si>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</si>
  <si>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</si>
  <si>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</si>
  <si>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</si>
  <si>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</si>
  <si>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</si>
  <si>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</si>
  <si>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</si>
  <si>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</si>
  <si>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</si>
  <si>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</si>
  <si>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</si>
  <si>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</si>
  <si>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</si>
  <si>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</si>
  <si>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</si>
  <si>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</si>
  <si>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</si>
  <si>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</si>
  <si>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</si>
  <si>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</si>
  <si>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</si>
  <si>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</si>
  <si>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</si>
  <si>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</si>
  <si>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</si>
  <si>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</si>
  <si>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</si>
  <si>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</si>
  <si>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</si>
  <si>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</si>
  <si>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</si>
  <si>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</si>
  <si>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</si>
  <si>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</si>
  <si>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</si>
  <si>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</si>
  <si>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</si>
  <si>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</si>
  <si>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</si>
  <si>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</si>
  <si>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</si>
  <si>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</si>
  <si>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</si>
  <si>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</si>
  <si>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</si>
  <si>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</si>
  <si>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</si>
  <si>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</si>
  <si>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</si>
  <si>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</si>
  <si>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</si>
  <si>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</si>
  <si>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</si>
  <si>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</si>
  <si>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</si>
  <si>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</si>
  <si>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</si>
  <si>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</si>
  <si>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</si>
  <si>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</si>
  <si>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</si>
  <si>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</si>
  <si>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</si>
  <si>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</si>
  <si>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</si>
  <si>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</si>
  <si>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</si>
  <si>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</si>
  <si>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</si>
  <si>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</si>
  <si>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</si>
  <si>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</si>
  <si>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</si>
  <si>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</si>
  <si>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</si>
  <si>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</si>
  <si>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</si>
  <si>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</si>
  <si>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</si>
  <si>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</si>
  <si>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</si>
  <si>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</si>
  <si>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</si>
  <si>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</si>
  <si>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</si>
  <si>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</si>
  <si>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</si>
  <si>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</si>
  <si>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</si>
  <si>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</si>
  <si>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</si>
  <si>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</si>
  <si>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</si>
  <si>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</si>
  <si>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</si>
  <si>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</si>
  <si>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</si>
  <si>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</si>
  <si>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</si>
  <si>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</si>
  <si>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</si>
  <si>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</si>
  <si>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</si>
  <si>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</si>
  <si>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</si>
  <si>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</si>
  <si>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</si>
  <si>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</si>
  <si>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</si>
  <si>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</si>
  <si>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</si>
  <si>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</si>
  <si>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</si>
  <si>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</si>
  <si>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</si>
  <si>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</si>
  <si>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</si>
  <si>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</si>
  <si>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</si>
  <si>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</si>
  <si>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</si>
  <si>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</si>
  <si>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</si>
  <si>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</si>
  <si>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</si>
  <si>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</si>
  <si>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</si>
  <si>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</si>
  <si>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</si>
  <si>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</si>
  <si>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</si>
  <si>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</si>
  <si>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</si>
  <si>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</si>
  <si>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</si>
  <si>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</si>
  <si>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</si>
  <si>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</si>
  <si>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</si>
  <si>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</si>
  <si>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</si>
  <si>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</si>
  <si>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</si>
  <si>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</si>
  <si>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</si>
  <si>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</si>
  <si>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</si>
  <si>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</si>
  <si>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</si>
  <si>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</si>
  <si>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</si>
  <si>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</si>
  <si>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</si>
  <si>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</si>
  <si>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</si>
  <si>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</si>
  <si>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</si>
  <si>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</si>
  <si>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</si>
  <si>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</si>
  <si>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</si>
  <si>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</si>
  <si>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</si>
  <si>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</si>
  <si>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</si>
  <si>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</si>
  <si>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</si>
  <si>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</si>
  <si>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</si>
  <si>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</si>
  <si>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</si>
  <si>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</si>
  <si>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</si>
  <si>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</si>
  <si>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</si>
  <si>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</si>
  <si>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</si>
  <si>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</si>
  <si>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</si>
  <si>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</si>
  <si>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</si>
  <si>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</si>
  <si>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</si>
  <si>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</si>
  <si>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</si>
  <si>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</si>
  <si>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</si>
  <si>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</si>
  <si>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</si>
  <si>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</si>
  <si>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</si>
  <si>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</si>
  <si>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</si>
  <si>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</si>
  <si>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</si>
  <si>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</si>
  <si>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</si>
  <si>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</si>
  <si>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</si>
  <si>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</si>
  <si>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</si>
  <si>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</si>
  <si>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</si>
  <si>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</si>
  <si>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</si>
  <si>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</si>
  <si>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</si>
  <si>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</si>
  <si>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</si>
  <si>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</si>
  <si>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</si>
  <si>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</si>
  <si>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</si>
  <si>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</si>
  <si>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</si>
  <si>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</si>
  <si>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</si>
  <si>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</si>
  <si>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</si>
  <si>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</si>
  <si>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</si>
  <si>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</si>
  <si>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</si>
  <si>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</si>
  <si>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</si>
  <si>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</si>
  <si>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</si>
  <si>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</si>
  <si>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</si>
  <si>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</si>
  <si>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</si>
  <si>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</si>
  <si>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</si>
  <si>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</si>
  <si>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</si>
  <si>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</si>
  <si>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</si>
  <si>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</si>
  <si>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</si>
  <si>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</si>
  <si>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</si>
  <si>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</si>
  <si>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</si>
  <si>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</si>
  <si>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</si>
  <si>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</si>
  <si>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</si>
  <si>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</si>
  <si>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</si>
  <si>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</si>
  <si>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</si>
  <si>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</si>
  <si>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</si>
  <si>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</si>
  <si>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</si>
  <si>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</si>
  <si>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</si>
  <si>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</si>
  <si>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</si>
  <si>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</si>
  <si>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</si>
  <si>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</si>
  <si>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</si>
  <si>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</si>
  <si>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</si>
  <si>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</si>
  <si>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</si>
  <si>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</si>
  <si>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</si>
  <si>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</si>
  <si>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</si>
  <si>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</si>
  <si>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</si>
  <si>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</si>
  <si>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</si>
  <si>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</si>
  <si>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</si>
  <si>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</si>
  <si>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</si>
  <si>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</si>
  <si>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</si>
  <si>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</si>
  <si>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</si>
  <si>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</si>
  <si>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</si>
  <si>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</si>
  <si>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</si>
  <si>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</si>
  <si>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</si>
  <si>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</si>
  <si>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</si>
  <si>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</si>
  <si>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</si>
  <si>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</si>
  <si>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</si>
  <si>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</si>
  <si>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</si>
  <si>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</si>
  <si>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</si>
  <si>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</si>
  <si>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</si>
  <si>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</si>
  <si>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</si>
  <si>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</si>
  <si>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</si>
  <si>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</si>
  <si>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</si>
  <si>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</si>
  <si>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</si>
  <si>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</si>
  <si>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</si>
  <si>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</si>
  <si>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</si>
  <si>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</si>
  <si>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</si>
  <si>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</si>
  <si>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</si>
  <si>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</si>
  <si>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</si>
  <si>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</si>
  <si>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</si>
  <si>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</si>
  <si>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</si>
  <si>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</si>
  <si>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</si>
  <si>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</si>
  <si>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</si>
  <si>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</si>
  <si>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</si>
  <si>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</si>
  <si>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</si>
  <si>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</si>
  <si>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</si>
  <si>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</si>
  <si>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</si>
  <si>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</si>
  <si>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</si>
  <si>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</si>
  <si>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</si>
  <si>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</si>
  <si>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</si>
  <si>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</si>
  <si>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</si>
  <si>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</si>
  <si>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</si>
  <si>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</si>
  <si>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</si>
  <si>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</si>
  <si>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</si>
  <si>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</si>
  <si>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</si>
  <si>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</si>
  <si>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</si>
  <si>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</si>
  <si>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</si>
  <si>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</si>
  <si>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</si>
  <si>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</si>
  <si>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</si>
  <si>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</si>
  <si>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</si>
  <si>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</si>
  <si>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</si>
  <si>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</si>
  <si>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</si>
  <si>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</si>
  <si>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</si>
  <si>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</si>
  <si>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</si>
  <si>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</si>
  <si>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</si>
  <si>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</si>
  <si>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</si>
  <si>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</si>
  <si>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</si>
  <si>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</si>
  <si>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</si>
  <si>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</si>
  <si>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</si>
  <si>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</si>
  <si>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</si>
  <si>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</si>
  <si>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</si>
  <si>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</si>
  <si>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</si>
  <si>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</si>
  <si>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</si>
  <si>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</si>
  <si>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</si>
  <si>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</si>
  <si>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</si>
  <si>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</si>
  <si>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</si>
  <si>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</si>
  <si>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</si>
  <si>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</si>
  <si>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</si>
  <si>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</si>
  <si>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</si>
  <si>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</si>
  <si>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</si>
  <si>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</si>
  <si>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</si>
  <si>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</si>
  <si>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</si>
  <si>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</si>
  <si>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</si>
  <si>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</si>
  <si>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</si>
  <si>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</si>
  <si>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</si>
  <si>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</si>
  <si>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</si>
  <si>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</si>
  <si>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</si>
  <si>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</si>
  <si>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</si>
  <si>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</si>
  <si>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</si>
  <si>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</si>
  <si>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</si>
  <si>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</si>
  <si>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</si>
  <si>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</si>
  <si>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</si>
  <si>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</si>
  <si>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</si>
  <si>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</si>
  <si>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</si>
  <si>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</si>
  <si>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</si>
  <si>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</si>
  <si>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</si>
  <si>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</si>
  <si>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</si>
  <si>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</si>
  <si>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</si>
  <si>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</si>
  <si>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</si>
  <si>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</si>
  <si>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</si>
  <si>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</si>
  <si>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</si>
  <si>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</si>
  <si>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</si>
  <si>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</si>
  <si>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</si>
  <si>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</si>
  <si>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</si>
  <si>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</si>
  <si>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</si>
  <si>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</si>
  <si>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</si>
  <si>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</si>
  <si>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</si>
  <si>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</si>
  <si>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</si>
  <si>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</si>
  <si>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</si>
  <si>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</si>
  <si>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</si>
  <si>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</si>
  <si>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</si>
  <si>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</si>
  <si>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</si>
  <si>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</si>
  <si>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</si>
  <si>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</si>
  <si>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</si>
  <si>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</si>
  <si>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</si>
  <si>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</si>
  <si>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</si>
  <si>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</si>
  <si>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</si>
  <si>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</si>
  <si>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</si>
  <si>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</si>
  <si>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</si>
  <si>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</si>
  <si>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</si>
  <si>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</si>
  <si>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</si>
  <si>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</si>
  <si>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</si>
  <si>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</si>
  <si>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</si>
  <si>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</si>
  <si>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</si>
  <si>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</si>
  <si>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</si>
  <si>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</si>
  <si>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</si>
  <si>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</si>
  <si>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</si>
  <si>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</si>
  <si>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</si>
  <si>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</si>
  <si>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</si>
  <si>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</si>
  <si>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</si>
  <si>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</si>
  <si>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</si>
  <si>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</si>
  <si>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</si>
  <si>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</si>
  <si>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</si>
  <si>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</si>
  <si>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</si>
  <si>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</si>
  <si>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</si>
  <si>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</si>
  <si>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</si>
  <si>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</si>
  <si>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</si>
  <si>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</si>
  <si>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</si>
  <si>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</si>
  <si>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</si>
  <si>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</si>
  <si>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</si>
  <si>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</si>
  <si>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</si>
  <si>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</si>
  <si>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</si>
  <si>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</si>
  <si>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</si>
  <si>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</si>
  <si>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</si>
  <si>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</si>
  <si>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</si>
  <si>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</si>
  <si>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</si>
  <si>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</si>
  <si>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</si>
  <si>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</si>
  <si>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</si>
  <si>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</si>
  <si>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</si>
  <si>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</si>
  <si>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</si>
  <si>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</si>
  <si>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</si>
  <si>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</si>
  <si>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</si>
  <si>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</si>
  <si>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</si>
  <si>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</si>
  <si>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</si>
  <si>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</si>
  <si>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</si>
  <si>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</si>
  <si>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</si>
  <si>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</si>
  <si>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</si>
  <si>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</si>
  <si>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</si>
  <si>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</si>
  <si>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</si>
  <si>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</si>
  <si>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</si>
  <si>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</si>
  <si>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</si>
  <si>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</si>
  <si>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</si>
  <si>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</si>
  <si>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</si>
  <si>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</si>
  <si>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</si>
  <si>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</si>
  <si>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</si>
  <si>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</si>
  <si>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</si>
  <si>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</si>
  <si>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</si>
  <si>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</si>
  <si>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</si>
  <si>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</si>
  <si>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</si>
  <si>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</si>
  <si>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</si>
  <si>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</si>
  <si>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</si>
  <si>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</si>
  <si>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</si>
  <si>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</si>
  <si>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</si>
  <si>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</si>
  <si>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</si>
  <si>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</si>
  <si>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</si>
  <si>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</si>
  <si>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</si>
  <si>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</si>
  <si>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</si>
  <si>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</si>
  <si>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</si>
  <si>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</si>
  <si>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</si>
  <si>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</si>
  <si>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</si>
  <si>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</si>
  <si>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</si>
  <si>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</si>
  <si>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</si>
  <si>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</si>
  <si>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</si>
  <si>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</si>
  <si>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</si>
  <si>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</si>
  <si>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</si>
  <si>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</si>
  <si>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</si>
  <si>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</si>
  <si>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</si>
  <si>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</si>
  <si>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</si>
  <si>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</si>
  <si>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</si>
  <si>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</si>
  <si>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</si>
  <si>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</si>
  <si>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</si>
  <si>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</si>
  <si>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</si>
  <si>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</si>
  <si>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</si>
  <si>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</si>
  <si>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</si>
  <si>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</si>
  <si>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</si>
  <si>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</si>
  <si>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</si>
  <si>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</si>
  <si>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</si>
  <si>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</si>
  <si>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</si>
  <si>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</si>
  <si>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</si>
  <si>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</si>
  <si>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</si>
  <si>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</si>
  <si>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</si>
  <si>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</si>
  <si>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</si>
  <si>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</si>
  <si>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</si>
  <si>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</si>
  <si>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</si>
  <si>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</si>
  <si>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</si>
  <si>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</si>
  <si>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</si>
  <si>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</si>
  <si>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</si>
  <si>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</si>
  <si>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</si>
  <si>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</si>
  <si>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</si>
  <si>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</si>
  <si>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</si>
  <si>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</si>
  <si>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</si>
  <si>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</si>
  <si>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</si>
  <si>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</si>
  <si>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</si>
  <si>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</si>
  <si>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</si>
  <si>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</si>
  <si>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</si>
  <si>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</si>
  <si>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</si>
  <si>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</si>
  <si>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</si>
  <si>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</si>
  <si>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</si>
  <si>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</si>
  <si>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</si>
  <si>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</si>
  <si>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</si>
  <si>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</si>
  <si>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</si>
  <si>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</si>
  <si>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</si>
  <si>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</si>
  <si>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</si>
  <si>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</si>
  <si>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</si>
  <si>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</si>
  <si>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</si>
  <si>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</si>
  <si>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</si>
  <si>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</si>
  <si>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</si>
  <si>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</si>
  <si>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</si>
  <si>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</si>
  <si>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</si>
  <si>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</si>
  <si>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</si>
  <si>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</si>
  <si>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</si>
  <si>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</si>
  <si>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</si>
  <si>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</si>
  <si>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</si>
  <si>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</si>
  <si>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</si>
  <si>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</si>
  <si>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</si>
  <si>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</si>
  <si>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</si>
  <si>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</si>
  <si>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</si>
  <si>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</si>
  <si>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</si>
  <si>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</si>
  <si>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</si>
  <si>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</si>
  <si>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</si>
  <si>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</si>
  <si>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</si>
  <si>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</si>
  <si>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</si>
  <si>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</si>
  <si>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</si>
  <si>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</si>
  <si>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</si>
  <si>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</si>
  <si>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</si>
  <si>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</si>
  <si>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</si>
  <si>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</si>
  <si>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</si>
  <si>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</si>
  <si>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</si>
  <si>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</si>
  <si>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</si>
  <si>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</si>
  <si>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</si>
  <si>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</si>
  <si>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</si>
  <si>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</si>
  <si>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</si>
  <si>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</si>
  <si>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</si>
  <si>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</si>
  <si>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</si>
  <si>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</si>
  <si>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</si>
  <si>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</si>
  <si>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</si>
  <si>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</si>
  <si>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</si>
  <si>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</si>
  <si>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</si>
  <si>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</si>
  <si>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</si>
  <si>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</si>
  <si>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</si>
  <si>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</si>
  <si>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</si>
  <si>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</si>
  <si>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</si>
  <si>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</si>
  <si>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</si>
  <si>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</si>
  <si>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</si>
  <si>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</si>
  <si>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</si>
  <si>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</si>
  <si>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</si>
  <si>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</si>
  <si>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</si>
  <si>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</si>
  <si>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</si>
  <si>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</si>
  <si>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</si>
  <si>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</si>
  <si>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</si>
  <si>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</si>
  <si>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</si>
  <si>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</si>
  <si>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</si>
  <si>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</si>
  <si>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</si>
  <si>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</si>
  <si>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</si>
  <si>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</si>
  <si>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</si>
  <si>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</si>
  <si>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</si>
  <si>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</si>
  <si>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</si>
  <si>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</si>
  <si>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</si>
  <si>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</si>
  <si>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</si>
  <si>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</si>
  <si>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</si>
  <si>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</si>
  <si>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</si>
  <si>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</si>
  <si>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</si>
  <si>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</si>
  <si>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</si>
  <si>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</si>
  <si>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</si>
  <si>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</si>
  <si>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</si>
  <si>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</si>
  <si>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</si>
  <si>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</si>
  <si>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</si>
  <si>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</si>
  <si>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</si>
  <si>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</si>
  <si>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</si>
  <si>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</si>
  <si>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</si>
  <si>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</si>
  <si>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</si>
  <si>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</si>
  <si>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</si>
  <si>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</si>
  <si>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</si>
  <si>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</si>
  <si>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</si>
  <si>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</si>
  <si>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</si>
  <si>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</si>
  <si>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</si>
  <si>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</si>
  <si>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</si>
  <si>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</si>
  <si>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</si>
  <si>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</si>
  <si>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</si>
  <si>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</si>
  <si>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</si>
  <si>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</si>
  <si>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</si>
  <si>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</si>
  <si>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</si>
  <si>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</si>
  <si>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</si>
  <si>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</si>
  <si>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</si>
  <si>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</si>
  <si>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</si>
  <si>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</si>
  <si>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</si>
  <si>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</si>
  <si>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</si>
  <si>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</si>
  <si>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</si>
  <si>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</si>
  <si>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</si>
  <si>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</si>
  <si>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</si>
  <si>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</si>
  <si>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</si>
  <si>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</si>
  <si>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</si>
  <si>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</si>
  <si>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</si>
  <si>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</si>
  <si>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</si>
  <si>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</si>
  <si>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</si>
  <si>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</si>
  <si>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</si>
  <si>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</si>
  <si>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</si>
  <si>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</si>
  <si>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</si>
  <si>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</si>
  <si>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</si>
  <si>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</si>
  <si>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</si>
  <si>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</si>
  <si>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</si>
  <si>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</si>
  <si>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</si>
  <si>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</si>
  <si>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</si>
  <si>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</si>
  <si>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</si>
  <si>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</si>
  <si>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</si>
  <si>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</si>
  <si>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</si>
  <si>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</si>
  <si>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</si>
  <si>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</si>
  <si>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</si>
  <si>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</si>
  <si>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</si>
  <si>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</si>
  <si>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</si>
  <si>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</si>
  <si>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</si>
  <si>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</si>
  <si>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</si>
  <si>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</si>
  <si>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</si>
  <si>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</si>
  <si>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</si>
  <si>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</si>
  <si>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</si>
  <si>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</si>
  <si>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</si>
  <si>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</si>
  <si>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</si>
  <si>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</si>
  <si>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</si>
  <si>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</si>
  <si>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</si>
  <si>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</si>
  <si>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</si>
  <si>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</si>
  <si>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</si>
  <si>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</si>
  <si>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</si>
  <si>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</si>
  <si>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</si>
  <si>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</si>
  <si>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</si>
  <si>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</si>
  <si>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</si>
  <si>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</si>
  <si>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</si>
  <si>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</si>
  <si>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</si>
  <si>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</si>
  <si>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</si>
  <si>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</si>
  <si>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</si>
  <si>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</si>
  <si>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</si>
  <si>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</si>
  <si>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</si>
  <si>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</si>
  <si>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</si>
  <si>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</si>
  <si>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</si>
  <si>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</si>
  <si>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</si>
  <si>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</si>
  <si>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</si>
  <si>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</si>
  <si>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</si>
  <si>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</si>
  <si>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</si>
  <si>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</si>
  <si>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</si>
  <si>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</si>
  <si>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</si>
  <si>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</si>
  <si>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</si>
  <si>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</si>
  <si>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</si>
  <si>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</si>
  <si>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</si>
  <si>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</si>
  <si>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</si>
  <si>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</si>
  <si>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</si>
  <si>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</si>
  <si>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</si>
  <si>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</si>
  <si>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</si>
  <si>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</si>
  <si>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</si>
  <si>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</si>
  <si>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</si>
  <si>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</si>
  <si>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</si>
  <si>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</si>
  <si>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</si>
  <si>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</si>
  <si>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</si>
  <si>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</si>
  <si>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</si>
  <si>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</si>
  <si>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</si>
  <si>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</si>
  <si>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</si>
  <si>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</si>
  <si>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</si>
  <si>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</si>
  <si>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</si>
  <si>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</si>
  <si>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</si>
  <si>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</si>
  <si>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</si>
  <si>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</si>
  <si>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</si>
  <si>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</si>
  <si>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</si>
  <si>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</si>
  <si>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</si>
  <si>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</si>
  <si>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</si>
  <si>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</si>
  <si>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</si>
  <si>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</si>
  <si>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</si>
  <si>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</si>
  <si>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</si>
  <si>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</si>
  <si>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</si>
  <si>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</si>
  <si>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</si>
  <si>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</si>
  <si>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</si>
  <si>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</si>
  <si>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</si>
  <si>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</si>
  <si>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</si>
  <si>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</si>
  <si>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</si>
  <si>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</si>
  <si>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</si>
  <si>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</si>
  <si>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</si>
  <si>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</si>
  <si>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</si>
  <si>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</si>
  <si>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</si>
  <si>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</si>
  <si>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</si>
  <si>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</si>
  <si>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</si>
  <si>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</si>
  <si>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</si>
  <si>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</si>
  <si>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</si>
  <si>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</si>
  <si>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</si>
  <si>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</si>
  <si>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</si>
  <si>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</si>
  <si>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</si>
  <si>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</si>
  <si>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</si>
  <si>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</si>
  <si>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</si>
  <si>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</si>
  <si>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</si>
  <si>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</si>
  <si>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</si>
  <si>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</si>
  <si>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</si>
  <si>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</si>
  <si>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</si>
  <si>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</si>
  <si>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</si>
  <si>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</si>
  <si>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</si>
  <si>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</si>
  <si>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</si>
  <si>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</si>
  <si>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</si>
  <si>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</si>
  <si>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</si>
  <si>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</si>
  <si>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</si>
  <si>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</si>
  <si>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</si>
  <si>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</si>
  <si>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</si>
  <si>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</si>
  <si>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</si>
  <si>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</si>
  <si>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</si>
  <si>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</si>
  <si>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</si>
  <si>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</si>
  <si>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</si>
  <si>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</si>
  <si>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</si>
  <si>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</si>
  <si>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</si>
  <si>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</si>
  <si>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</si>
  <si>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</si>
  <si>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</si>
  <si>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</si>
  <si>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</si>
  <si>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</si>
  <si>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</si>
  <si>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</si>
  <si>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</si>
  <si>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</si>
  <si>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</si>
  <si>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</si>
  <si>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</si>
  <si>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</si>
  <si>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</si>
  <si>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</si>
  <si>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</si>
  <si>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</si>
  <si>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</si>
  <si>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</si>
  <si>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</si>
  <si>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</si>
  <si>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</si>
  <si>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</si>
  <si>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</si>
  <si>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</si>
  <si>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</si>
  <si>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</si>
  <si>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</si>
  <si>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</si>
  <si>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</si>
  <si>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</si>
  <si>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</si>
  <si>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</si>
  <si>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</si>
  <si>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</si>
  <si>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</si>
  <si>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</si>
  <si>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</si>
  <si>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</si>
  <si>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</si>
  <si>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</si>
  <si>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</si>
  <si>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</si>
  <si>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</si>
  <si>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</si>
  <si>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</si>
  <si>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</si>
  <si>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</si>
  <si>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</si>
  <si>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</si>
  <si>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</si>
  <si>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</si>
  <si>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</si>
  <si>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</si>
  <si>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</si>
  <si>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</si>
  <si>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</si>
  <si>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</si>
  <si>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</si>
  <si>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</si>
  <si>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</si>
  <si>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</si>
  <si>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</si>
  <si>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</si>
  <si>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</si>
  <si>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</si>
  <si>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</si>
  <si>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</si>
  <si>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</si>
  <si>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</si>
  <si>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</si>
  <si>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</si>
  <si>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</si>
  <si>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</si>
  <si>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</si>
  <si>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</si>
  <si>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</si>
  <si>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</si>
  <si>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</si>
  <si>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</si>
  <si>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</si>
  <si>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</si>
  <si>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</si>
  <si>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</si>
  <si>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</si>
  <si>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</si>
  <si>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</si>
  <si>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</si>
  <si>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</si>
  <si>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</si>
  <si>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</si>
  <si>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</si>
  <si>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</si>
  <si>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</si>
  <si>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</si>
  <si>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</si>
  <si>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</si>
  <si>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</si>
  <si>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</si>
  <si>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</si>
  <si>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</si>
  <si>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</si>
  <si>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</si>
  <si>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</si>
  <si>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</si>
  <si>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</si>
  <si>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</si>
  <si>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</si>
  <si>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</si>
  <si>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</si>
  <si>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</si>
  <si>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</si>
  <si>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</si>
  <si>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Defense Passed Through Illinois State Board of Education:</t>
  </si>
  <si>
    <t>19-4299-00</t>
  </si>
  <si>
    <t>N/A</t>
  </si>
  <si>
    <t>U.S. Department of Agriculture Passed Through Illinois State Board of Education:</t>
  </si>
  <si>
    <t>18-4210-00</t>
  </si>
  <si>
    <t>19-4210-00</t>
  </si>
  <si>
    <t>** - Project end date is 9/30</t>
  </si>
  <si>
    <t>Total Child Nutrition Cluster</t>
  </si>
  <si>
    <t>Subtotal - CFDA "10"</t>
  </si>
  <si>
    <t>U.S. Department of Education Passed Through Illinois State Board of Education:</t>
  </si>
  <si>
    <t>19-4300-00</t>
  </si>
  <si>
    <t>19-4400-00</t>
  </si>
  <si>
    <t xml:space="preserve">       Title IVA - Student Support &amp; Academic Enrich</t>
  </si>
  <si>
    <t xml:space="preserve">       Title II - Teacher Quality</t>
  </si>
  <si>
    <t xml:space="preserve">       Title I - Low Income</t>
  </si>
  <si>
    <t>19-4932-00</t>
  </si>
  <si>
    <t>18-4625-XC</t>
  </si>
  <si>
    <t>*** - Project end date is 8/31</t>
  </si>
  <si>
    <t>U.S. Department of Education Passed Through Special Education District of McHenry County:</t>
  </si>
  <si>
    <t>19-4620-00</t>
  </si>
  <si>
    <t>19-4600-00</t>
  </si>
  <si>
    <t>Total Special Education Cluster</t>
  </si>
  <si>
    <t>U.S. Department of Education Passed Through McHenry County Co-op for Employment Ed:</t>
  </si>
  <si>
    <t xml:space="preserve">       CTE - Perkins</t>
  </si>
  <si>
    <t>19-4799-00</t>
  </si>
  <si>
    <t xml:space="preserve">       Subtotal - CFDA "84"</t>
  </si>
  <si>
    <t>U.S. Department of Health &amp; Human Services Passed Through Illinois Department of</t>
  </si>
  <si>
    <t>Healthcare and Family Services:</t>
  </si>
  <si>
    <t xml:space="preserve">       Medicaid Matching Funds - Admin Outreach</t>
  </si>
  <si>
    <t>19-4991-00</t>
  </si>
  <si>
    <t xml:space="preserve">       Subtotal - CFDA "94"</t>
  </si>
  <si>
    <t>Total Federal Financial Assestance</t>
  </si>
  <si>
    <t>Medicaid Admin Assessment</t>
  </si>
  <si>
    <t xml:space="preserve">       Special Education - Grant to State (M)</t>
  </si>
  <si>
    <t xml:space="preserve">       Special Education - Preschool Flow-
      Through (M)</t>
  </si>
  <si>
    <t xml:space="preserve">        Food Donation Program (M)</t>
  </si>
  <si>
    <t xml:space="preserve">       Food Donation Program (M)</t>
  </si>
  <si>
    <t xml:space="preserve">        National School Lunch Program (M) **</t>
  </si>
  <si>
    <t xml:space="preserve">       Special Education - Room &amp; Board (M) ***</t>
  </si>
  <si>
    <t>Page 10, Line 78 - Admissions - Other - Miscellaneous Sports Receipts</t>
  </si>
  <si>
    <t>Page 10, Line 81 - Other District/School Activity Revenue - Choir Receipts</t>
  </si>
  <si>
    <t>Page 11, Line 107 - Other Local Revenues - Jury Duty and Refunds</t>
  </si>
  <si>
    <t>Page 16, Line 73 - Other Support Services - Retainer Fees, Printing Fees</t>
  </si>
  <si>
    <t>X</t>
  </si>
  <si>
    <t>St. John Baptist Catholic School</t>
  </si>
  <si>
    <t>CLIC and NIHIP</t>
  </si>
  <si>
    <t>Illinois School District Liquid Asset Fund</t>
  </si>
  <si>
    <t>Special Education District of McHenry County</t>
  </si>
  <si>
    <t>Lake County High School Technology Campus</t>
  </si>
  <si>
    <t>McHenry County Cooperative for Employment Education</t>
  </si>
  <si>
    <t>ALTERNATIVE REVENUE BONDS</t>
  </si>
  <si>
    <t>LEASE/PURCHASE AGREEMENT, COPIERS</t>
  </si>
  <si>
    <t>CAPITAL APPRECIATION BONDS</t>
  </si>
  <si>
    <t>LEASE/PURCHASE AGREEMENT, BUSES</t>
  </si>
  <si>
    <t>LEASE/PURCHASE AGREEMENT, BUS</t>
  </si>
  <si>
    <t>GO BONDS</t>
  </si>
  <si>
    <t>CAPITAL LEASE</t>
  </si>
  <si>
    <t>McHenry</t>
  </si>
  <si>
    <t>2222 West Church Street</t>
  </si>
  <si>
    <t>Johnsburg</t>
  </si>
  <si>
    <t>amulvaney@johnsburg12.org</t>
  </si>
  <si>
    <t>x</t>
  </si>
  <si>
    <t>Eder, Casella &amp; Co.</t>
  </si>
  <si>
    <t>No contracts paid in the current year from the Purchased Services accounts.</t>
  </si>
  <si>
    <t>Long-term debt retired on page 18 is the combination of cells H170 and H206 since the debt payments come from the Debt Service and the the Transporation Funds.</t>
  </si>
  <si>
    <t>The new long-term debt was from a capital lease and is recorded on page 8, cell F43 - Other Sources Not Classified Elsewhere</t>
  </si>
  <si>
    <r>
      <t xml:space="preserve">Of the federal expenditures presented in the schedule, </t>
    </r>
    <r>
      <rPr>
        <b/>
        <sz val="9"/>
        <rFont val="Calibri"/>
        <family val="2"/>
        <scheme val="minor"/>
      </rPr>
      <t xml:space="preserve">Johnsburg CUSD No. 12 </t>
    </r>
    <r>
      <rPr>
        <sz val="9"/>
        <rFont val="Calibri"/>
        <family val="2"/>
        <scheme val="minor"/>
      </rPr>
      <t>provided federal awards to subrecipients as follows:</t>
    </r>
  </si>
  <si>
    <t>Unmodified</t>
  </si>
  <si>
    <t>Child Nutrition Cluster</t>
  </si>
  <si>
    <t xml:space="preserve">Special Education Cluster </t>
  </si>
  <si>
    <t xml:space="preserve"> 84.027 84.173</t>
  </si>
  <si>
    <t>2018-001</t>
  </si>
  <si>
    <t>A student received free lunch instead of reduced lunch</t>
  </si>
  <si>
    <t>Not a current year finding</t>
  </si>
  <si>
    <t>2018-002</t>
  </si>
  <si>
    <t>The District did not document the confirmation review for an application</t>
  </si>
  <si>
    <t>Page 15, Line 41 - Other Support Services - Pupils - Coaching and Supervision Regular Payroll, Benefits, Reimbursement, and Testing Forms</t>
  </si>
  <si>
    <t>CHERYDEN JUERGENSEN</t>
  </si>
  <si>
    <t>The accompanying Schedule of Expenditures of Federal Awards includes the federal grant activity of Johnsburg CUSD No. 12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</si>
  <si>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</si>
  <si>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Page 12, Line 168 - Other Restricted Revenue from State Sources - Grant Revenue</t>
  </si>
  <si>
    <t>Page 13, Line 220 - CTE - Other - Perkins Grant</t>
  </si>
  <si>
    <t>Page 18, Line 171 - Debt Services - Other - Bond Fees</t>
  </si>
  <si>
    <t>Page 19, Line 237 - Other Support Services - Pupils - Coaching and Supervision Benefits</t>
  </si>
  <si>
    <t>Johnsburg CUSD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</si>
</sst>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4">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181" fontId="162" fillId="0" borderId="0" applyFont="0" applyFill="0" applyBorder="0" applyAlignment="0" applyProtection="0"/>
    <xf numFmtId="182" fontId="162" fillId="0" borderId="0" applyFont="0" applyFill="0" applyBorder="0" applyAlignment="0" applyProtection="0"/>
    <xf numFmtId="43" fontId="13" fillId="0" borderId="0" applyAlignment="0"/>
    <xf numFmtId="0" fontId="5"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3" fontId="162" fillId="0" borderId="0" applyFont="0" applyFill="0" applyBorder="0" applyAlignment="0" applyProtection="0"/>
    <xf numFmtId="184" fontId="162" fillId="0" borderId="0" applyFont="0" applyFill="0" applyBorder="0" applyAlignment="0" applyProtection="0"/>
    <xf numFmtId="43" fontId="13" fillId="0" borderId="0" applyAlignment="0"/>
    <xf numFmtId="185" fontId="162" fillId="0" borderId="0" applyFont="0" applyFill="0" applyBorder="0" applyAlignment="0" applyProtection="0">
      <alignment horizontal="right"/>
    </xf>
    <xf numFmtId="186" fontId="162" fillId="0" borderId="0" applyFont="0" applyFill="0" applyBorder="0" applyAlignment="0" applyProtection="0"/>
    <xf numFmtId="187" fontId="162" fillId="0" borderId="0" applyFont="0" applyFill="0" applyBorder="0" applyAlignment="0" applyProtection="0">
      <alignment horizontal="right"/>
    </xf>
    <xf numFmtId="188" fontId="162" fillId="0" borderId="0" applyFont="0" applyFill="0" applyBorder="0" applyAlignment="0" applyProtection="0">
      <alignment horizontal="right"/>
    </xf>
    <xf numFmtId="189" fontId="162" fillId="0" borderId="0" applyFont="0" applyFill="0" applyBorder="0" applyAlignment="0" applyProtection="0">
      <alignment horizontal="right"/>
    </xf>
    <xf numFmtId="190" fontId="162" fillId="0" borderId="0" applyFont="0" applyFill="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0" borderId="0" applyNumberFormat="0" applyBorder="0" applyAlignment="0" applyProtection="0"/>
    <xf numFmtId="0" fontId="144" fillId="31"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30" borderId="0" applyNumberFormat="0" applyBorder="0" applyAlignment="0" applyProtection="0"/>
    <xf numFmtId="0" fontId="144" fillId="34"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7" borderId="0" applyNumberFormat="0" applyBorder="0" applyAlignment="0" applyProtection="0"/>
    <xf numFmtId="0" fontId="144" fillId="31" borderId="0" applyNumberFormat="0" applyBorder="0" applyAlignment="0" applyProtection="0"/>
    <xf numFmtId="0" fontId="156" fillId="31"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5"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44" fillId="30" borderId="0" applyNumberFormat="0" applyBorder="0" applyAlignment="0" applyProtection="0"/>
    <xf numFmtId="0" fontId="144" fillId="37" borderId="0" applyNumberFormat="0" applyBorder="0" applyAlignment="0" applyProtection="0"/>
    <xf numFmtId="0" fontId="156" fillId="37"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62" fillId="0" borderId="165" applyNumberFormat="0" applyFill="0" applyAlignment="0" applyProtection="0"/>
    <xf numFmtId="191" fontId="163" fillId="0" borderId="165" applyNumberFormat="0" applyFill="0" applyAlignment="0" applyProtection="0">
      <alignment horizontal="center"/>
    </xf>
    <xf numFmtId="191" fontId="163" fillId="0" borderId="78" applyFill="0" applyAlignment="0" applyProtection="0">
      <alignment horizontal="center"/>
    </xf>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64" fillId="0" borderId="0" applyProtection="0"/>
    <xf numFmtId="191" fontId="163"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2" fillId="0" borderId="0" applyProtection="0"/>
    <xf numFmtId="192" fontId="162" fillId="0" borderId="0" applyFont="0" applyFill="0" applyBorder="0" applyAlignment="0" applyProtection="0"/>
    <xf numFmtId="191" fontId="163" fillId="0" borderId="167" applyNumberFormat="0" applyFill="0" applyAlignment="0" applyProtection="0"/>
    <xf numFmtId="0" fontId="162" fillId="0" borderId="167" applyNumberFormat="0" applyFill="0" applyAlignment="0" applyProtection="0"/>
    <xf numFmtId="0" fontId="155" fillId="41"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65" fillId="0" borderId="0" applyProtection="0"/>
    <xf numFmtId="0" fontId="14"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2" fillId="0" borderId="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43"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3" fontId="162" fillId="0" borderId="0" applyFont="0" applyFill="0" applyBorder="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63" fillId="0" borderId="0"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141" fillId="0" borderId="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194" fontId="163" fillId="0" borderId="0" applyFill="0" applyBorder="0" applyProtection="0">
      <alignment horizontal="right"/>
    </xf>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195"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3" applyNumberFormat="0" applyFont="0" applyFill="0" applyAlignment="0" applyProtection="0"/>
    <xf numFmtId="0" fontId="162" fillId="0" borderId="174" applyNumberFormat="0" applyFont="0" applyFill="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41" fillId="0" borderId="0"/>
    <xf numFmtId="0" fontId="13" fillId="0" borderId="0"/>
    <xf numFmtId="0" fontId="13" fillId="0" borderId="0"/>
    <xf numFmtId="0" fontId="13" fillId="0" borderId="0"/>
    <xf numFmtId="0" fontId="13" fillId="0" borderId="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3" fillId="0" borderId="0"/>
    <xf numFmtId="43" fontId="5"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4" fillId="0" borderId="0"/>
    <xf numFmtId="0" fontId="5" fillId="0" borderId="0"/>
    <xf numFmtId="43" fontId="5" fillId="0" borderId="0" applyFont="0" applyFill="0" applyBorder="0" applyAlignment="0" applyProtection="0"/>
    <xf numFmtId="0" fontId="5" fillId="0" borderId="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82" fillId="0" borderId="0" applyAlignment="0"/>
    <xf numFmtId="43" fontId="182" fillId="0" borderId="0" applyFont="0" applyFill="0" applyBorder="0" applyAlignment="0" applyProtection="0"/>
    <xf numFmtId="43" fontId="3" fillId="0" borderId="0" applyFont="0" applyFill="0" applyBorder="0" applyAlignment="0" applyProtection="0"/>
    <xf numFmtId="43" fontId="182" fillId="0" borderId="0" applyFont="0" applyFill="0" applyBorder="0" applyAlignment="0" applyProtection="0"/>
    <xf numFmtId="3" fontId="182" fillId="0" borderId="0" applyFont="0" applyFill="0" applyBorder="0" applyAlignment="0" applyProtection="0"/>
    <xf numFmtId="44" fontId="182" fillId="0" borderId="0" applyFont="0" applyFill="0" applyBorder="0" applyAlignment="0" applyProtection="0"/>
    <xf numFmtId="5" fontId="182" fillId="0" borderId="0" applyFont="0" applyFill="0" applyBorder="0" applyAlignment="0" applyProtection="0"/>
    <xf numFmtId="0" fontId="183" fillId="0" borderId="0" applyNumberFormat="0" applyFill="0" applyBorder="0" applyAlignment="0" applyProtection="0">
      <alignment vertical="top"/>
      <protection locked="0"/>
    </xf>
    <xf numFmtId="0" fontId="182" fillId="0" borderId="0"/>
    <xf numFmtId="0" fontId="182" fillId="0" borderId="0"/>
    <xf numFmtId="0" fontId="3" fillId="0" borderId="0"/>
    <xf numFmtId="43" fontId="182" fillId="0" borderId="0" applyAlignment="0"/>
    <xf numFmtId="43" fontId="182" fillId="0" borderId="0" applyAlignment="0"/>
    <xf numFmtId="43" fontId="3"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2"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2" fillId="63" borderId="172" applyNumberFormat="0" applyAlignment="0" applyProtection="0"/>
    <xf numFmtId="0" fontId="155" fillId="0" borderId="178" applyNumberFormat="0" applyFill="0" applyAlignment="0" applyProtection="0"/>
    <xf numFmtId="43" fontId="3" fillId="0" borderId="0" applyFont="0" applyFill="0" applyBorder="0" applyAlignment="0" applyProtection="0"/>
    <xf numFmtId="0" fontId="3" fillId="0" borderId="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43" fontId="3" fillId="0" borderId="0" applyFont="0" applyFill="0" applyBorder="0" applyAlignment="0" applyProtection="0"/>
    <xf numFmtId="0" fontId="3" fillId="0" borderId="0"/>
    <xf numFmtId="0" fontId="3" fillId="0" borderId="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75"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cellStyleXfs>
  <cellXfs count="2562">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33"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38" fontId="58" fillId="0" borderId="3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3" xfId="3" quotePrefix="1" applyNumberFormat="1" applyFont="1" applyBorder="1" applyAlignment="1" applyProtection="1">
      <alignment horizontal="left"/>
    </xf>
    <xf numFmtId="0" fontId="65" fillId="0" borderId="144" xfId="3" applyNumberFormat="1" applyFont="1" applyBorder="1" applyAlignment="1" applyProtection="1">
      <alignment horizontal="center"/>
    </xf>
    <xf numFmtId="0" fontId="65" fillId="0" borderId="144" xfId="3" applyNumberFormat="1" applyFont="1" applyBorder="1" applyProtection="1"/>
    <xf numFmtId="0" fontId="58" fillId="0" borderId="143" xfId="3" applyNumberFormat="1" applyFont="1" applyBorder="1" applyAlignment="1" applyProtection="1"/>
    <xf numFmtId="0" fontId="65" fillId="0" borderId="145" xfId="3" applyNumberFormat="1" applyFont="1" applyBorder="1" applyAlignment="1" applyProtection="1">
      <alignment horizontal="centerContinuous"/>
    </xf>
    <xf numFmtId="0" fontId="58" fillId="0" borderId="143" xfId="3" applyNumberFormat="1" applyFont="1" applyBorder="1" applyAlignment="1" applyProtection="1">
      <alignment horizontal="left"/>
    </xf>
    <xf numFmtId="0" fontId="65" fillId="0" borderId="145" xfId="3" applyNumberFormat="1" applyFont="1" applyBorder="1" applyProtection="1"/>
    <xf numFmtId="0" fontId="65" fillId="0" borderId="144"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3"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7"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4"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8"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6" xfId="3" applyFont="1" applyBorder="1" applyProtection="1"/>
    <xf numFmtId="0" fontId="58" fillId="0" borderId="147" xfId="3" applyFont="1" applyBorder="1" applyProtection="1">
      <protection locked="0"/>
    </xf>
    <xf numFmtId="0" fontId="58" fillId="0" borderId="146"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5" xfId="3" applyNumberFormat="1" applyFont="1" applyBorder="1" applyAlignment="1" applyProtection="1">
      <alignment horizontal="center"/>
    </xf>
    <xf numFmtId="0" fontId="67" fillId="0" borderId="144" xfId="3" applyFont="1" applyBorder="1" applyAlignment="1" applyProtection="1">
      <alignment horizontal="centerContinuous"/>
    </xf>
    <xf numFmtId="0" fontId="67" fillId="0" borderId="145"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5"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4" xfId="3" applyFont="1" applyBorder="1" applyProtection="1"/>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4" xfId="3" quotePrefix="1"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4" xfId="3" applyFont="1" applyBorder="1" applyProtection="1"/>
    <xf numFmtId="0" fontId="60" fillId="0" borderId="0" xfId="3" applyFont="1" applyBorder="1" applyAlignment="1" applyProtection="1">
      <alignment horizontal="left"/>
    </xf>
    <xf numFmtId="0" fontId="67" fillId="0" borderId="144"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4"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9"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1" xfId="3" applyFont="1" applyBorder="1" applyAlignment="1" applyProtection="1">
      <alignment horizontal="left"/>
    </xf>
    <xf numFmtId="0" fontId="60" fillId="0" borderId="151" xfId="3" applyFont="1" applyBorder="1" applyProtection="1"/>
    <xf numFmtId="0" fontId="60" fillId="0" borderId="151"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49" fontId="6"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center"/>
      <protection locked="0"/>
    </xf>
    <xf numFmtId="0" fontId="60" fillId="0" borderId="77" xfId="3" applyNumberFormat="1" applyFont="1" applyBorder="1" applyAlignment="1" applyProtection="1">
      <alignment horizontal="center"/>
      <protection locked="0"/>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124" xfId="0" applyNumberFormat="1" applyFont="1" applyFill="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6" applyNumberFormat="1" applyFont="1" applyBorder="1" applyProtection="1">
      <protection locked="0"/>
    </xf>
    <xf numFmtId="0" fontId="2" fillId="0" borderId="0" xfId="3481"/>
    <xf numFmtId="0" fontId="2" fillId="0" borderId="0" xfId="3483"/>
    <xf numFmtId="0" fontId="2" fillId="0" borderId="0" xfId="3483"/>
    <xf numFmtId="0" fontId="110" fillId="0" borderId="0" xfId="348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0" fontId="110" fillId="0" borderId="0" xfId="3483" applyFont="1" applyAlignment="1">
      <alignment wrapText="1"/>
    </xf>
    <xf numFmtId="164" fontId="65" fillId="0" borderId="0" xfId="0" applyNumberFormat="1" applyFont="1" applyAlignment="1">
      <alignment vertical="top"/>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6" xfId="3" applyNumberFormat="1" applyFont="1" applyBorder="1" applyProtection="1"/>
    <xf numFmtId="0" fontId="58" fillId="0" borderId="147"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7" xfId="3" applyNumberFormat="1"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0" fillId="0" borderId="0" xfId="3" applyFont="1" applyAlignment="1">
      <alignment horizontal="center" vertical="center"/>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9" xfId="3" applyNumberFormat="1" applyFont="1" applyBorder="1" applyAlignment="1" applyProtection="1">
      <protection locked="0"/>
    </xf>
    <xf numFmtId="0" fontId="68" fillId="0" borderId="150"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pplyProtection="1">
      <alignment horizontal="center"/>
    </xf>
    <xf numFmtId="0" fontId="65" fillId="0" borderId="76" xfId="3" applyFont="1" applyBorder="1" applyAlignment="1" applyProtection="1">
      <alignment horizontal="center"/>
    </xf>
    <xf numFmtId="0" fontId="65" fillId="0" borderId="150" xfId="3" applyFont="1" applyBorder="1" applyAlignment="1" applyProtection="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4"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484">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 7" xfId="3482" xr:uid="{5CD19AB3-E45A-401C-A062-84DDD3323578}"/>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18" xfId="3483" xr:uid="{32E56613-8DD1-408E-8EF8-03B0499A57C8}"/>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xfId="3481" xr:uid="{EB8F13B6-3DB0-45DA-A47E-EFC7C2416F6F}"/>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91" t="s">
        <v>404</v>
      </c>
      <c r="J1" s="2092"/>
      <c r="K1" s="2092"/>
      <c r="L1" s="2092"/>
      <c r="M1" s="2092"/>
      <c r="N1" s="2092"/>
      <c r="O1" s="2092"/>
      <c r="P1" s="2092"/>
      <c r="Q1" s="2092"/>
      <c r="R1" s="2092"/>
      <c r="S1" s="2092"/>
    </row>
    <row r="2" spans="1:28" ht="12" customHeight="1" x14ac:dyDescent="0.2">
      <c r="A2" s="47" t="s">
        <v>1990</v>
      </c>
      <c r="D2" s="48"/>
      <c r="I2" s="2093" t="s">
        <v>978</v>
      </c>
      <c r="J2" s="2092"/>
      <c r="K2" s="2092"/>
      <c r="L2" s="2092"/>
      <c r="M2" s="2092"/>
      <c r="N2" s="2092"/>
      <c r="O2" s="2092"/>
      <c r="P2" s="2092"/>
      <c r="Q2" s="2092"/>
      <c r="R2" s="2092"/>
      <c r="S2" s="2092"/>
    </row>
    <row r="3" spans="1:28" ht="12" customHeight="1" x14ac:dyDescent="0.2">
      <c r="A3" s="155" t="s">
        <v>1942</v>
      </c>
      <c r="B3" s="156"/>
      <c r="C3" s="156"/>
      <c r="D3" s="157"/>
      <c r="I3" s="2093" t="s">
        <v>52</v>
      </c>
      <c r="J3" s="2092"/>
      <c r="K3" s="2092"/>
      <c r="L3" s="2092"/>
      <c r="M3" s="2092"/>
      <c r="N3" s="2092"/>
      <c r="O3" s="2092"/>
      <c r="P3" s="2092"/>
      <c r="Q3" s="2092"/>
      <c r="R3" s="2092"/>
      <c r="S3" s="2092"/>
    </row>
    <row r="4" spans="1:28" ht="12" customHeight="1" x14ac:dyDescent="0.2">
      <c r="A4" s="37"/>
      <c r="I4" s="2093" t="s">
        <v>523</v>
      </c>
      <c r="J4" s="2092"/>
      <c r="K4" s="2092"/>
      <c r="L4" s="2092"/>
      <c r="M4" s="2092"/>
      <c r="N4" s="2092"/>
      <c r="O4" s="2092"/>
      <c r="P4" s="2092"/>
      <c r="Q4" s="2092"/>
      <c r="R4" s="2092"/>
      <c r="S4" s="2092"/>
    </row>
    <row r="5" spans="1:28" ht="14.1" customHeight="1" x14ac:dyDescent="0.2">
      <c r="B5" s="104" t="s">
        <v>2130</v>
      </c>
      <c r="C5" s="26" t="s">
        <v>909</v>
      </c>
      <c r="D5" s="84"/>
      <c r="E5" s="84"/>
      <c r="H5" s="38"/>
      <c r="I5" s="2100" t="s">
        <v>679</v>
      </c>
      <c r="J5" s="2045"/>
      <c r="K5" s="2045"/>
      <c r="L5" s="2045"/>
      <c r="M5" s="2045"/>
      <c r="N5" s="2045"/>
      <c r="O5" s="2045"/>
      <c r="P5" s="2045"/>
      <c r="Q5" s="2045"/>
      <c r="R5" s="2045"/>
      <c r="S5" s="2045"/>
    </row>
    <row r="6" spans="1:28" ht="14.1" customHeight="1" x14ac:dyDescent="0.2">
      <c r="B6" s="104"/>
      <c r="C6" s="26" t="s">
        <v>910</v>
      </c>
      <c r="D6" s="84"/>
      <c r="E6" s="84"/>
      <c r="I6" s="2099" t="s">
        <v>882</v>
      </c>
      <c r="J6" s="2045"/>
      <c r="K6" s="2045"/>
      <c r="L6" s="2045"/>
      <c r="M6" s="2045"/>
      <c r="N6" s="2045"/>
      <c r="O6" s="2045"/>
      <c r="P6" s="2045"/>
      <c r="Q6" s="2045"/>
      <c r="R6" s="2045"/>
      <c r="S6" s="2045"/>
    </row>
    <row r="7" spans="1:28" ht="12.2" customHeight="1" x14ac:dyDescent="0.2">
      <c r="I7" s="2094">
        <v>43646</v>
      </c>
      <c r="J7" s="2095"/>
      <c r="K7" s="2095"/>
      <c r="L7" s="2095"/>
      <c r="M7" s="2095"/>
      <c r="N7" s="2095"/>
      <c r="O7" s="2095"/>
      <c r="P7" s="2095"/>
      <c r="Q7" s="2095"/>
      <c r="R7" s="2095"/>
      <c r="S7" s="20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6" t="s">
        <v>673</v>
      </c>
      <c r="J9" s="2097"/>
      <c r="K9" s="2097"/>
      <c r="L9" s="2097"/>
      <c r="M9" s="2097"/>
      <c r="N9" s="2097"/>
      <c r="O9" s="2097"/>
      <c r="P9" s="2097"/>
      <c r="Q9" s="2097"/>
      <c r="R9" s="2097"/>
      <c r="S9" s="2098"/>
      <c r="T9" s="2041" t="s">
        <v>532</v>
      </c>
      <c r="U9" s="2042"/>
      <c r="V9" s="2042"/>
      <c r="W9" s="2042"/>
      <c r="X9" s="2042"/>
      <c r="Y9" s="2042"/>
      <c r="Z9" s="2042"/>
      <c r="AA9" s="2043"/>
    </row>
    <row r="10" spans="1:28" ht="13.5" customHeight="1" x14ac:dyDescent="0.2">
      <c r="A10" s="2050" t="s">
        <v>674</v>
      </c>
      <c r="B10" s="2051"/>
      <c r="C10" s="2051"/>
      <c r="D10" s="2051"/>
      <c r="E10" s="2051"/>
      <c r="F10" s="2051"/>
      <c r="G10" s="2051"/>
      <c r="H10" s="2052"/>
      <c r="I10" s="29"/>
      <c r="J10" s="30"/>
      <c r="K10" s="28"/>
      <c r="R10" s="30"/>
      <c r="S10" s="30"/>
      <c r="T10" s="2044"/>
      <c r="U10" s="2045"/>
      <c r="V10" s="2045"/>
      <c r="W10" s="2045"/>
      <c r="X10" s="2045"/>
      <c r="Y10" s="2045"/>
      <c r="Z10" s="2045"/>
      <c r="AA10" s="2046"/>
    </row>
    <row r="11" spans="1:28" ht="14.25" customHeight="1" x14ac:dyDescent="0.2">
      <c r="A11" s="2053" t="s">
        <v>954</v>
      </c>
      <c r="B11" s="2054"/>
      <c r="C11" s="2054"/>
      <c r="D11" s="2054"/>
      <c r="E11" s="2054"/>
      <c r="F11" s="2054"/>
      <c r="G11" s="2054"/>
      <c r="H11" s="2055"/>
      <c r="I11" s="27"/>
      <c r="J11" s="74"/>
      <c r="K11" s="27"/>
      <c r="O11" s="148"/>
      <c r="P11" s="100" t="s">
        <v>201</v>
      </c>
      <c r="Q11" s="30"/>
      <c r="R11" s="28"/>
      <c r="S11" s="27"/>
      <c r="T11" s="2047"/>
      <c r="U11" s="2048"/>
      <c r="V11" s="2048"/>
      <c r="W11" s="2048"/>
      <c r="X11" s="2048"/>
      <c r="Y11" s="2048"/>
      <c r="Z11" s="2048"/>
      <c r="AA11" s="2049"/>
    </row>
    <row r="12" spans="1:28" ht="13.5" customHeight="1" x14ac:dyDescent="0.2">
      <c r="A12" s="85" t="s">
        <v>924</v>
      </c>
      <c r="B12" s="76"/>
      <c r="C12" s="76"/>
      <c r="D12" s="76"/>
      <c r="E12" s="76"/>
      <c r="F12" s="76"/>
      <c r="G12" s="76"/>
      <c r="H12" s="53"/>
      <c r="I12" s="29"/>
      <c r="J12" s="30"/>
      <c r="K12" s="28"/>
      <c r="O12" s="149" t="s">
        <v>2130</v>
      </c>
      <c r="P12" s="100" t="s">
        <v>202</v>
      </c>
      <c r="Q12" s="74"/>
      <c r="R12" s="30"/>
      <c r="S12" s="30"/>
      <c r="T12" s="85" t="s">
        <v>264</v>
      </c>
      <c r="U12" s="51"/>
      <c r="V12" s="51"/>
      <c r="W12" s="51"/>
      <c r="X12" s="51"/>
      <c r="Y12" s="45"/>
      <c r="Z12" s="45"/>
      <c r="AA12" s="46"/>
    </row>
    <row r="13" spans="1:28" ht="13.5" customHeight="1" x14ac:dyDescent="0.2">
      <c r="A13" s="2061">
        <v>44063012026</v>
      </c>
      <c r="B13" s="2062"/>
      <c r="C13" s="2062"/>
      <c r="D13" s="2062"/>
      <c r="E13" s="2062"/>
      <c r="F13" s="2062"/>
      <c r="G13" s="2062"/>
      <c r="H13" s="2063"/>
      <c r="I13" s="31"/>
      <c r="J13" s="30"/>
      <c r="K13" s="28"/>
      <c r="L13" s="30"/>
      <c r="M13" s="30"/>
      <c r="N13" s="30"/>
      <c r="O13" s="30"/>
      <c r="P13" s="30"/>
      <c r="Q13" s="30"/>
      <c r="R13" s="30"/>
      <c r="S13" s="30"/>
      <c r="T13" s="2066" t="s">
        <v>2061</v>
      </c>
      <c r="U13" s="2067"/>
      <c r="V13" s="2067"/>
      <c r="W13" s="2067"/>
      <c r="X13" s="2067"/>
      <c r="Y13" s="2068"/>
      <c r="Z13" s="2068"/>
      <c r="AA13" s="206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59" t="s">
        <v>2126</v>
      </c>
      <c r="B15" s="2064"/>
      <c r="C15" s="2064"/>
      <c r="D15" s="2064"/>
      <c r="E15" s="2064"/>
      <c r="F15" s="2064"/>
      <c r="G15" s="2064"/>
      <c r="H15" s="2065"/>
      <c r="T15" s="2027" t="s">
        <v>2146</v>
      </c>
      <c r="U15" s="2028"/>
      <c r="V15" s="2028"/>
      <c r="W15" s="2028"/>
      <c r="X15" s="2028"/>
      <c r="Y15" s="2070"/>
      <c r="Z15" s="2070"/>
      <c r="AA15" s="207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9" t="s">
        <v>2153</v>
      </c>
      <c r="B17" s="2089"/>
      <c r="C17" s="2089"/>
      <c r="D17" s="2089"/>
      <c r="E17" s="2089"/>
      <c r="F17" s="2089"/>
      <c r="G17" s="2089"/>
      <c r="H17" s="2090"/>
      <c r="T17" s="2076" t="s">
        <v>2062</v>
      </c>
      <c r="U17" s="2077"/>
      <c r="V17" s="2077"/>
      <c r="W17" s="2077"/>
      <c r="X17" s="2077"/>
      <c r="Y17" s="2077"/>
      <c r="Z17" s="2077"/>
      <c r="AA17" s="2078"/>
    </row>
    <row r="18" spans="1:27" ht="13.5" customHeight="1" x14ac:dyDescent="0.2">
      <c r="A18" s="85" t="s">
        <v>529</v>
      </c>
      <c r="B18" s="76"/>
      <c r="C18" s="72"/>
      <c r="D18" s="76"/>
      <c r="E18" s="76"/>
      <c r="F18" s="76"/>
      <c r="G18" s="76"/>
      <c r="H18" s="56"/>
      <c r="I18" s="2086" t="s">
        <v>675</v>
      </c>
      <c r="J18" s="2087"/>
      <c r="K18" s="2087"/>
      <c r="L18" s="2087"/>
      <c r="M18" s="2087"/>
      <c r="N18" s="2087"/>
      <c r="O18" s="2087"/>
      <c r="P18" s="2087"/>
      <c r="Q18" s="2087"/>
      <c r="R18" s="2087"/>
      <c r="S18" s="2088"/>
      <c r="T18" s="85" t="s">
        <v>710</v>
      </c>
      <c r="U18" s="51"/>
      <c r="V18" s="72"/>
      <c r="W18" s="50"/>
      <c r="X18" s="85" t="s">
        <v>265</v>
      </c>
      <c r="Y18" s="81"/>
      <c r="Z18" s="159" t="s">
        <v>676</v>
      </c>
      <c r="AA18" s="46"/>
    </row>
    <row r="19" spans="1:27" ht="13.5" customHeight="1" x14ac:dyDescent="0.2">
      <c r="A19" s="2059" t="s">
        <v>2127</v>
      </c>
      <c r="B19" s="2060"/>
      <c r="C19" s="2060"/>
      <c r="D19" s="2060"/>
      <c r="E19" s="2060"/>
      <c r="F19" s="2060"/>
      <c r="G19" s="2060"/>
      <c r="H19" s="2058"/>
      <c r="I19" s="30"/>
      <c r="J19" s="99"/>
      <c r="K19" s="40"/>
      <c r="L19" s="38"/>
      <c r="M19" s="112" t="s">
        <v>314</v>
      </c>
      <c r="P19" s="27"/>
      <c r="Q19" s="27"/>
      <c r="R19" s="27"/>
      <c r="S19" s="31"/>
      <c r="T19" s="2059" t="s">
        <v>2063</v>
      </c>
      <c r="U19" s="2057"/>
      <c r="V19" s="2057"/>
      <c r="W19" s="2058"/>
      <c r="X19" s="2074" t="s">
        <v>2064</v>
      </c>
      <c r="Y19" s="2075"/>
      <c r="Z19" s="2072">
        <v>60050</v>
      </c>
      <c r="AA19" s="207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56" t="s">
        <v>2128</v>
      </c>
      <c r="B21" s="2057"/>
      <c r="C21" s="2057"/>
      <c r="D21" s="2057"/>
      <c r="E21" s="2057"/>
      <c r="F21" s="2057"/>
      <c r="G21" s="2057"/>
      <c r="H21" s="2058"/>
      <c r="I21" s="2082" t="s">
        <v>677</v>
      </c>
      <c r="J21" s="2045"/>
      <c r="K21" s="2045"/>
      <c r="L21" s="2045"/>
      <c r="M21" s="2045"/>
      <c r="N21" s="2045"/>
      <c r="O21" s="2045"/>
      <c r="P21" s="2045"/>
      <c r="Q21" s="2045"/>
      <c r="R21" s="2045"/>
      <c r="S21" s="2046"/>
      <c r="T21" s="2024" t="s">
        <v>2065</v>
      </c>
      <c r="U21" s="2025"/>
      <c r="V21" s="2025"/>
      <c r="W21" s="2025"/>
      <c r="X21" s="2038" t="s">
        <v>2066</v>
      </c>
      <c r="Y21" s="2039"/>
      <c r="Z21" s="2039"/>
      <c r="AA21" s="2040"/>
    </row>
    <row r="22" spans="1:27" ht="13.5" customHeight="1" x14ac:dyDescent="0.2">
      <c r="A22" s="87" t="s">
        <v>530</v>
      </c>
      <c r="B22" s="59"/>
      <c r="C22" s="59"/>
      <c r="D22" s="59"/>
      <c r="E22" s="59"/>
      <c r="F22" s="59"/>
      <c r="G22" s="59"/>
      <c r="H22" s="60"/>
      <c r="I22" s="2083" t="s">
        <v>1428</v>
      </c>
      <c r="J22" s="2084"/>
      <c r="K22" s="2084"/>
      <c r="L22" s="2084"/>
      <c r="M22" s="2084"/>
      <c r="N22" s="2084"/>
      <c r="O22" s="2084"/>
      <c r="P22" s="2084"/>
      <c r="Q22" s="2084"/>
      <c r="R22" s="2084"/>
      <c r="S22" s="2085"/>
      <c r="T22" s="85" t="s">
        <v>1515</v>
      </c>
      <c r="U22" s="51"/>
      <c r="V22" s="72"/>
      <c r="W22" s="51"/>
      <c r="X22" s="160" t="s">
        <v>1317</v>
      </c>
      <c r="Z22" s="45"/>
      <c r="AA22" s="46"/>
    </row>
    <row r="23" spans="1:27" ht="13.5" customHeight="1" x14ac:dyDescent="0.2">
      <c r="A23" s="2079" t="s">
        <v>2129</v>
      </c>
      <c r="B23" s="2080"/>
      <c r="C23" s="2080"/>
      <c r="D23" s="2080"/>
      <c r="E23" s="2080"/>
      <c r="F23" s="2080"/>
      <c r="G23" s="2080"/>
      <c r="H23" s="2081"/>
      <c r="T23" s="2019" t="s">
        <v>2067</v>
      </c>
      <c r="U23" s="2020"/>
      <c r="V23" s="2020"/>
      <c r="W23" s="2020"/>
      <c r="X23" s="2035">
        <v>44530</v>
      </c>
      <c r="Y23" s="2036"/>
      <c r="Z23" s="2036"/>
      <c r="AA23" s="2037"/>
    </row>
    <row r="24" spans="1:27" ht="14.1" customHeight="1" x14ac:dyDescent="0.2">
      <c r="A24" s="88" t="s">
        <v>676</v>
      </c>
      <c r="B24" s="49"/>
      <c r="C24" s="49"/>
      <c r="D24" s="49"/>
      <c r="E24" s="49"/>
      <c r="F24" s="49"/>
      <c r="G24" s="49"/>
      <c r="H24" s="61"/>
      <c r="J24" s="2121">
        <f>IF(B5="x",IF(AUDITCHECK!D29="AFR form Incomplete.","",IF(AUDITCHECK!D29="Deficit reduction plan is required.","School District must complete a deficit reduction plan in the 2019-2020 Budget",)),"")</f>
        <v>0</v>
      </c>
      <c r="K24" s="2121"/>
      <c r="L24" s="2121"/>
      <c r="M24" s="2121"/>
      <c r="N24" s="2121"/>
      <c r="O24" s="2121"/>
      <c r="P24" s="2121"/>
      <c r="Q24" s="2121"/>
      <c r="R24" s="2121"/>
      <c r="S24" s="2122"/>
      <c r="T24" s="105" t="s">
        <v>530</v>
      </c>
      <c r="U24" s="106"/>
      <c r="V24" s="106"/>
      <c r="W24" s="106"/>
      <c r="X24" s="107"/>
      <c r="Y24" s="107"/>
      <c r="Z24" s="107"/>
      <c r="AA24" s="108"/>
    </row>
    <row r="25" spans="1:27" ht="14.1" customHeight="1" x14ac:dyDescent="0.2">
      <c r="A25" s="2056">
        <v>60051</v>
      </c>
      <c r="B25" s="2057"/>
      <c r="C25" s="2057"/>
      <c r="D25" s="2057"/>
      <c r="E25" s="2057"/>
      <c r="F25" s="2057"/>
      <c r="G25" s="2057"/>
      <c r="H25" s="2058"/>
      <c r="I25" s="113"/>
      <c r="J25" s="2123"/>
      <c r="K25" s="2123"/>
      <c r="L25" s="2123"/>
      <c r="M25" s="2123"/>
      <c r="N25" s="2123"/>
      <c r="O25" s="2123"/>
      <c r="P25" s="2123"/>
      <c r="Q25" s="2123"/>
      <c r="R25" s="2123"/>
      <c r="S25" s="2124"/>
      <c r="T25" s="2016" t="s">
        <v>2068</v>
      </c>
      <c r="U25" s="2017"/>
      <c r="V25" s="2017"/>
      <c r="W25" s="2017"/>
      <c r="X25" s="2017"/>
      <c r="Y25" s="2017"/>
      <c r="Z25" s="2017"/>
      <c r="AA25" s="201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14" t="s">
        <v>1510</v>
      </c>
      <c r="J27" s="2087"/>
      <c r="K27" s="2087"/>
      <c r="L27" s="2087"/>
      <c r="M27" s="2087"/>
      <c r="N27" s="2087"/>
      <c r="O27" s="2087"/>
      <c r="P27" s="2087"/>
      <c r="Q27" s="2087"/>
      <c r="R27" s="2087"/>
      <c r="S27" s="208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2130</v>
      </c>
      <c r="F29" s="141" t="s">
        <v>1315</v>
      </c>
      <c r="G29" s="114"/>
      <c r="I29" s="54"/>
      <c r="J29" s="148" t="s">
        <v>2130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2130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2112</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60"/>
      <c r="Q35" s="2057"/>
      <c r="R35" s="20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19"/>
      <c r="B38" s="2089"/>
      <c r="C38" s="2089"/>
      <c r="D38" s="2089"/>
      <c r="E38" s="2089"/>
      <c r="F38" s="2057"/>
      <c r="G38" s="2057"/>
      <c r="H38" s="2058"/>
      <c r="I38" s="2108"/>
      <c r="J38" s="2028"/>
      <c r="K38" s="2028"/>
      <c r="L38" s="2028"/>
      <c r="M38" s="2028"/>
      <c r="N38" s="2028"/>
      <c r="O38" s="2028"/>
      <c r="P38" s="2029"/>
      <c r="Q38" s="2029"/>
      <c r="R38" s="2029"/>
      <c r="S38" s="2030"/>
      <c r="T38" s="2027"/>
      <c r="U38" s="2028"/>
      <c r="V38" s="2028"/>
      <c r="W38" s="2028"/>
      <c r="X38" s="2029"/>
      <c r="Y38" s="2029"/>
      <c r="Z38" s="2029"/>
      <c r="AA38" s="2030"/>
    </row>
    <row r="39" spans="1:27" ht="12" customHeight="1" x14ac:dyDescent="0.2">
      <c r="A39" s="2112" t="s">
        <v>530</v>
      </c>
      <c r="B39" s="2113"/>
      <c r="C39" s="72"/>
      <c r="D39" s="69"/>
      <c r="E39" s="69"/>
      <c r="F39" s="79"/>
      <c r="G39" s="69"/>
      <c r="H39" s="56"/>
      <c r="I39" s="2112" t="s">
        <v>530</v>
      </c>
      <c r="J39" s="2113"/>
      <c r="K39" s="2113"/>
      <c r="L39" s="2113"/>
      <c r="M39" s="2113"/>
      <c r="N39" s="67"/>
      <c r="O39" s="72"/>
      <c r="P39" s="72"/>
      <c r="Q39" s="78"/>
      <c r="R39" s="72"/>
      <c r="S39" s="56"/>
      <c r="T39" s="72" t="s">
        <v>530</v>
      </c>
      <c r="U39" s="51"/>
      <c r="V39" s="72"/>
      <c r="W39" s="50"/>
      <c r="X39" s="78"/>
      <c r="Y39" s="45"/>
      <c r="Z39" s="45"/>
      <c r="AA39" s="46"/>
    </row>
    <row r="40" spans="1:27" ht="13.5" customHeight="1" x14ac:dyDescent="0.2">
      <c r="A40" s="2115"/>
      <c r="B40" s="2116"/>
      <c r="C40" s="2117"/>
      <c r="D40" s="2117"/>
      <c r="E40" s="2117"/>
      <c r="F40" s="2118"/>
      <c r="G40" s="2118"/>
      <c r="H40" s="2119"/>
      <c r="I40" s="2031"/>
      <c r="J40" s="2033"/>
      <c r="K40" s="2033"/>
      <c r="L40" s="2033"/>
      <c r="M40" s="2033"/>
      <c r="N40" s="2033"/>
      <c r="O40" s="2033"/>
      <c r="P40" s="2033"/>
      <c r="Q40" s="2033"/>
      <c r="R40" s="2033"/>
      <c r="S40" s="2034"/>
      <c r="T40" s="2031"/>
      <c r="U40" s="2032"/>
      <c r="V40" s="2033"/>
      <c r="W40" s="2033"/>
      <c r="X40" s="2033"/>
      <c r="Y40" s="2033"/>
      <c r="Z40" s="2033"/>
      <c r="AA40" s="203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05"/>
      <c r="B42" s="2106"/>
      <c r="C42" s="2107"/>
      <c r="D42" s="2120"/>
      <c r="E42" s="2106"/>
      <c r="F42" s="2106"/>
      <c r="G42" s="2106"/>
      <c r="H42" s="2107"/>
      <c r="I42" s="2026"/>
      <c r="J42" s="2022"/>
      <c r="K42" s="2022"/>
      <c r="L42" s="2022"/>
      <c r="M42" s="2022"/>
      <c r="N42" s="2022"/>
      <c r="O42" s="2023"/>
      <c r="P42" s="2021"/>
      <c r="Q42" s="2022"/>
      <c r="R42" s="2022"/>
      <c r="S42" s="2023"/>
      <c r="T42" s="2026"/>
      <c r="U42" s="2022"/>
      <c r="V42" s="2022"/>
      <c r="W42" s="2023"/>
      <c r="X42" s="2021"/>
      <c r="Y42" s="2022"/>
      <c r="Z42" s="2022"/>
      <c r="AA42" s="202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09"/>
      <c r="B44" s="2110"/>
      <c r="C44" s="2110"/>
      <c r="D44" s="2110"/>
      <c r="E44" s="2110"/>
      <c r="F44" s="2110"/>
      <c r="G44" s="2110"/>
      <c r="H44" s="2111"/>
      <c r="I44" s="2101"/>
      <c r="J44" s="2103"/>
      <c r="K44" s="2103"/>
      <c r="L44" s="2103"/>
      <c r="M44" s="2103"/>
      <c r="N44" s="2103"/>
      <c r="O44" s="2103"/>
      <c r="P44" s="2103"/>
      <c r="Q44" s="2103"/>
      <c r="R44" s="2103"/>
      <c r="S44" s="2104"/>
      <c r="T44" s="2101"/>
      <c r="U44" s="2102"/>
      <c r="V44" s="2102"/>
      <c r="W44" s="2102"/>
      <c r="X44" s="2102"/>
      <c r="Y44" s="2102"/>
      <c r="Z44" s="2103"/>
      <c r="AA44" s="210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1941</v>
      </c>
      <c r="D46" s="41"/>
      <c r="E46" s="41"/>
      <c r="F46" s="41"/>
      <c r="G46" s="41"/>
      <c r="Q46" s="29" t="s">
        <v>1419</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58" t="s">
        <v>1799</v>
      </c>
      <c r="B2" s="1501" t="s">
        <v>1948</v>
      </c>
      <c r="C2" s="687" t="s">
        <v>1949</v>
      </c>
      <c r="D2" s="687" t="s">
        <v>1950</v>
      </c>
      <c r="E2" s="687" t="s">
        <v>1951</v>
      </c>
      <c r="F2" s="687" t="s">
        <v>1952</v>
      </c>
    </row>
    <row r="3" spans="1:6" ht="12" customHeight="1" x14ac:dyDescent="0.2">
      <c r="A3" s="2259"/>
      <c r="B3" s="1498"/>
      <c r="C3" s="1499"/>
      <c r="D3" s="1500" t="s">
        <v>256</v>
      </c>
      <c r="E3" s="1499"/>
      <c r="F3" s="1500" t="s">
        <v>257</v>
      </c>
    </row>
    <row r="4" spans="1:6" ht="13.7" customHeight="1" x14ac:dyDescent="0.2">
      <c r="A4" s="688" t="s">
        <v>1154</v>
      </c>
      <c r="B4" s="1722">
        <v>14901604</v>
      </c>
      <c r="C4" s="1497">
        <v>8030214</v>
      </c>
      <c r="D4" s="1725">
        <f>B4-C4</f>
        <v>6871390</v>
      </c>
      <c r="E4" s="1497">
        <v>15349223</v>
      </c>
      <c r="F4" s="1725">
        <f>E4-C4</f>
        <v>7319009</v>
      </c>
    </row>
    <row r="5" spans="1:6" ht="13.7" customHeight="1" x14ac:dyDescent="0.2">
      <c r="A5" s="688" t="s">
        <v>869</v>
      </c>
      <c r="B5" s="1723">
        <v>2349026</v>
      </c>
      <c r="C5" s="565">
        <v>1179051</v>
      </c>
      <c r="D5" s="1726">
        <f t="shared" ref="D5:D18" si="0">B5-C5</f>
        <v>1169975</v>
      </c>
      <c r="E5" s="565">
        <v>2253684</v>
      </c>
      <c r="F5" s="1726">
        <f>E5-C5</f>
        <v>1074633</v>
      </c>
    </row>
    <row r="6" spans="1:6" ht="13.7" customHeight="1" x14ac:dyDescent="0.2">
      <c r="A6" s="688" t="s">
        <v>410</v>
      </c>
      <c r="B6" s="1723">
        <v>2992528</v>
      </c>
      <c r="C6" s="565">
        <f>238559+1350901</f>
        <v>1589460</v>
      </c>
      <c r="D6" s="1726">
        <f t="shared" si="0"/>
        <v>1403068</v>
      </c>
      <c r="E6" s="565">
        <f>456000+2582151</f>
        <v>3038151</v>
      </c>
      <c r="F6" s="1726">
        <f t="shared" ref="F6:F18" si="1">E6-C6</f>
        <v>1448691</v>
      </c>
    </row>
    <row r="7" spans="1:6" ht="13.7" customHeight="1" x14ac:dyDescent="0.2">
      <c r="A7" s="688" t="s">
        <v>155</v>
      </c>
      <c r="B7" s="1723">
        <v>716685</v>
      </c>
      <c r="C7" s="565">
        <v>418021</v>
      </c>
      <c r="D7" s="1726">
        <f t="shared" si="0"/>
        <v>298664</v>
      </c>
      <c r="E7" s="565">
        <v>799022</v>
      </c>
      <c r="F7" s="1726">
        <f t="shared" si="1"/>
        <v>381001</v>
      </c>
    </row>
    <row r="8" spans="1:6" ht="13.7" customHeight="1" x14ac:dyDescent="0.2">
      <c r="A8" s="688" t="s">
        <v>1178</v>
      </c>
      <c r="B8" s="1723">
        <v>367351</v>
      </c>
      <c r="C8" s="565">
        <v>170027.31</v>
      </c>
      <c r="D8" s="1726">
        <f t="shared" si="0"/>
        <v>197323.69</v>
      </c>
      <c r="E8" s="565">
        <v>325001</v>
      </c>
      <c r="F8" s="1726">
        <f t="shared" si="1"/>
        <v>154973.69</v>
      </c>
    </row>
    <row r="9" spans="1:6" ht="13.7" customHeight="1" x14ac:dyDescent="0.2">
      <c r="A9" s="688" t="s">
        <v>407</v>
      </c>
      <c r="B9" s="1723">
        <f>'Revenues 9-14'!H5</f>
        <v>0</v>
      </c>
      <c r="C9" s="565"/>
      <c r="D9" s="1726">
        <f t="shared" si="0"/>
        <v>0</v>
      </c>
      <c r="E9" s="565"/>
      <c r="F9" s="1726">
        <f t="shared" si="1"/>
        <v>0</v>
      </c>
    </row>
    <row r="10" spans="1:6" ht="13.7" customHeight="1" x14ac:dyDescent="0.2">
      <c r="A10" s="688" t="s">
        <v>406</v>
      </c>
      <c r="B10" s="1723">
        <f>'Revenues 9-14'!I5</f>
        <v>0</v>
      </c>
      <c r="C10" s="565"/>
      <c r="D10" s="1726">
        <f t="shared" si="0"/>
        <v>0</v>
      </c>
      <c r="E10" s="565"/>
      <c r="F10" s="1726">
        <f t="shared" si="1"/>
        <v>0</v>
      </c>
    </row>
    <row r="11" spans="1:6" x14ac:dyDescent="0.2">
      <c r="A11" s="688" t="s">
        <v>408</v>
      </c>
      <c r="B11" s="1723">
        <f>'Revenues 9-14'!J5</f>
        <v>0</v>
      </c>
      <c r="C11" s="565"/>
      <c r="D11" s="1726">
        <f t="shared" si="0"/>
        <v>0</v>
      </c>
      <c r="E11" s="565"/>
      <c r="F11" s="1726">
        <f t="shared" si="1"/>
        <v>0</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935</v>
      </c>
      <c r="B13" s="1723">
        <f>SUM('Revenues 9-14'!C6:D6)</f>
        <v>0</v>
      </c>
      <c r="C13" s="565"/>
      <c r="D13" s="1726">
        <f t="shared" si="0"/>
        <v>0</v>
      </c>
      <c r="E13" s="565"/>
      <c r="F13" s="1726">
        <f t="shared" si="1"/>
        <v>0</v>
      </c>
    </row>
    <row r="14" spans="1:6" ht="13.7" customHeight="1" x14ac:dyDescent="0.2">
      <c r="A14" s="688" t="s">
        <v>409</v>
      </c>
      <c r="B14" s="1723">
        <v>228759</v>
      </c>
      <c r="C14" s="565">
        <v>120097</v>
      </c>
      <c r="D14" s="1726">
        <f t="shared" si="0"/>
        <v>108662</v>
      </c>
      <c r="E14" s="565">
        <v>229566</v>
      </c>
      <c r="F14" s="1726">
        <f t="shared" si="1"/>
        <v>109469</v>
      </c>
    </row>
    <row r="15" spans="1:6" ht="13.7" customHeight="1" x14ac:dyDescent="0.2">
      <c r="A15" s="688" t="s">
        <v>1157</v>
      </c>
      <c r="B15" s="1723">
        <f>SUM('Revenues 9-14'!D9:E9,'Revenues 9-14'!H9)</f>
        <v>0</v>
      </c>
      <c r="C15" s="565"/>
      <c r="D15" s="1726">
        <f t="shared" si="0"/>
        <v>0</v>
      </c>
      <c r="E15" s="565"/>
      <c r="F15" s="1726">
        <f t="shared" si="1"/>
        <v>0</v>
      </c>
    </row>
    <row r="16" spans="1:6" ht="13.7" customHeight="1" x14ac:dyDescent="0.2">
      <c r="A16" s="688" t="s">
        <v>1158</v>
      </c>
      <c r="B16" s="1723">
        <v>367351</v>
      </c>
      <c r="C16" s="565">
        <v>170027</v>
      </c>
      <c r="D16" s="1726">
        <f t="shared" si="0"/>
        <v>197324</v>
      </c>
      <c r="E16" s="565">
        <v>325001</v>
      </c>
      <c r="F16" s="1726">
        <f t="shared" si="1"/>
        <v>154974</v>
      </c>
    </row>
    <row r="17" spans="1:6" ht="13.7" customHeight="1" x14ac:dyDescent="0.2">
      <c r="A17" s="688" t="s">
        <v>1159</v>
      </c>
      <c r="B17" s="1723">
        <f>'Revenues 9-14'!C10</f>
        <v>0</v>
      </c>
      <c r="C17" s="565"/>
      <c r="D17" s="1726">
        <f t="shared" si="0"/>
        <v>0</v>
      </c>
      <c r="E17" s="565"/>
      <c r="F17" s="1726">
        <f t="shared" si="1"/>
        <v>0</v>
      </c>
    </row>
    <row r="18" spans="1:6" ht="13.7" customHeight="1" x14ac:dyDescent="0.2">
      <c r="A18" s="688" t="s">
        <v>761</v>
      </c>
      <c r="B18" s="1723">
        <f>SUM('Revenues 9-14'!C11:K11)</f>
        <v>0</v>
      </c>
      <c r="C18" s="565"/>
      <c r="D18" s="1726">
        <f t="shared" si="0"/>
        <v>0</v>
      </c>
      <c r="E18" s="565"/>
      <c r="F18" s="1726">
        <f t="shared" si="1"/>
        <v>0</v>
      </c>
    </row>
    <row r="19" spans="1:6" ht="13.7" customHeight="1" thickBot="1" x14ac:dyDescent="0.25">
      <c r="A19" s="1727" t="s">
        <v>1160</v>
      </c>
      <c r="B19" s="1724">
        <f>SUM(B4:B18)</f>
        <v>21923304</v>
      </c>
      <c r="C19" s="1724">
        <f>SUM(C4:C18)</f>
        <v>11676897.310000001</v>
      </c>
      <c r="D19" s="1724">
        <f>SUM(D4:D18)</f>
        <v>10246406.689999999</v>
      </c>
      <c r="E19" s="1724">
        <f>SUM(E4:E18)</f>
        <v>22319648</v>
      </c>
      <c r="F19" s="1724">
        <f>SUM(F4:F18)</f>
        <v>10642750.689999999</v>
      </c>
    </row>
    <row r="20" spans="1:6" ht="13.5" thickTop="1" x14ac:dyDescent="0.2">
      <c r="B20" s="686"/>
      <c r="F20" s="689"/>
    </row>
    <row r="21" spans="1:6" x14ac:dyDescent="0.2">
      <c r="A21" s="690" t="s">
        <v>1805</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J36" sqref="J36"/>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4" t="s">
        <v>628</v>
      </c>
      <c r="B1" s="2265"/>
      <c r="C1" s="694"/>
    </row>
    <row r="2" spans="1:7" ht="33.75" x14ac:dyDescent="0.2">
      <c r="A2" s="2273" t="s">
        <v>1799</v>
      </c>
      <c r="B2" s="2274"/>
      <c r="C2" s="1857" t="s">
        <v>1953</v>
      </c>
      <c r="D2" s="696" t="s">
        <v>1954</v>
      </c>
      <c r="E2" s="696" t="s">
        <v>1955</v>
      </c>
      <c r="F2" s="1857" t="s">
        <v>1956</v>
      </c>
    </row>
    <row r="3" spans="1:7" ht="15.75" customHeight="1" x14ac:dyDescent="0.2">
      <c r="A3" s="2277" t="s">
        <v>1113</v>
      </c>
      <c r="B3" s="2278"/>
      <c r="C3" s="2266"/>
      <c r="D3" s="2267"/>
      <c r="E3" s="2267"/>
      <c r="F3" s="2268"/>
    </row>
    <row r="4" spans="1:7" ht="12.75" customHeight="1" thickBot="1" x14ac:dyDescent="0.25">
      <c r="A4" s="2275" t="s">
        <v>629</v>
      </c>
      <c r="B4" s="2276"/>
      <c r="C4" s="562"/>
      <c r="D4" s="562"/>
      <c r="E4" s="562"/>
      <c r="F4" s="1728">
        <f>SUM(C4+D4)-E4</f>
        <v>0</v>
      </c>
    </row>
    <row r="5" spans="1:7" ht="15.75" customHeight="1" thickTop="1" x14ac:dyDescent="0.2">
      <c r="A5" s="2260" t="s">
        <v>1109</v>
      </c>
      <c r="B5" s="2261"/>
      <c r="C5" s="2269"/>
      <c r="D5" s="2270"/>
      <c r="E5" s="2270"/>
      <c r="F5" s="2271"/>
    </row>
    <row r="6" spans="1:7" ht="12.75" customHeight="1" thickBot="1" x14ac:dyDescent="0.25">
      <c r="A6" s="697" t="s">
        <v>64</v>
      </c>
      <c r="B6" s="698"/>
      <c r="C6" s="699"/>
      <c r="D6" s="565">
        <v>4000000</v>
      </c>
      <c r="E6" s="699">
        <v>4000000</v>
      </c>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507</v>
      </c>
      <c r="B8" s="698"/>
      <c r="C8" s="699"/>
      <c r="D8" s="565"/>
      <c r="E8" s="699"/>
      <c r="F8" s="1728">
        <f t="shared" si="0"/>
        <v>0</v>
      </c>
    </row>
    <row r="9" spans="1:7" ht="12.75" customHeight="1" thickTop="1" thickBot="1" x14ac:dyDescent="0.25">
      <c r="A9" s="697" t="s">
        <v>508</v>
      </c>
      <c r="B9" s="698"/>
      <c r="C9" s="699"/>
      <c r="D9" s="565"/>
      <c r="E9" s="699"/>
      <c r="F9" s="1728">
        <f t="shared" si="0"/>
        <v>0</v>
      </c>
    </row>
    <row r="10" spans="1:7" ht="12.75" customHeight="1" thickTop="1" thickBot="1" x14ac:dyDescent="0.25">
      <c r="A10" s="697" t="s">
        <v>509</v>
      </c>
      <c r="B10" s="698"/>
      <c r="C10" s="699"/>
      <c r="D10" s="565"/>
      <c r="E10" s="699"/>
      <c r="F10" s="1728">
        <f t="shared" si="0"/>
        <v>0</v>
      </c>
    </row>
    <row r="11" spans="1:7" ht="12.75" customHeight="1" thickTop="1" thickBot="1" x14ac:dyDescent="0.25">
      <c r="A11" s="697" t="s">
        <v>340</v>
      </c>
      <c r="B11" s="698"/>
      <c r="C11" s="699"/>
      <c r="D11" s="565"/>
      <c r="E11" s="699"/>
      <c r="F11" s="1728">
        <f t="shared" si="0"/>
        <v>0</v>
      </c>
    </row>
    <row r="12" spans="1:7" ht="12.75" customHeight="1" thickTop="1" thickBot="1" x14ac:dyDescent="0.25">
      <c r="A12" s="697" t="s">
        <v>1156</v>
      </c>
      <c r="B12" s="698"/>
      <c r="C12" s="699"/>
      <c r="D12" s="565"/>
      <c r="E12" s="699"/>
      <c r="F12" s="1728">
        <f t="shared" si="0"/>
        <v>0</v>
      </c>
    </row>
    <row r="13" spans="1:7" ht="12.75" customHeight="1" thickTop="1" thickBot="1" x14ac:dyDescent="0.25">
      <c r="A13" s="697" t="s">
        <v>387</v>
      </c>
      <c r="B13" s="698"/>
      <c r="C13" s="699"/>
      <c r="D13" s="565"/>
      <c r="E13" s="699"/>
      <c r="F13" s="1728">
        <f t="shared" si="0"/>
        <v>0</v>
      </c>
    </row>
    <row r="14" spans="1:7" ht="12.75" customHeight="1" thickTop="1" thickBot="1" x14ac:dyDescent="0.25">
      <c r="A14" s="697" t="s">
        <v>447</v>
      </c>
      <c r="B14" s="698"/>
      <c r="C14" s="699"/>
      <c r="D14" s="565"/>
      <c r="E14" s="699"/>
      <c r="F14" s="1728">
        <f t="shared" si="0"/>
        <v>0</v>
      </c>
    </row>
    <row r="15" spans="1:7" ht="14.25" thickTop="1" thickBot="1" x14ac:dyDescent="0.25">
      <c r="A15" s="2262" t="s">
        <v>630</v>
      </c>
      <c r="B15" s="2263"/>
      <c r="C15" s="1728">
        <f>SUM(C6:C14)</f>
        <v>0</v>
      </c>
      <c r="D15" s="1728">
        <f>SUM(D6:D14)</f>
        <v>4000000</v>
      </c>
      <c r="E15" s="1728">
        <f>SUM(E6:E14)</f>
        <v>4000000</v>
      </c>
      <c r="F15" s="1728">
        <f>SUM(F6:F14)</f>
        <v>0</v>
      </c>
      <c r="G15" s="540"/>
    </row>
    <row r="16" spans="1:7" s="202" customFormat="1" ht="15.75" customHeight="1" thickTop="1" x14ac:dyDescent="0.2">
      <c r="A16" s="2272" t="s">
        <v>1110</v>
      </c>
      <c r="B16" s="2261"/>
      <c r="C16" s="2269"/>
      <c r="D16" s="2270"/>
      <c r="E16" s="2270"/>
      <c r="F16" s="2271"/>
    </row>
    <row r="17" spans="1:11" ht="12.75" customHeight="1" thickBot="1" x14ac:dyDescent="0.25">
      <c r="A17" s="2285" t="s">
        <v>64</v>
      </c>
      <c r="B17" s="2286"/>
      <c r="C17" s="699"/>
      <c r="D17" s="565"/>
      <c r="E17" s="699"/>
      <c r="F17" s="1728">
        <f>SUM(C17+D17)-E17</f>
        <v>0</v>
      </c>
    </row>
    <row r="18" spans="1:11" ht="12.75" customHeight="1" thickTop="1" thickBot="1" x14ac:dyDescent="0.25">
      <c r="A18" s="2285" t="s">
        <v>6</v>
      </c>
      <c r="B18" s="2286"/>
      <c r="C18" s="699"/>
      <c r="D18" s="565"/>
      <c r="E18" s="699"/>
      <c r="F18" s="1728">
        <f>SUM(C18+D18)-E18</f>
        <v>0</v>
      </c>
    </row>
    <row r="19" spans="1:11" ht="12.75" customHeight="1" thickTop="1" thickBot="1" x14ac:dyDescent="0.25">
      <c r="A19" s="2285" t="s">
        <v>387</v>
      </c>
      <c r="B19" s="2286"/>
      <c r="C19" s="699"/>
      <c r="D19" s="565"/>
      <c r="E19" s="699"/>
      <c r="F19" s="1728">
        <f>SUM(C19+D19)-E19</f>
        <v>0</v>
      </c>
    </row>
    <row r="20" spans="1:11" ht="12.75" customHeight="1" thickTop="1" thickBot="1" x14ac:dyDescent="0.25">
      <c r="A20" s="2285" t="s">
        <v>447</v>
      </c>
      <c r="B20" s="2286"/>
      <c r="C20" s="699"/>
      <c r="D20" s="565"/>
      <c r="E20" s="699"/>
      <c r="F20" s="1728">
        <f>SUM(C20+D20)-E20</f>
        <v>0</v>
      </c>
    </row>
    <row r="21" spans="1:11" ht="14.25" thickTop="1" thickBot="1" x14ac:dyDescent="0.25">
      <c r="A21" s="2262" t="s">
        <v>631</v>
      </c>
      <c r="B21" s="2263"/>
      <c r="C21" s="1728">
        <f>SUM(C17:C20)</f>
        <v>0</v>
      </c>
      <c r="D21" s="1728">
        <f>SUM(D17:D20)</f>
        <v>0</v>
      </c>
      <c r="E21" s="1728">
        <f>SUM(E17:E20)</f>
        <v>0</v>
      </c>
      <c r="F21" s="1728">
        <f>SUM(F17:F20)</f>
        <v>0</v>
      </c>
      <c r="G21" s="540"/>
    </row>
    <row r="22" spans="1:11" ht="15.75" customHeight="1" thickTop="1" x14ac:dyDescent="0.2">
      <c r="A22" s="2287" t="s">
        <v>1111</v>
      </c>
      <c r="B22" s="2261"/>
      <c r="C22" s="2269"/>
      <c r="D22" s="2270"/>
      <c r="E22" s="2270"/>
      <c r="F22" s="2271"/>
    </row>
    <row r="23" spans="1:11" ht="13.5" thickBot="1" x14ac:dyDescent="0.25">
      <c r="A23" s="2275" t="s">
        <v>632</v>
      </c>
      <c r="B23" s="2276"/>
      <c r="C23" s="562"/>
      <c r="D23" s="562"/>
      <c r="E23" s="562"/>
      <c r="F23" s="1728">
        <f>SUM(C23+D23)-E23</f>
        <v>0</v>
      </c>
      <c r="G23" s="540"/>
    </row>
    <row r="24" spans="1:11" ht="15.75" customHeight="1" thickTop="1" x14ac:dyDescent="0.2">
      <c r="A24" s="2287" t="s">
        <v>1112</v>
      </c>
      <c r="B24" s="2261"/>
      <c r="C24" s="2269"/>
      <c r="D24" s="2270"/>
      <c r="E24" s="2270"/>
      <c r="F24" s="2271"/>
    </row>
    <row r="25" spans="1:11" ht="13.5" thickBot="1" x14ac:dyDescent="0.25">
      <c r="A25" s="2275" t="s">
        <v>633</v>
      </c>
      <c r="B25" s="2276"/>
      <c r="C25" s="562"/>
      <c r="D25" s="562"/>
      <c r="E25" s="562"/>
      <c r="F25" s="1728">
        <f>SUM(C25+D25)-E25</f>
        <v>0</v>
      </c>
      <c r="G25" s="540"/>
    </row>
    <row r="26" spans="1:11" ht="15.75" customHeight="1" thickTop="1" x14ac:dyDescent="0.2">
      <c r="A26" s="2260" t="s">
        <v>656</v>
      </c>
      <c r="B26" s="2261"/>
      <c r="C26" s="700"/>
      <c r="D26" s="700"/>
      <c r="E26" s="700"/>
      <c r="F26" s="701"/>
    </row>
    <row r="27" spans="1:11" ht="13.5" thickBot="1" x14ac:dyDescent="0.25">
      <c r="A27" s="2262" t="s">
        <v>1069</v>
      </c>
      <c r="B27" s="2263"/>
      <c r="C27" s="565"/>
      <c r="D27" s="565"/>
      <c r="E27" s="565"/>
      <c r="F27" s="1728">
        <f>SUM(C27+D27)-E27</f>
        <v>0</v>
      </c>
      <c r="G27" s="540"/>
    </row>
    <row r="28" spans="1:11" ht="7.5" customHeight="1" thickTop="1" x14ac:dyDescent="0.2">
      <c r="A28" s="570"/>
    </row>
    <row r="29" spans="1:11" ht="23.25" customHeight="1" x14ac:dyDescent="0.2">
      <c r="A29" s="2288" t="s">
        <v>581</v>
      </c>
      <c r="B29" s="2265"/>
      <c r="C29" s="702"/>
      <c r="D29" s="702"/>
      <c r="E29" s="702"/>
      <c r="F29" s="702"/>
      <c r="G29" s="702"/>
      <c r="H29" s="702"/>
      <c r="I29" s="702"/>
      <c r="J29" s="702"/>
    </row>
    <row r="30" spans="1:11" ht="33.75" x14ac:dyDescent="0.2">
      <c r="A30" s="1502" t="s">
        <v>1070</v>
      </c>
      <c r="B30" s="703" t="s">
        <v>1123</v>
      </c>
      <c r="C30" s="1858" t="s">
        <v>582</v>
      </c>
      <c r="D30" s="1858" t="s">
        <v>1672</v>
      </c>
      <c r="E30" s="1858" t="s">
        <v>1957</v>
      </c>
      <c r="F30" s="1858" t="s">
        <v>1958</v>
      </c>
      <c r="G30" s="1858" t="s">
        <v>1908</v>
      </c>
      <c r="H30" s="1858" t="s">
        <v>1959</v>
      </c>
      <c r="I30" s="1858" t="s">
        <v>1960</v>
      </c>
      <c r="J30" s="1859" t="s">
        <v>2</v>
      </c>
      <c r="K30" s="704"/>
    </row>
    <row r="31" spans="1:11" ht="12" customHeight="1" x14ac:dyDescent="0.2">
      <c r="A31" s="705" t="s">
        <v>2119</v>
      </c>
      <c r="B31" s="706">
        <v>38671</v>
      </c>
      <c r="C31" s="707">
        <v>3495000</v>
      </c>
      <c r="D31" s="708">
        <v>6</v>
      </c>
      <c r="E31" s="707">
        <v>905000</v>
      </c>
      <c r="F31" s="707"/>
      <c r="G31" s="707"/>
      <c r="H31" s="707">
        <v>290000</v>
      </c>
      <c r="I31" s="1729">
        <f>((E31+F31)-H31)+G31</f>
        <v>615000</v>
      </c>
      <c r="J31" s="707">
        <v>615000</v>
      </c>
      <c r="K31" s="709"/>
    </row>
    <row r="32" spans="1:11" ht="12" customHeight="1" x14ac:dyDescent="0.2">
      <c r="A32" s="705" t="s">
        <v>2121</v>
      </c>
      <c r="B32" s="706">
        <v>36151</v>
      </c>
      <c r="C32" s="707">
        <v>11845157</v>
      </c>
      <c r="D32" s="708">
        <v>6</v>
      </c>
      <c r="E32" s="707">
        <v>445001</v>
      </c>
      <c r="F32" s="707"/>
      <c r="G32" s="707"/>
      <c r="H32" s="707">
        <v>445001</v>
      </c>
      <c r="I32" s="1729">
        <f>((E32+F32)-H32)+G32</f>
        <v>0</v>
      </c>
      <c r="J32" s="707"/>
      <c r="K32" s="709"/>
    </row>
    <row r="33" spans="1:11" ht="12" customHeight="1" x14ac:dyDescent="0.2">
      <c r="A33" s="705" t="s">
        <v>2122</v>
      </c>
      <c r="B33" s="706">
        <v>41982</v>
      </c>
      <c r="C33" s="707">
        <v>124100</v>
      </c>
      <c r="D33" s="708">
        <v>7</v>
      </c>
      <c r="E33" s="707">
        <v>25972</v>
      </c>
      <c r="F33" s="707"/>
      <c r="G33" s="707"/>
      <c r="H33" s="707">
        <v>25972</v>
      </c>
      <c r="I33" s="1729">
        <f t="shared" ref="I33:I48" si="1">((E33+F33)-H33)+G33</f>
        <v>0</v>
      </c>
      <c r="J33" s="707"/>
      <c r="K33" s="709"/>
    </row>
    <row r="34" spans="1:11" ht="12" customHeight="1" x14ac:dyDescent="0.2">
      <c r="A34" s="705" t="s">
        <v>2123</v>
      </c>
      <c r="B34" s="706">
        <v>41933</v>
      </c>
      <c r="C34" s="707">
        <v>60950</v>
      </c>
      <c r="D34" s="708">
        <v>7</v>
      </c>
      <c r="E34" s="707">
        <v>13090</v>
      </c>
      <c r="F34" s="707"/>
      <c r="G34" s="707"/>
      <c r="H34" s="707">
        <v>13090</v>
      </c>
      <c r="I34" s="1729">
        <f t="shared" si="1"/>
        <v>0</v>
      </c>
      <c r="J34" s="707"/>
      <c r="K34" s="710"/>
    </row>
    <row r="35" spans="1:11" ht="12" customHeight="1" x14ac:dyDescent="0.2">
      <c r="A35" s="705" t="s">
        <v>2124</v>
      </c>
      <c r="B35" s="706">
        <v>41856</v>
      </c>
      <c r="C35" s="711">
        <v>30875000</v>
      </c>
      <c r="D35" s="708">
        <v>6</v>
      </c>
      <c r="E35" s="711">
        <v>30625000</v>
      </c>
      <c r="F35" s="711"/>
      <c r="G35" s="711"/>
      <c r="H35" s="711">
        <v>580000</v>
      </c>
      <c r="I35" s="1729">
        <f t="shared" si="1"/>
        <v>30045000</v>
      </c>
      <c r="J35" s="711">
        <v>28803376</v>
      </c>
      <c r="K35" s="710"/>
    </row>
    <row r="36" spans="1:11" ht="12" customHeight="1" x14ac:dyDescent="0.2">
      <c r="A36" s="705" t="s">
        <v>2124</v>
      </c>
      <c r="B36" s="706">
        <v>42009</v>
      </c>
      <c r="C36" s="707">
        <v>9120000</v>
      </c>
      <c r="D36" s="708">
        <v>6</v>
      </c>
      <c r="E36" s="707">
        <v>9120000</v>
      </c>
      <c r="F36" s="707"/>
      <c r="G36" s="707"/>
      <c r="H36" s="707"/>
      <c r="I36" s="1729">
        <f t="shared" si="1"/>
        <v>9120000</v>
      </c>
      <c r="J36" s="707">
        <v>8891350</v>
      </c>
      <c r="K36" s="712"/>
    </row>
    <row r="37" spans="1:11" ht="12" customHeight="1" x14ac:dyDescent="0.2">
      <c r="A37" s="705" t="s">
        <v>2123</v>
      </c>
      <c r="B37" s="706">
        <v>42636</v>
      </c>
      <c r="C37" s="466">
        <v>53900</v>
      </c>
      <c r="D37" s="713">
        <v>7</v>
      </c>
      <c r="E37" s="466">
        <v>32326</v>
      </c>
      <c r="F37" s="466"/>
      <c r="G37" s="466"/>
      <c r="H37" s="466">
        <v>10479</v>
      </c>
      <c r="I37" s="1729">
        <f t="shared" si="1"/>
        <v>21847</v>
      </c>
      <c r="J37" s="466">
        <v>21847</v>
      </c>
      <c r="K37" s="710"/>
    </row>
    <row r="38" spans="1:11" ht="12" customHeight="1" x14ac:dyDescent="0.2">
      <c r="A38" s="705" t="s">
        <v>2120</v>
      </c>
      <c r="B38" s="706">
        <v>42937</v>
      </c>
      <c r="C38" s="707">
        <v>164902</v>
      </c>
      <c r="D38" s="714">
        <v>7</v>
      </c>
      <c r="E38" s="715">
        <v>134816</v>
      </c>
      <c r="F38" s="715"/>
      <c r="G38" s="715"/>
      <c r="H38" s="715">
        <v>31468</v>
      </c>
      <c r="I38" s="1729">
        <f t="shared" si="1"/>
        <v>103348</v>
      </c>
      <c r="J38" s="716">
        <v>103348</v>
      </c>
      <c r="K38" s="717"/>
    </row>
    <row r="39" spans="1:11" ht="12" customHeight="1" x14ac:dyDescent="0.2">
      <c r="A39" s="705" t="s">
        <v>2122</v>
      </c>
      <c r="B39" s="706">
        <v>43301</v>
      </c>
      <c r="C39" s="707">
        <v>1548813</v>
      </c>
      <c r="D39" s="714">
        <v>7</v>
      </c>
      <c r="E39" s="715"/>
      <c r="F39" s="715">
        <v>1548813</v>
      </c>
      <c r="G39" s="715"/>
      <c r="H39" s="715">
        <v>288274</v>
      </c>
      <c r="I39" s="1729">
        <f t="shared" si="1"/>
        <v>1260539</v>
      </c>
      <c r="J39" s="716">
        <v>1260535</v>
      </c>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57287822</v>
      </c>
      <c r="D49" s="718"/>
      <c r="E49" s="1729">
        <f t="shared" ref="E49:J49" si="2">SUM(E31:E48)</f>
        <v>41301205</v>
      </c>
      <c r="F49" s="1729">
        <f t="shared" si="2"/>
        <v>1548813</v>
      </c>
      <c r="G49" s="1729">
        <f t="shared" si="2"/>
        <v>0</v>
      </c>
      <c r="H49" s="1729">
        <f t="shared" si="2"/>
        <v>1684284</v>
      </c>
      <c r="I49" s="1729">
        <f t="shared" si="2"/>
        <v>41165734</v>
      </c>
      <c r="J49" s="1729">
        <f t="shared" si="2"/>
        <v>39695456</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911</v>
      </c>
      <c r="B52" s="2279" t="s">
        <v>583</v>
      </c>
      <c r="C52" s="2280"/>
      <c r="D52" s="2280"/>
      <c r="E52" s="722" t="s">
        <v>844</v>
      </c>
      <c r="F52" s="2281" t="s">
        <v>2125</v>
      </c>
      <c r="G52" s="2282"/>
      <c r="H52" s="709"/>
      <c r="I52" s="709"/>
      <c r="J52" s="719"/>
    </row>
    <row r="53" spans="1:11" ht="11.25" customHeight="1" x14ac:dyDescent="0.2">
      <c r="A53" s="723" t="s">
        <v>912</v>
      </c>
      <c r="B53" s="724" t="s">
        <v>950</v>
      </c>
      <c r="C53" s="719"/>
      <c r="D53" s="710"/>
      <c r="E53" s="722" t="s">
        <v>496</v>
      </c>
      <c r="F53" s="2283"/>
      <c r="G53" s="2284"/>
      <c r="H53" s="709"/>
      <c r="I53" s="709"/>
      <c r="J53" s="719"/>
    </row>
    <row r="54" spans="1:11" ht="11.25" customHeight="1" x14ac:dyDescent="0.2">
      <c r="A54" s="725" t="s">
        <v>913</v>
      </c>
      <c r="B54" s="720" t="s">
        <v>951</v>
      </c>
      <c r="C54" s="719"/>
      <c r="D54" s="710"/>
      <c r="E54" s="722" t="s">
        <v>497</v>
      </c>
      <c r="F54" s="2283"/>
      <c r="G54" s="2284"/>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N28" sqref="N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3" t="s">
        <v>855</v>
      </c>
      <c r="B1" s="2314"/>
      <c r="C1" s="2314"/>
      <c r="D1" s="2314"/>
      <c r="E1" s="2314"/>
      <c r="F1" s="2314"/>
      <c r="G1" s="2315"/>
      <c r="H1" s="1503"/>
      <c r="I1" s="733"/>
      <c r="J1" s="433"/>
    </row>
    <row r="2" spans="1:11" ht="26.25" x14ac:dyDescent="0.2">
      <c r="A2" s="2292" t="s">
        <v>1676</v>
      </c>
      <c r="B2" s="2293"/>
      <c r="C2" s="2293"/>
      <c r="D2" s="2293"/>
      <c r="E2" s="2294"/>
      <c r="F2" s="734" t="s">
        <v>903</v>
      </c>
      <c r="G2" s="735" t="s">
        <v>1673</v>
      </c>
      <c r="H2" s="735" t="s">
        <v>409</v>
      </c>
      <c r="I2" s="735" t="s">
        <v>1157</v>
      </c>
      <c r="J2" s="735" t="s">
        <v>1809</v>
      </c>
      <c r="K2" s="735" t="s">
        <v>138</v>
      </c>
    </row>
    <row r="3" spans="1:11" x14ac:dyDescent="0.2">
      <c r="A3" s="2295" t="s">
        <v>1961</v>
      </c>
      <c r="B3" s="2296"/>
      <c r="C3" s="2296"/>
      <c r="D3" s="2296"/>
      <c r="E3" s="2297"/>
      <c r="F3" s="736"/>
      <c r="G3" s="737"/>
      <c r="H3" s="737"/>
      <c r="I3" s="737"/>
      <c r="J3" s="738"/>
      <c r="K3" s="738"/>
    </row>
    <row r="4" spans="1:11" x14ac:dyDescent="0.2">
      <c r="A4" s="2298" t="s">
        <v>368</v>
      </c>
      <c r="B4" s="2299"/>
      <c r="C4" s="2299"/>
      <c r="D4" s="2299"/>
      <c r="E4" s="2280"/>
      <c r="F4" s="739"/>
      <c r="G4" s="740"/>
      <c r="H4" s="741"/>
      <c r="I4" s="740"/>
      <c r="J4" s="742"/>
      <c r="K4" s="742"/>
    </row>
    <row r="5" spans="1:11" x14ac:dyDescent="0.2">
      <c r="A5" s="2316" t="s">
        <v>1068</v>
      </c>
      <c r="B5" s="2289"/>
      <c r="C5" s="2289"/>
      <c r="D5" s="2289"/>
      <c r="E5" s="2317"/>
      <c r="F5" s="743" t="s">
        <v>847</v>
      </c>
      <c r="G5" s="744"/>
      <c r="H5" s="737">
        <v>229588</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v>16031</v>
      </c>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v>29473</v>
      </c>
    </row>
    <row r="10" spans="1:11" x14ac:dyDescent="0.2">
      <c r="A10" s="2316" t="s">
        <v>1810</v>
      </c>
      <c r="B10" s="2289"/>
      <c r="C10" s="2289"/>
      <c r="D10" s="2289"/>
      <c r="E10" s="2318"/>
      <c r="F10" s="756" t="s">
        <v>861</v>
      </c>
      <c r="G10" s="755"/>
      <c r="H10" s="757"/>
      <c r="I10" s="737"/>
      <c r="J10" s="738"/>
      <c r="K10" s="738"/>
    </row>
    <row r="11" spans="1:11" x14ac:dyDescent="0.2">
      <c r="A11" s="2316" t="s">
        <v>160</v>
      </c>
      <c r="B11" s="2289"/>
      <c r="C11" s="2289"/>
      <c r="D11" s="2289"/>
      <c r="E11" s="2317"/>
      <c r="F11" s="743" t="s">
        <v>851</v>
      </c>
      <c r="G11" s="744"/>
      <c r="H11" s="737"/>
      <c r="I11" s="737"/>
      <c r="J11" s="738"/>
      <c r="K11" s="746"/>
    </row>
    <row r="12" spans="1:11" ht="13.5" thickBot="1" x14ac:dyDescent="0.25">
      <c r="A12" s="2306" t="s">
        <v>904</v>
      </c>
      <c r="B12" s="2307"/>
      <c r="C12" s="2307"/>
      <c r="D12" s="2307"/>
      <c r="E12" s="2308"/>
      <c r="F12" s="1730"/>
      <c r="G12" s="1731">
        <f>SUM(G5:G11)</f>
        <v>0</v>
      </c>
      <c r="H12" s="1731">
        <f>SUM(H5:H11)</f>
        <v>229588</v>
      </c>
      <c r="I12" s="1731">
        <f>SUM(I5:I11)</f>
        <v>0</v>
      </c>
      <c r="J12" s="1731">
        <f>SUM(J5:J11)</f>
        <v>0</v>
      </c>
      <c r="K12" s="1731">
        <f>SUM(K5:K11)</f>
        <v>45504</v>
      </c>
    </row>
    <row r="13" spans="1:11" ht="13.5" thickTop="1" x14ac:dyDescent="0.2">
      <c r="A13" s="2300" t="s">
        <v>369</v>
      </c>
      <c r="B13" s="2301"/>
      <c r="C13" s="2301"/>
      <c r="D13" s="2301"/>
      <c r="E13" s="2302"/>
      <c r="F13" s="758"/>
      <c r="G13" s="759"/>
      <c r="H13" s="760"/>
      <c r="I13" s="761"/>
      <c r="J13" s="761"/>
      <c r="K13" s="761"/>
    </row>
    <row r="14" spans="1:11" x14ac:dyDescent="0.2">
      <c r="A14" s="2322" t="s">
        <v>455</v>
      </c>
      <c r="B14" s="2322"/>
      <c r="C14" s="2322"/>
      <c r="D14" s="2322"/>
      <c r="E14" s="2323"/>
      <c r="F14" s="762" t="s">
        <v>853</v>
      </c>
      <c r="G14" s="755"/>
      <c r="H14" s="737">
        <v>229588</v>
      </c>
      <c r="I14" s="744"/>
      <c r="J14" s="746"/>
      <c r="K14" s="738">
        <v>45504</v>
      </c>
    </row>
    <row r="15" spans="1:11" x14ac:dyDescent="0.2">
      <c r="A15" s="2289" t="s">
        <v>4</v>
      </c>
      <c r="B15" s="2289"/>
      <c r="C15" s="2289"/>
      <c r="D15" s="2289"/>
      <c r="E15" s="2317"/>
      <c r="F15" s="762" t="s">
        <v>854</v>
      </c>
      <c r="G15" s="744"/>
      <c r="H15" s="737"/>
      <c r="I15" s="737"/>
      <c r="J15" s="738"/>
      <c r="K15" s="738"/>
    </row>
    <row r="16" spans="1:11" x14ac:dyDescent="0.2">
      <c r="A16" s="2289" t="s">
        <v>297</v>
      </c>
      <c r="B16" s="2289"/>
      <c r="C16" s="2289"/>
      <c r="D16" s="2289"/>
      <c r="E16" s="2317"/>
      <c r="F16" s="762" t="s">
        <v>922</v>
      </c>
      <c r="G16" s="745"/>
      <c r="H16" s="740"/>
      <c r="I16" s="740"/>
      <c r="J16" s="742"/>
      <c r="K16" s="742"/>
    </row>
    <row r="17" spans="1:11" x14ac:dyDescent="0.2">
      <c r="A17" s="2311" t="s">
        <v>934</v>
      </c>
      <c r="B17" s="2311"/>
      <c r="C17" s="2311"/>
      <c r="D17" s="2311"/>
      <c r="E17" s="2312"/>
      <c r="F17" s="763"/>
      <c r="G17" s="764"/>
      <c r="H17" s="765"/>
      <c r="I17" s="765"/>
      <c r="J17" s="766"/>
      <c r="K17" s="767"/>
    </row>
    <row r="18" spans="1:11" x14ac:dyDescent="0.2">
      <c r="A18" s="2303" t="s">
        <v>367</v>
      </c>
      <c r="B18" s="2304"/>
      <c r="C18" s="2304"/>
      <c r="D18" s="2304"/>
      <c r="E18" s="2305"/>
      <c r="F18" s="762" t="s">
        <v>931</v>
      </c>
      <c r="G18" s="755"/>
      <c r="H18" s="755"/>
      <c r="I18" s="755"/>
      <c r="J18" s="738"/>
      <c r="K18" s="768"/>
    </row>
    <row r="19" spans="1:11" ht="21.75" customHeight="1" x14ac:dyDescent="0.2">
      <c r="A19" s="2324" t="s">
        <v>1806</v>
      </c>
      <c r="B19" s="2324"/>
      <c r="C19" s="2324"/>
      <c r="D19" s="2324"/>
      <c r="E19" s="2325"/>
      <c r="F19" s="762" t="s">
        <v>932</v>
      </c>
      <c r="G19" s="755"/>
      <c r="H19" s="755"/>
      <c r="I19" s="755"/>
      <c r="J19" s="738"/>
      <c r="K19" s="768"/>
    </row>
    <row r="20" spans="1:11" x14ac:dyDescent="0.2">
      <c r="A20" s="2303" t="s">
        <v>1811</v>
      </c>
      <c r="B20" s="2304"/>
      <c r="C20" s="2304"/>
      <c r="D20" s="2304"/>
      <c r="E20" s="2305"/>
      <c r="F20" s="762" t="s">
        <v>933</v>
      </c>
      <c r="G20" s="755"/>
      <c r="H20" s="755"/>
      <c r="I20" s="755"/>
      <c r="J20" s="738"/>
      <c r="K20" s="768"/>
    </row>
    <row r="21" spans="1:11" ht="13.5" thickBot="1" x14ac:dyDescent="0.25">
      <c r="A21" s="2309" t="s">
        <v>637</v>
      </c>
      <c r="B21" s="2309"/>
      <c r="C21" s="2309"/>
      <c r="D21" s="2309"/>
      <c r="E21" s="2309"/>
      <c r="F21" s="1732"/>
      <c r="G21" s="765"/>
      <c r="H21" s="769"/>
      <c r="I21" s="769"/>
      <c r="J21" s="1733">
        <f>SUM(J18:J20)</f>
        <v>0</v>
      </c>
      <c r="K21" s="766"/>
    </row>
    <row r="22" spans="1:11" ht="13.5" thickTop="1" x14ac:dyDescent="0.2">
      <c r="A22" s="2289" t="s">
        <v>1812</v>
      </c>
      <c r="B22" s="2289"/>
      <c r="C22" s="2289"/>
      <c r="D22" s="2289"/>
      <c r="E22" s="2317"/>
      <c r="F22" s="762" t="s">
        <v>861</v>
      </c>
      <c r="G22" s="755"/>
      <c r="H22" s="737"/>
      <c r="I22" s="737"/>
      <c r="J22" s="770"/>
      <c r="K22" s="738"/>
    </row>
    <row r="23" spans="1:11" ht="13.5" thickBot="1" x14ac:dyDescent="0.25">
      <c r="A23" s="2310" t="s">
        <v>905</v>
      </c>
      <c r="B23" s="2309"/>
      <c r="C23" s="2309"/>
      <c r="D23" s="2309"/>
      <c r="E23" s="2309"/>
      <c r="F23" s="1734"/>
      <c r="G23" s="1731">
        <f>SUM(G14:G16,G21,G22)</f>
        <v>0</v>
      </c>
      <c r="H23" s="1731">
        <f>SUM(H14:H16,H21,H22)</f>
        <v>229588</v>
      </c>
      <c r="I23" s="1731">
        <f>SUM(I14:I16,I21,I22)</f>
        <v>0</v>
      </c>
      <c r="J23" s="1731">
        <f>SUM(J14:J16,J21,J22)</f>
        <v>0</v>
      </c>
      <c r="K23" s="1731">
        <f>SUM(K14:K16,K21,K22)</f>
        <v>45504</v>
      </c>
    </row>
    <row r="24" spans="1:11" ht="14.25" thickTop="1" thickBot="1" x14ac:dyDescent="0.25">
      <c r="A24" s="2310" t="s">
        <v>1962</v>
      </c>
      <c r="B24" s="2309"/>
      <c r="C24" s="2309"/>
      <c r="D24" s="2309"/>
      <c r="E24" s="2309"/>
      <c r="F24" s="1735"/>
      <c r="G24" s="1736">
        <f>SUM(G3,G12)-G23</f>
        <v>0</v>
      </c>
      <c r="H24" s="1736">
        <f>SUM(H3,H12)-H23</f>
        <v>0</v>
      </c>
      <c r="I24" s="1736">
        <f>SUM(I3,I12)-I23</f>
        <v>0</v>
      </c>
      <c r="J24" s="1736">
        <f>SUM(J3,J12)-J23</f>
        <v>0</v>
      </c>
      <c r="K24" s="1736">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1907</v>
      </c>
      <c r="B28" s="1854"/>
      <c r="C28" s="1854"/>
      <c r="D28" s="1854"/>
      <c r="E28" s="1855"/>
      <c r="F28" s="776"/>
      <c r="G28" s="777"/>
    </row>
    <row r="29" spans="1:11" x14ac:dyDescent="0.2">
      <c r="B29" s="494"/>
      <c r="C29" s="494"/>
      <c r="D29" s="494"/>
      <c r="F29" s="202"/>
      <c r="G29" s="778"/>
    </row>
    <row r="30" spans="1:11" x14ac:dyDescent="0.2">
      <c r="A30" s="779" t="s">
        <v>571</v>
      </c>
      <c r="B30" s="780"/>
      <c r="C30" s="779" t="s">
        <v>382</v>
      </c>
      <c r="D30" s="780" t="s">
        <v>2130</v>
      </c>
      <c r="E30" s="781" t="s">
        <v>767</v>
      </c>
      <c r="F30" s="202"/>
      <c r="G30" s="778"/>
    </row>
    <row r="31" spans="1:11" x14ac:dyDescent="0.2">
      <c r="A31" s="782"/>
      <c r="D31" s="237"/>
      <c r="E31" s="783" t="s">
        <v>768</v>
      </c>
      <c r="F31" s="784" t="s">
        <v>538</v>
      </c>
      <c r="G31" s="737"/>
      <c r="H31" s="2319"/>
      <c r="I31" s="2320"/>
      <c r="J31" s="2320"/>
      <c r="K31" s="2320"/>
    </row>
    <row r="32" spans="1:11" x14ac:dyDescent="0.2">
      <c r="A32" s="782"/>
      <c r="B32" s="237"/>
      <c r="C32" s="237"/>
      <c r="D32" s="237"/>
      <c r="E32" s="778"/>
      <c r="F32" s="784" t="s">
        <v>539</v>
      </c>
      <c r="G32" s="737"/>
      <c r="H32" s="2321"/>
      <c r="I32" s="2320"/>
      <c r="J32" s="2320"/>
      <c r="K32" s="2320"/>
    </row>
    <row r="33" spans="1:11" ht="1.5" customHeight="1" x14ac:dyDescent="0.2">
      <c r="A33" s="785" t="s">
        <v>1168</v>
      </c>
      <c r="B33" s="364"/>
      <c r="C33" s="364"/>
      <c r="D33" s="364"/>
      <c r="E33" s="364"/>
      <c r="F33" s="364"/>
      <c r="G33" s="786"/>
      <c r="H33" s="2321"/>
      <c r="I33" s="2320"/>
      <c r="J33" s="2320"/>
      <c r="K33" s="2320"/>
    </row>
    <row r="34" spans="1:11" x14ac:dyDescent="0.2">
      <c r="A34" s="787" t="s">
        <v>1813</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289" t="s">
        <v>540</v>
      </c>
      <c r="B41" s="2290"/>
      <c r="C41" s="2290"/>
      <c r="D41" s="2290"/>
      <c r="E41" s="2290"/>
      <c r="F41" s="2291"/>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504" t="s">
        <v>1807</v>
      </c>
      <c r="B46" s="408" t="s">
        <v>1674</v>
      </c>
    </row>
    <row r="47" spans="1:11" s="796" customFormat="1" ht="12.75" customHeight="1" x14ac:dyDescent="0.2">
      <c r="A47" s="794"/>
      <c r="B47" s="795" t="s">
        <v>1675</v>
      </c>
      <c r="E47" s="795"/>
      <c r="K47" s="797"/>
    </row>
    <row r="48" spans="1:11" ht="12.75" customHeight="1" x14ac:dyDescent="0.2">
      <c r="A48" s="1505" t="s">
        <v>1808</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28" sqref="H28"/>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8" t="s">
        <v>1906</v>
      </c>
      <c r="B1" s="2329"/>
      <c r="C1" s="2330"/>
      <c r="D1" s="799"/>
      <c r="E1" s="800"/>
      <c r="F1" s="800"/>
      <c r="G1" s="801"/>
      <c r="H1" s="802"/>
      <c r="I1" s="803"/>
      <c r="J1" s="2326"/>
      <c r="K1" s="2327"/>
      <c r="L1" s="2327"/>
    </row>
    <row r="2" spans="1:14" ht="69.75" customHeight="1" x14ac:dyDescent="0.2">
      <c r="A2" s="804" t="s">
        <v>1677</v>
      </c>
      <c r="B2" s="805" t="s">
        <v>377</v>
      </c>
      <c r="C2" s="806" t="s">
        <v>1963</v>
      </c>
      <c r="D2" s="806" t="s">
        <v>1964</v>
      </c>
      <c r="E2" s="806" t="s">
        <v>1965</v>
      </c>
      <c r="F2" s="806" t="s">
        <v>1966</v>
      </c>
      <c r="G2" s="806" t="s">
        <v>604</v>
      </c>
      <c r="H2" s="806" t="s">
        <v>1967</v>
      </c>
      <c r="I2" s="806" t="s">
        <v>1968</v>
      </c>
      <c r="J2" s="806" t="s">
        <v>1969</v>
      </c>
      <c r="K2" s="806" t="s">
        <v>1970</v>
      </c>
      <c r="L2" s="806" t="s">
        <v>1971</v>
      </c>
      <c r="M2" s="807"/>
      <c r="N2" s="807"/>
    </row>
    <row r="3" spans="1:14" ht="13.5" thickBot="1" x14ac:dyDescent="0.25">
      <c r="A3" s="1602" t="s">
        <v>891</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892</v>
      </c>
      <c r="B5" s="813">
        <v>221</v>
      </c>
      <c r="C5" s="814">
        <v>2677288</v>
      </c>
      <c r="D5" s="814"/>
      <c r="E5" s="814"/>
      <c r="F5" s="1733">
        <f>(C5+D5)-E5</f>
        <v>2677288</v>
      </c>
      <c r="G5" s="810"/>
      <c r="H5" s="815"/>
      <c r="I5" s="815"/>
      <c r="J5" s="815"/>
      <c r="K5" s="766"/>
      <c r="L5" s="1742">
        <f>F5-K5</f>
        <v>2677288</v>
      </c>
    </row>
    <row r="6" spans="1:14" ht="14.25" thickTop="1" thickBot="1" x14ac:dyDescent="0.25">
      <c r="A6" s="751" t="s">
        <v>1116</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1117</v>
      </c>
      <c r="B8" s="813">
        <v>231</v>
      </c>
      <c r="C8" s="817">
        <v>61674505</v>
      </c>
      <c r="D8" s="817">
        <v>441183</v>
      </c>
      <c r="E8" s="817"/>
      <c r="F8" s="1733">
        <f>(C8+D8)-E8</f>
        <v>62115688</v>
      </c>
      <c r="G8" s="816">
        <v>50</v>
      </c>
      <c r="H8" s="738">
        <v>16007566</v>
      </c>
      <c r="I8" s="738">
        <v>1353348</v>
      </c>
      <c r="J8" s="738"/>
      <c r="K8" s="1742">
        <f>(H8+I8)-J8</f>
        <v>17360914</v>
      </c>
      <c r="L8" s="1742">
        <f>F8-K8</f>
        <v>44754774</v>
      </c>
    </row>
    <row r="9" spans="1:14" ht="14.25" thickTop="1" thickBot="1" x14ac:dyDescent="0.25">
      <c r="A9" s="751" t="s">
        <v>1118</v>
      </c>
      <c r="B9" s="813">
        <v>232</v>
      </c>
      <c r="C9" s="738"/>
      <c r="D9" s="738"/>
      <c r="E9" s="738"/>
      <c r="F9" s="1733">
        <f>(C9+D9)-E9</f>
        <v>0</v>
      </c>
      <c r="G9" s="816">
        <v>20</v>
      </c>
      <c r="H9" s="738"/>
      <c r="I9" s="738"/>
      <c r="J9" s="738"/>
      <c r="K9" s="1742">
        <f>(H9+I9)-J9</f>
        <v>0</v>
      </c>
      <c r="L9" s="1742">
        <f>F9-K9</f>
        <v>0</v>
      </c>
    </row>
    <row r="10" spans="1:14" ht="24" thickTop="1" thickBot="1" x14ac:dyDescent="0.25">
      <c r="A10" s="818" t="s">
        <v>1119</v>
      </c>
      <c r="B10" s="813">
        <v>240</v>
      </c>
      <c r="C10" s="819">
        <v>1189575</v>
      </c>
      <c r="D10" s="819"/>
      <c r="E10" s="819"/>
      <c r="F10" s="1737">
        <f>(C10+D10)-E10</f>
        <v>1189575</v>
      </c>
      <c r="G10" s="816">
        <v>20</v>
      </c>
      <c r="H10" s="820">
        <v>1183621</v>
      </c>
      <c r="I10" s="820">
        <v>2577</v>
      </c>
      <c r="J10" s="820"/>
      <c r="K10" s="1742">
        <f>(H10+I10)-J10</f>
        <v>1186198</v>
      </c>
      <c r="L10" s="1742">
        <f>F10-K10</f>
        <v>3377</v>
      </c>
    </row>
    <row r="11" spans="1:14" ht="13.5" thickTop="1" x14ac:dyDescent="0.2">
      <c r="A11" s="1605" t="s">
        <v>1135</v>
      </c>
      <c r="B11" s="1603">
        <v>250</v>
      </c>
      <c r="C11" s="754"/>
      <c r="D11" s="754"/>
      <c r="E11" s="754"/>
      <c r="F11" s="746"/>
      <c r="G11" s="816"/>
      <c r="H11" s="754"/>
      <c r="I11" s="754"/>
      <c r="J11" s="754"/>
      <c r="K11" s="746"/>
      <c r="L11" s="746"/>
    </row>
    <row r="12" spans="1:14" ht="13.5" thickBot="1" x14ac:dyDescent="0.25">
      <c r="A12" s="821" t="s">
        <v>1120</v>
      </c>
      <c r="B12" s="813">
        <v>251</v>
      </c>
      <c r="C12" s="817">
        <v>1739455</v>
      </c>
      <c r="D12" s="817">
        <v>10945</v>
      </c>
      <c r="E12" s="817"/>
      <c r="F12" s="1733">
        <f>(C12+D12)-E12</f>
        <v>1750400</v>
      </c>
      <c r="G12" s="816">
        <v>10</v>
      </c>
      <c r="H12" s="738">
        <v>1526472</v>
      </c>
      <c r="I12" s="738">
        <v>167604</v>
      </c>
      <c r="J12" s="738"/>
      <c r="K12" s="1742">
        <f>(H12+I12)-J12</f>
        <v>1694076</v>
      </c>
      <c r="L12" s="1742">
        <f>F12-K12</f>
        <v>56324</v>
      </c>
    </row>
    <row r="13" spans="1:14" ht="14.25" thickTop="1" thickBot="1" x14ac:dyDescent="0.25">
      <c r="A13" s="821" t="s">
        <v>1121</v>
      </c>
      <c r="B13" s="813">
        <v>252</v>
      </c>
      <c r="C13" s="817">
        <v>5387855</v>
      </c>
      <c r="D13" s="817">
        <f>1618212-10945</f>
        <v>1607267</v>
      </c>
      <c r="E13" s="817">
        <v>1127492</v>
      </c>
      <c r="F13" s="1733">
        <f>(C13+D13)-E13</f>
        <v>5867630</v>
      </c>
      <c r="G13" s="816">
        <v>5</v>
      </c>
      <c r="H13" s="738">
        <v>4401116</v>
      </c>
      <c r="I13" s="738">
        <f>242544+3952</f>
        <v>246496</v>
      </c>
      <c r="J13" s="738">
        <v>1127492</v>
      </c>
      <c r="K13" s="1742">
        <f>(H13+I13)-J13</f>
        <v>3520120</v>
      </c>
      <c r="L13" s="1742">
        <f>F13-K13</f>
        <v>2347510</v>
      </c>
    </row>
    <row r="14" spans="1:14" ht="14.25" thickTop="1" thickBot="1" x14ac:dyDescent="0.25">
      <c r="A14" s="821" t="s">
        <v>1122</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527</v>
      </c>
      <c r="B15" s="1603">
        <v>260</v>
      </c>
      <c r="C15" s="817">
        <v>315327</v>
      </c>
      <c r="D15" s="817">
        <v>63928</v>
      </c>
      <c r="E15" s="817">
        <v>315327</v>
      </c>
      <c r="F15" s="1733">
        <f>(C15+D15)-E15</f>
        <v>63928</v>
      </c>
      <c r="G15" s="822" t="s">
        <v>861</v>
      </c>
      <c r="H15" s="754"/>
      <c r="I15" s="754"/>
      <c r="J15" s="754"/>
      <c r="K15" s="754"/>
      <c r="L15" s="1742">
        <f>F15-K15</f>
        <v>63928</v>
      </c>
    </row>
    <row r="16" spans="1:14" ht="15" customHeight="1" thickTop="1" thickBot="1" x14ac:dyDescent="0.25">
      <c r="A16" s="1738" t="s">
        <v>642</v>
      </c>
      <c r="B16" s="1739">
        <v>200</v>
      </c>
      <c r="C16" s="1733">
        <f>SUM(C3,C5:C6,C8:C10,C12:C15)</f>
        <v>72984005</v>
      </c>
      <c r="D16" s="1733">
        <f>SUM(D3,D5:D6,D8:D10,D12:D15)</f>
        <v>2123323</v>
      </c>
      <c r="E16" s="1733">
        <f>SUM(E3,E5:E6,E8:E10,E12:E15)</f>
        <v>1442819</v>
      </c>
      <c r="F16" s="1733">
        <f>SUM(F3,F5:F6,F8:F10,F12:F15)</f>
        <v>73664509</v>
      </c>
      <c r="G16" s="816"/>
      <c r="H16" s="1733">
        <f>SUM(H3,H6,H8:H10,H12:H14,)</f>
        <v>23118775</v>
      </c>
      <c r="I16" s="1733">
        <f>SUM(I3,I6,I8:I10,I12:I14,)</f>
        <v>1770025</v>
      </c>
      <c r="J16" s="1733">
        <f>SUM(J3,J6,J8:J10,J12:J14,)</f>
        <v>1127492</v>
      </c>
      <c r="K16" s="1733">
        <f>(H16+I16)-J16</f>
        <v>23761308</v>
      </c>
      <c r="L16" s="1733">
        <f>F16-K16</f>
        <v>49903201</v>
      </c>
    </row>
    <row r="17" spans="1:12" ht="15" customHeight="1" thickTop="1" thickBot="1" x14ac:dyDescent="0.25">
      <c r="A17" s="1606" t="s">
        <v>290</v>
      </c>
      <c r="B17" s="1603">
        <v>700</v>
      </c>
      <c r="C17" s="742"/>
      <c r="D17" s="742"/>
      <c r="E17" s="742"/>
      <c r="F17" s="1733">
        <f>SUM('Expenditures 15-22'!I114,'Expenditures 15-22'!I151,'Expenditures 15-22'!I210,'Expenditures 15-22'!I312,'Expenditures 15-22'!I342,'Expenditures 15-22'!I367)</f>
        <v>313654</v>
      </c>
      <c r="G17" s="810">
        <v>10</v>
      </c>
      <c r="H17" s="742"/>
      <c r="I17" s="1742">
        <f>F17/G17</f>
        <v>31365.4</v>
      </c>
      <c r="J17" s="742"/>
      <c r="K17" s="768"/>
      <c r="L17" s="768"/>
    </row>
    <row r="18" spans="1:12" ht="14.25" thickTop="1" thickBot="1" x14ac:dyDescent="0.25">
      <c r="A18" s="1740" t="s">
        <v>684</v>
      </c>
      <c r="B18" s="1741"/>
      <c r="C18" s="744"/>
      <c r="D18" s="744"/>
      <c r="E18" s="744"/>
      <c r="F18" s="823"/>
      <c r="G18" s="824"/>
      <c r="H18" s="746"/>
      <c r="I18" s="1733">
        <f>SUM(I16,I17)</f>
        <v>1801390.4</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6" activePane="bottomLeft" state="frozen"/>
      <selection activeCell="AF22" sqref="AF22"/>
      <selection pane="bottomLeft" activeCell="F79" sqref="F7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34" t="s">
        <v>1972</v>
      </c>
      <c r="B1" s="2335"/>
      <c r="C1" s="2335"/>
      <c r="D1" s="2335"/>
      <c r="E1" s="2335"/>
      <c r="F1" s="2336"/>
      <c r="G1" s="828"/>
    </row>
    <row r="2" spans="1:7" ht="15" customHeight="1" thickBot="1" x14ac:dyDescent="0.25">
      <c r="A2" s="2337" t="s">
        <v>476</v>
      </c>
      <c r="B2" s="2338"/>
      <c r="C2" s="2338"/>
      <c r="D2" s="2338"/>
      <c r="E2" s="2338"/>
      <c r="F2" s="2339"/>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340"/>
      <c r="B5" s="2341"/>
      <c r="C5" s="2341"/>
      <c r="D5" s="2341"/>
      <c r="E5" s="2341"/>
      <c r="F5" s="2341"/>
    </row>
    <row r="6" spans="1:7" ht="13.5" customHeight="1" thickBot="1" x14ac:dyDescent="0.25">
      <c r="A6" s="2331" t="s">
        <v>1103</v>
      </c>
      <c r="B6" s="2332"/>
      <c r="C6" s="2332"/>
      <c r="D6" s="2332"/>
      <c r="E6" s="2332"/>
      <c r="F6" s="2333"/>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81">
        <f>'Expenditures 15-22'!K114</f>
        <v>19777085</v>
      </c>
      <c r="G8" s="838"/>
    </row>
    <row r="9" spans="1:7" x14ac:dyDescent="0.2">
      <c r="A9" s="842" t="s">
        <v>459</v>
      </c>
      <c r="B9" s="843" t="s">
        <v>1874</v>
      </c>
      <c r="C9" s="844"/>
      <c r="D9" s="842" t="s">
        <v>500</v>
      </c>
      <c r="E9" s="841"/>
      <c r="F9" s="1882">
        <f>'Expenditures 15-22'!K151</f>
        <v>2026742</v>
      </c>
      <c r="G9" s="845"/>
    </row>
    <row r="10" spans="1:7" x14ac:dyDescent="0.2">
      <c r="A10" s="842" t="s">
        <v>498</v>
      </c>
      <c r="B10" s="843" t="s">
        <v>1875</v>
      </c>
      <c r="C10" s="844"/>
      <c r="D10" s="842" t="s">
        <v>500</v>
      </c>
      <c r="E10" s="841"/>
      <c r="F10" s="1882">
        <f>'Expenditures 15-22'!K174</f>
        <v>3344991</v>
      </c>
      <c r="G10" s="845"/>
    </row>
    <row r="11" spans="1:7" x14ac:dyDescent="0.2">
      <c r="A11" s="842" t="s">
        <v>460</v>
      </c>
      <c r="B11" s="843" t="s">
        <v>1876</v>
      </c>
      <c r="C11" s="844"/>
      <c r="D11" s="842" t="s">
        <v>500</v>
      </c>
      <c r="E11" s="841"/>
      <c r="F11" s="1882">
        <f>'Expenditures 15-22'!K210</f>
        <v>3066702</v>
      </c>
      <c r="G11" s="845"/>
    </row>
    <row r="12" spans="1:7" x14ac:dyDescent="0.2">
      <c r="A12" s="842" t="s">
        <v>461</v>
      </c>
      <c r="B12" s="843" t="s">
        <v>1877</v>
      </c>
      <c r="C12" s="844"/>
      <c r="D12" s="842" t="s">
        <v>500</v>
      </c>
      <c r="E12" s="841"/>
      <c r="F12" s="1882">
        <f>'Expenditures 15-22'!K295</f>
        <v>758010</v>
      </c>
      <c r="G12" s="845"/>
    </row>
    <row r="13" spans="1:7" x14ac:dyDescent="0.2">
      <c r="A13" s="842" t="s">
        <v>106</v>
      </c>
      <c r="B13" s="843" t="s">
        <v>1878</v>
      </c>
      <c r="C13" s="844"/>
      <c r="D13" s="842" t="s">
        <v>500</v>
      </c>
      <c r="E13" s="841"/>
      <c r="F13" s="1882">
        <f>'Expenditures 15-22'!K342</f>
        <v>0</v>
      </c>
      <c r="G13" s="846"/>
    </row>
    <row r="14" spans="1:7" ht="12" customHeight="1" thickBot="1" x14ac:dyDescent="0.25">
      <c r="A14" s="1743"/>
      <c r="B14" s="1744"/>
      <c r="C14" s="1745"/>
      <c r="D14" s="1746" t="s">
        <v>500</v>
      </c>
      <c r="E14" s="1747" t="s">
        <v>957</v>
      </c>
      <c r="F14" s="1748">
        <f>SUM(F8:F13)</f>
        <v>28973530</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83">
        <f>'Revenues 9-14'!F43</f>
        <v>0</v>
      </c>
      <c r="G18" s="838"/>
    </row>
    <row r="19" spans="1:7" x14ac:dyDescent="0.2">
      <c r="A19" s="842" t="s">
        <v>460</v>
      </c>
      <c r="B19" s="843" t="s">
        <v>1010</v>
      </c>
      <c r="C19" s="850">
        <f>'Revenues 9-14'!B47</f>
        <v>1421</v>
      </c>
      <c r="D19" s="851" t="str">
        <f>'Revenues 9-14'!A47</f>
        <v>Summer Sch - Transp. Fees from Pupils or Parents (In State)</v>
      </c>
      <c r="E19" s="852"/>
      <c r="F19" s="1884">
        <f>'Revenues 9-14'!F47</f>
        <v>0</v>
      </c>
      <c r="G19" s="838"/>
    </row>
    <row r="20" spans="1:7" x14ac:dyDescent="0.2">
      <c r="A20" s="842" t="s">
        <v>460</v>
      </c>
      <c r="B20" s="843" t="s">
        <v>1011</v>
      </c>
      <c r="C20" s="848">
        <f>'Revenues 9-14'!B48</f>
        <v>1422</v>
      </c>
      <c r="D20" s="849" t="str">
        <f>'Revenues 9-14'!A48</f>
        <v>Summer Sch - Transp. Fees from Other Districts (In State)</v>
      </c>
      <c r="E20" s="841"/>
      <c r="F20" s="1885">
        <f>'Revenues 9-14'!F48</f>
        <v>0</v>
      </c>
      <c r="G20" s="838"/>
    </row>
    <row r="21" spans="1:7" x14ac:dyDescent="0.2">
      <c r="A21" s="842" t="s">
        <v>460</v>
      </c>
      <c r="B21" s="843" t="s">
        <v>1012</v>
      </c>
      <c r="C21" s="850">
        <f>'Revenues 9-14'!B49</f>
        <v>1423</v>
      </c>
      <c r="D21" s="849" t="str">
        <f>'Revenues 9-14'!A49</f>
        <v>Summer Sch - Transp. Fees from Other Sources (In State)</v>
      </c>
      <c r="E21" s="841"/>
      <c r="F21" s="1886">
        <f>'Revenues 9-14'!F49</f>
        <v>0</v>
      </c>
      <c r="G21" s="838"/>
    </row>
    <row r="22" spans="1:7" x14ac:dyDescent="0.2">
      <c r="A22" s="842" t="s">
        <v>460</v>
      </c>
      <c r="B22" s="843" t="s">
        <v>1013</v>
      </c>
      <c r="C22" s="850">
        <f>'Revenues 9-14'!B50</f>
        <v>1424</v>
      </c>
      <c r="D22" s="849" t="str">
        <f>'Revenues 9-14'!A50</f>
        <v>Summer Sch - Transp. Fees from Other Sources (Out of State)</v>
      </c>
      <c r="E22" s="841"/>
      <c r="F22" s="1886">
        <f>'Revenues 9-14'!F50</f>
        <v>0</v>
      </c>
      <c r="G22" s="838"/>
    </row>
    <row r="23" spans="1:7" x14ac:dyDescent="0.2">
      <c r="A23" s="842" t="s">
        <v>460</v>
      </c>
      <c r="B23" s="843" t="s">
        <v>1014</v>
      </c>
      <c r="C23" s="848">
        <f>'Revenues 9-14'!B52</f>
        <v>1432</v>
      </c>
      <c r="D23" s="849" t="str">
        <f>'Revenues 9-14'!A52</f>
        <v>CTE - Transp Fees from Other Districts (In State)</v>
      </c>
      <c r="E23" s="841"/>
      <c r="F23" s="1886">
        <f>'Revenues 9-14'!F52</f>
        <v>0</v>
      </c>
      <c r="G23" s="838"/>
    </row>
    <row r="24" spans="1:7" x14ac:dyDescent="0.2">
      <c r="A24" s="842" t="s">
        <v>460</v>
      </c>
      <c r="B24" s="843" t="s">
        <v>1015</v>
      </c>
      <c r="C24" s="848">
        <f>'Revenues 9-14'!B56</f>
        <v>1442</v>
      </c>
      <c r="D24" s="849" t="str">
        <f>'Revenues 9-14'!A56</f>
        <v>Special Ed - Transp Fees from Other Districts (In State)</v>
      </c>
      <c r="E24" s="841"/>
      <c r="F24" s="1886">
        <f>'Revenues 9-14'!F56</f>
        <v>0</v>
      </c>
      <c r="G24" s="838"/>
    </row>
    <row r="25" spans="1:7" x14ac:dyDescent="0.2">
      <c r="A25" s="842" t="s">
        <v>460</v>
      </c>
      <c r="B25" s="843" t="s">
        <v>1016</v>
      </c>
      <c r="C25" s="848">
        <f>'Revenues 9-14'!B59</f>
        <v>1451</v>
      </c>
      <c r="D25" s="849" t="str">
        <f>'Revenues 9-14'!A59</f>
        <v>Adult - Transp Fees from Pupils or Parents (In State)</v>
      </c>
      <c r="E25" s="841"/>
      <c r="F25" s="1886">
        <f>'Revenues 9-14'!F59</f>
        <v>0</v>
      </c>
      <c r="G25" s="838"/>
    </row>
    <row r="26" spans="1:7" x14ac:dyDescent="0.2">
      <c r="A26" s="842" t="s">
        <v>460</v>
      </c>
      <c r="B26" s="843" t="s">
        <v>1017</v>
      </c>
      <c r="C26" s="848">
        <f>'Revenues 9-14'!B60</f>
        <v>1452</v>
      </c>
      <c r="D26" s="849" t="str">
        <f>'Revenues 9-14'!A60</f>
        <v>Adult - Transp Fees from Other Districts (In State)</v>
      </c>
      <c r="E26" s="841"/>
      <c r="F26" s="1886">
        <f>'Revenues 9-14'!F60</f>
        <v>0</v>
      </c>
      <c r="G26" s="838"/>
    </row>
    <row r="27" spans="1:7" x14ac:dyDescent="0.2">
      <c r="A27" s="842" t="s">
        <v>460</v>
      </c>
      <c r="B27" s="843" t="s">
        <v>1018</v>
      </c>
      <c r="C27" s="848">
        <f>'Revenues 9-14'!B61</f>
        <v>1453</v>
      </c>
      <c r="D27" s="849" t="str">
        <f>'Revenues 9-14'!A61</f>
        <v>Adult - Transp Fees from Other Sources (In State)</v>
      </c>
      <c r="E27" s="841"/>
      <c r="F27" s="1886">
        <f>'Revenues 9-14'!F61</f>
        <v>0</v>
      </c>
      <c r="G27" s="838"/>
    </row>
    <row r="28" spans="1:7" x14ac:dyDescent="0.2">
      <c r="A28" s="842" t="s">
        <v>460</v>
      </c>
      <c r="B28" s="843" t="s">
        <v>1019</v>
      </c>
      <c r="C28" s="848">
        <f>'Revenues 9-14'!B62</f>
        <v>1454</v>
      </c>
      <c r="D28" s="849" t="str">
        <f>'Revenues 9-14'!A62</f>
        <v>Adult - Transp Fees from Other Sources (Out of State)</v>
      </c>
      <c r="E28" s="841"/>
      <c r="F28" s="1886">
        <f>'Revenues 9-14'!F62</f>
        <v>0</v>
      </c>
      <c r="G28" s="838"/>
    </row>
    <row r="29" spans="1:7" x14ac:dyDescent="0.2">
      <c r="A29" s="842" t="s">
        <v>1096</v>
      </c>
      <c r="B29" s="843" t="s">
        <v>809</v>
      </c>
      <c r="C29" s="853">
        <f>'Revenues 9-14'!B149</f>
        <v>3410</v>
      </c>
      <c r="D29" s="854" t="str">
        <f>'Revenues 9-14'!A149</f>
        <v>Adult Ed (from ICCB)</v>
      </c>
      <c r="E29" s="841"/>
      <c r="F29" s="1886">
        <f>SUM('Revenues 9-14'!D149,'Revenues 9-14'!F149)</f>
        <v>0</v>
      </c>
      <c r="G29" s="838"/>
    </row>
    <row r="30" spans="1:7" x14ac:dyDescent="0.2">
      <c r="A30" s="842" t="s">
        <v>1096</v>
      </c>
      <c r="B30" s="843" t="s">
        <v>1996</v>
      </c>
      <c r="C30" s="853">
        <f>'Revenues 9-14'!B150</f>
        <v>3499</v>
      </c>
      <c r="D30" s="854" t="str">
        <f>'Revenues 9-14'!A150</f>
        <v>Adult Ed - Other (Describe &amp; Itemize)</v>
      </c>
      <c r="E30" s="841"/>
      <c r="F30" s="1887">
        <f>('Revenues 9-14'!D150+'Revenues 9-14'!F150)</f>
        <v>0</v>
      </c>
      <c r="G30" s="838"/>
    </row>
    <row r="31" spans="1:7" x14ac:dyDescent="0.2">
      <c r="A31" s="842" t="s">
        <v>1096</v>
      </c>
      <c r="B31" s="843" t="s">
        <v>1997</v>
      </c>
      <c r="C31" s="848">
        <f>'Revenues 9-14'!B211</f>
        <v>4600</v>
      </c>
      <c r="D31" s="856" t="str">
        <f>'Revenues 9-14'!A211</f>
        <v>Fed - Spec Education - Preschool Flow-Through</v>
      </c>
      <c r="E31" s="857"/>
      <c r="F31" s="1886">
        <f>SUM('Revenues 9-14'!D211,'Revenues 9-14'!F211)</f>
        <v>0</v>
      </c>
      <c r="G31" s="838"/>
    </row>
    <row r="32" spans="1:7" x14ac:dyDescent="0.2">
      <c r="A32" s="842" t="s">
        <v>1096</v>
      </c>
      <c r="B32" s="843" t="s">
        <v>1998</v>
      </c>
      <c r="C32" s="848">
        <f>'Revenues 9-14'!B212</f>
        <v>4605</v>
      </c>
      <c r="D32" s="858" t="str">
        <f>'Revenues 9-14'!A212</f>
        <v>Fed - Spec Education - Preschool Discretionary</v>
      </c>
      <c r="E32" s="857"/>
      <c r="F32" s="1886">
        <f>SUM('Revenues 9-14'!D212,'Revenues 9-14'!F212)</f>
        <v>0</v>
      </c>
      <c r="G32" s="838"/>
    </row>
    <row r="33" spans="1:7" x14ac:dyDescent="0.2">
      <c r="A33" s="842" t="s">
        <v>459</v>
      </c>
      <c r="B33" s="843" t="s">
        <v>1999</v>
      </c>
      <c r="C33" s="848">
        <f>'Revenues 9-14'!B222</f>
        <v>4810</v>
      </c>
      <c r="D33" s="856" t="str">
        <f>'Revenues 9-14'!A222</f>
        <v>Federal - Adult Education</v>
      </c>
      <c r="E33" s="841"/>
      <c r="F33" s="1886">
        <f>'Revenues 9-14'!D222</f>
        <v>0</v>
      </c>
      <c r="G33" s="838"/>
    </row>
    <row r="34" spans="1:7" x14ac:dyDescent="0.2">
      <c r="A34" s="842" t="s">
        <v>458</v>
      </c>
      <c r="B34" s="842" t="s">
        <v>1468</v>
      </c>
      <c r="C34" s="859" t="str">
        <f>'Expenditures 15-22'!B7</f>
        <v>1125</v>
      </c>
      <c r="D34" s="860" t="str">
        <f>'Expenditures 15-22'!A7</f>
        <v>Pre-K Programs</v>
      </c>
      <c r="E34" s="841"/>
      <c r="F34" s="1886">
        <f>'Expenditures 15-22'!K7-SUM('Expenditures 15-22'!G7,'Expenditures 15-22'!I7)</f>
        <v>385970</v>
      </c>
      <c r="G34" s="838"/>
    </row>
    <row r="35" spans="1:7" x14ac:dyDescent="0.2">
      <c r="A35" s="842" t="s">
        <v>458</v>
      </c>
      <c r="B35" s="842" t="s">
        <v>1469</v>
      </c>
      <c r="C35" s="859" t="str">
        <f>'Expenditures 15-22'!B9</f>
        <v>1225</v>
      </c>
      <c r="D35" s="860" t="str">
        <f>'Expenditures 15-22'!A9</f>
        <v>Special Education Programs Pre-K</v>
      </c>
      <c r="E35" s="841"/>
      <c r="F35" s="1886">
        <f>'Expenditures 15-22'!K9-SUM('Expenditures 15-22'!G9+'Expenditures 15-22'!I9)</f>
        <v>80181</v>
      </c>
      <c r="G35" s="838"/>
    </row>
    <row r="36" spans="1:7" x14ac:dyDescent="0.2">
      <c r="A36" s="842" t="s">
        <v>458</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458</v>
      </c>
      <c r="B37" s="842" t="s">
        <v>1470</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458</v>
      </c>
      <c r="B38" s="842" t="s">
        <v>1471</v>
      </c>
      <c r="C38" s="859">
        <f>'Expenditures 15-22'!B15</f>
        <v>1600</v>
      </c>
      <c r="D38" s="861" t="str">
        <f>'Expenditures 15-22'!A15</f>
        <v>Summer School Programs</v>
      </c>
      <c r="E38" s="841"/>
      <c r="F38" s="1886">
        <f>'Expenditures 15-22'!K15-SUM('Expenditures 15-22'!G15,'Expenditures 15-22'!I15)</f>
        <v>0</v>
      </c>
      <c r="G38" s="838"/>
    </row>
    <row r="39" spans="1:7" x14ac:dyDescent="0.2">
      <c r="A39" s="842" t="s">
        <v>458</v>
      </c>
      <c r="B39" s="842" t="s">
        <v>117</v>
      </c>
      <c r="C39" s="859" t="str">
        <f>'Expenditures 15-22'!B20</f>
        <v>1910</v>
      </c>
      <c r="D39" s="861" t="str">
        <f>'Expenditures 15-22'!A20</f>
        <v>Pre-K Programs - Private Tuition</v>
      </c>
      <c r="E39" s="841"/>
      <c r="F39" s="1886">
        <f>'Expenditures 15-22'!K20</f>
        <v>0</v>
      </c>
      <c r="G39" s="838"/>
    </row>
    <row r="40" spans="1:7" x14ac:dyDescent="0.2">
      <c r="A40" s="842" t="s">
        <v>458</v>
      </c>
      <c r="B40" s="842" t="s">
        <v>118</v>
      </c>
      <c r="C40" s="859" t="str">
        <f>'Expenditures 15-22'!B21</f>
        <v>1911</v>
      </c>
      <c r="D40" s="861" t="str">
        <f>'Expenditures 15-22'!A21</f>
        <v>Regular K-12 Programs - Private Tuition</v>
      </c>
      <c r="E40" s="841"/>
      <c r="F40" s="1886">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86">
        <f>'Expenditures 15-22'!K22</f>
        <v>396477</v>
      </c>
      <c r="G41" s="838"/>
    </row>
    <row r="42" spans="1:7" x14ac:dyDescent="0.2">
      <c r="A42" s="842" t="s">
        <v>458</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458</v>
      </c>
      <c r="B46" s="842" t="s">
        <v>124</v>
      </c>
      <c r="C46" s="859" t="str">
        <f>'Expenditures 15-22'!B27</f>
        <v>1917</v>
      </c>
      <c r="D46" s="861" t="str">
        <f>'Expenditures 15-22'!A27</f>
        <v>CTE Programs - Private Tuition</v>
      </c>
      <c r="E46" s="841"/>
      <c r="F46" s="1886">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458</v>
      </c>
      <c r="B49" s="842" t="s">
        <v>127</v>
      </c>
      <c r="C49" s="859" t="str">
        <f>'Expenditures 15-22'!B30</f>
        <v>1920</v>
      </c>
      <c r="D49" s="861" t="str">
        <f>'Expenditures 15-22'!A30</f>
        <v>Gifted Programs - Private Tuition</v>
      </c>
      <c r="E49" s="841"/>
      <c r="F49" s="1886">
        <f>'Expenditures 15-22'!K30</f>
        <v>0</v>
      </c>
      <c r="G49" s="838"/>
    </row>
    <row r="50" spans="1:7" x14ac:dyDescent="0.2">
      <c r="A50" s="842" t="s">
        <v>458</v>
      </c>
      <c r="B50" s="842" t="s">
        <v>128</v>
      </c>
      <c r="C50" s="859" t="str">
        <f>'Expenditures 15-22'!B31</f>
        <v>1921</v>
      </c>
      <c r="D50" s="861" t="str">
        <f>'Expenditures 15-22'!A31</f>
        <v>Bilingual Programs - Private Tuition</v>
      </c>
      <c r="E50" s="841"/>
      <c r="F50" s="1886">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86">
        <f>'Expenditures 15-22'!K32</f>
        <v>0</v>
      </c>
      <c r="G51" s="838"/>
    </row>
    <row r="52" spans="1:7" x14ac:dyDescent="0.2">
      <c r="A52" s="842" t="s">
        <v>458</v>
      </c>
      <c r="B52" s="842" t="s">
        <v>1473</v>
      </c>
      <c r="C52" s="862" t="str">
        <f>'Expenditures 15-22'!B75</f>
        <v>3000</v>
      </c>
      <c r="D52" s="861" t="s">
        <v>448</v>
      </c>
      <c r="E52" s="841"/>
      <c r="F52" s="1886">
        <f>'Expenditures 15-22'!K75-SUM('Expenditures 15-22'!G75,'Expenditures 15-22'!I75)</f>
        <v>2332</v>
      </c>
      <c r="G52" s="838"/>
    </row>
    <row r="53" spans="1:7" x14ac:dyDescent="0.2">
      <c r="A53" s="842" t="s">
        <v>458</v>
      </c>
      <c r="B53" s="842" t="s">
        <v>1474</v>
      </c>
      <c r="C53" s="862">
        <f>'Expenditures 15-22'!B102</f>
        <v>4000</v>
      </c>
      <c r="D53" s="861" t="str">
        <f>'Expenditures 15-22'!A102</f>
        <v>Total Payments to Other Govt Units</v>
      </c>
      <c r="E53" s="841"/>
      <c r="F53" s="1886">
        <f>'Expenditures 15-22'!K102</f>
        <v>600127</v>
      </c>
      <c r="G53" s="838"/>
    </row>
    <row r="54" spans="1:7" x14ac:dyDescent="0.2">
      <c r="A54" s="842" t="s">
        <v>458</v>
      </c>
      <c r="B54" s="842" t="s">
        <v>1475</v>
      </c>
      <c r="C54" s="862" t="s">
        <v>981</v>
      </c>
      <c r="D54" s="858" t="s">
        <v>1094</v>
      </c>
      <c r="E54" s="841"/>
      <c r="F54" s="1886">
        <f>'Expenditures 15-22'!G114</f>
        <v>39644</v>
      </c>
      <c r="G54" s="838"/>
    </row>
    <row r="55" spans="1:7" x14ac:dyDescent="0.2">
      <c r="A55" s="842" t="s">
        <v>458</v>
      </c>
      <c r="B55" s="842" t="s">
        <v>1476</v>
      </c>
      <c r="C55" s="862" t="s">
        <v>981</v>
      </c>
      <c r="D55" s="858" t="s">
        <v>290</v>
      </c>
      <c r="E55" s="841"/>
      <c r="F55" s="1886">
        <f>'Expenditures 15-22'!I114</f>
        <v>241916</v>
      </c>
      <c r="G55" s="838"/>
    </row>
    <row r="56" spans="1:7" x14ac:dyDescent="0.2">
      <c r="A56" s="842" t="s">
        <v>459</v>
      </c>
      <c r="B56" s="842" t="s">
        <v>1477</v>
      </c>
      <c r="C56" s="859" t="str">
        <f>'Expenditures 15-22'!B130</f>
        <v>3000</v>
      </c>
      <c r="D56" s="865" t="s">
        <v>448</v>
      </c>
      <c r="E56" s="841"/>
      <c r="F56" s="1886">
        <f>'Expenditures 15-22'!K130-SUM('Expenditures 15-22'!G130+'Expenditures 15-22'!I130)</f>
        <v>0</v>
      </c>
      <c r="G56" s="838"/>
    </row>
    <row r="57" spans="1:7" x14ac:dyDescent="0.2">
      <c r="A57" s="842" t="s">
        <v>459</v>
      </c>
      <c r="B57" s="842" t="s">
        <v>1879</v>
      </c>
      <c r="C57" s="862">
        <f>'Expenditures 15-22'!B139</f>
        <v>4000</v>
      </c>
      <c r="D57" s="860" t="str">
        <f>'Expenditures 15-22'!A139</f>
        <v>Total Payments to Other Govt Units</v>
      </c>
      <c r="E57" s="841"/>
      <c r="F57" s="1886">
        <f>'Expenditures 15-22'!K139</f>
        <v>0</v>
      </c>
      <c r="G57" s="838"/>
    </row>
    <row r="58" spans="1:7" x14ac:dyDescent="0.2">
      <c r="A58" s="842" t="s">
        <v>459</v>
      </c>
      <c r="B58" s="842" t="s">
        <v>1880</v>
      </c>
      <c r="C58" s="859" t="s">
        <v>981</v>
      </c>
      <c r="D58" s="858" t="s">
        <v>1094</v>
      </c>
      <c r="E58" s="841"/>
      <c r="F58" s="1888">
        <f>'Expenditures 15-22'!G151</f>
        <v>92238</v>
      </c>
      <c r="G58" s="838"/>
    </row>
    <row r="59" spans="1:7" x14ac:dyDescent="0.2">
      <c r="A59" s="866" t="s">
        <v>459</v>
      </c>
      <c r="B59" s="829" t="s">
        <v>1881</v>
      </c>
      <c r="C59" s="867" t="s">
        <v>981</v>
      </c>
      <c r="D59" s="829" t="s">
        <v>290</v>
      </c>
      <c r="F59" s="1889">
        <f>'Expenditures 15-22'!I151</f>
        <v>71738</v>
      </c>
      <c r="G59" s="838"/>
    </row>
    <row r="60" spans="1:7" x14ac:dyDescent="0.2">
      <c r="A60" s="866" t="s">
        <v>498</v>
      </c>
      <c r="B60" s="829" t="s">
        <v>1882</v>
      </c>
      <c r="C60" s="867">
        <v>4000</v>
      </c>
      <c r="D60" s="829" t="s">
        <v>311</v>
      </c>
      <c r="F60" s="1887">
        <f>'Expenditures 15-22'!K160</f>
        <v>0</v>
      </c>
      <c r="G60" s="838"/>
    </row>
    <row r="61" spans="1:7" x14ac:dyDescent="0.2">
      <c r="A61" s="868" t="s">
        <v>498</v>
      </c>
      <c r="B61" s="868" t="s">
        <v>1883</v>
      </c>
      <c r="C61" s="869" t="str">
        <f>'Expenditures 15-22'!B170</f>
        <v>5300</v>
      </c>
      <c r="D61" s="870" t="s">
        <v>310</v>
      </c>
      <c r="E61" s="852"/>
      <c r="F61" s="1886">
        <f>'Expenditures 15-22'!K170</f>
        <v>1346470</v>
      </c>
      <c r="G61" s="838"/>
    </row>
    <row r="62" spans="1:7" x14ac:dyDescent="0.2">
      <c r="A62" s="842" t="s">
        <v>460</v>
      </c>
      <c r="B62" s="842" t="s">
        <v>1884</v>
      </c>
      <c r="C62" s="859">
        <f>'Expenditures 15-22'!B185</f>
        <v>3000</v>
      </c>
      <c r="D62" s="849" t="s">
        <v>448</v>
      </c>
      <c r="E62" s="841"/>
      <c r="F62" s="1886">
        <f>'Expenditures 15-22'!K185-SUM('Expenditures 15-22'!G185,'Expenditures 15-22'!I185)</f>
        <v>0</v>
      </c>
      <c r="G62" s="838"/>
    </row>
    <row r="63" spans="1:7" x14ac:dyDescent="0.2">
      <c r="A63" s="842" t="s">
        <v>460</v>
      </c>
      <c r="B63" s="842" t="s">
        <v>1885</v>
      </c>
      <c r="C63" s="859" t="str">
        <f>'Expenditures 15-22'!B196</f>
        <v>4000</v>
      </c>
      <c r="D63" s="860" t="str">
        <f>'Expenditures 15-22'!A196</f>
        <v>Total Payments to Other Govt Units</v>
      </c>
      <c r="E63" s="841"/>
      <c r="F63" s="1886">
        <f>'Expenditures 15-22'!K196</f>
        <v>0</v>
      </c>
      <c r="G63" s="838"/>
    </row>
    <row r="64" spans="1:7" x14ac:dyDescent="0.2">
      <c r="A64" s="868" t="s">
        <v>460</v>
      </c>
      <c r="B64" s="868" t="s">
        <v>1886</v>
      </c>
      <c r="C64" s="869" t="str">
        <f>'Expenditures 15-22'!B206</f>
        <v>5300</v>
      </c>
      <c r="D64" s="865" t="s">
        <v>310</v>
      </c>
      <c r="E64" s="841"/>
      <c r="F64" s="1886">
        <f>'Expenditures 15-22'!K206</f>
        <v>337816</v>
      </c>
      <c r="G64" s="838"/>
    </row>
    <row r="65" spans="1:8" x14ac:dyDescent="0.2">
      <c r="A65" s="842" t="s">
        <v>460</v>
      </c>
      <c r="B65" s="842" t="s">
        <v>1887</v>
      </c>
      <c r="C65" s="859" t="s">
        <v>981</v>
      </c>
      <c r="D65" s="858" t="s">
        <v>1094</v>
      </c>
      <c r="E65" s="841"/>
      <c r="F65" s="1886">
        <f>'Expenditures 15-22'!G210</f>
        <v>1559758</v>
      </c>
      <c r="G65" s="838"/>
    </row>
    <row r="66" spans="1:8" x14ac:dyDescent="0.2">
      <c r="A66" s="842" t="s">
        <v>460</v>
      </c>
      <c r="B66" s="842" t="s">
        <v>1888</v>
      </c>
      <c r="C66" s="859" t="s">
        <v>981</v>
      </c>
      <c r="D66" s="858" t="s">
        <v>290</v>
      </c>
      <c r="E66" s="841"/>
      <c r="F66" s="1886">
        <f>'Expenditures 15-22'!I210</f>
        <v>0</v>
      </c>
      <c r="G66" s="838"/>
    </row>
    <row r="67" spans="1:8" x14ac:dyDescent="0.2">
      <c r="A67" s="842" t="s">
        <v>461</v>
      </c>
      <c r="B67" s="842" t="s">
        <v>1889</v>
      </c>
      <c r="C67" s="859" t="str">
        <f>'Expenditures 15-22'!B216</f>
        <v>1125</v>
      </c>
      <c r="D67" s="865" t="str">
        <f>'Expenditures 15-22'!A216</f>
        <v>Pre-K Programs</v>
      </c>
      <c r="E67" s="841"/>
      <c r="F67" s="1886">
        <f>'Expenditures 15-22'!K216</f>
        <v>0</v>
      </c>
      <c r="G67" s="838"/>
    </row>
    <row r="68" spans="1:8" x14ac:dyDescent="0.2">
      <c r="A68" s="842" t="s">
        <v>461</v>
      </c>
      <c r="B68" s="842" t="s">
        <v>1478</v>
      </c>
      <c r="C68" s="859" t="str">
        <f>'Expenditures 15-22'!B218</f>
        <v>1225</v>
      </c>
      <c r="D68" s="865" t="str">
        <f>'Expenditures 15-22'!A218</f>
        <v>Special Education Programs - Pre-K</v>
      </c>
      <c r="E68" s="841"/>
      <c r="F68" s="1886">
        <f>'Expenditures 15-22'!K218</f>
        <v>4348</v>
      </c>
      <c r="G68" s="838"/>
    </row>
    <row r="69" spans="1:8" x14ac:dyDescent="0.2">
      <c r="A69" s="842" t="s">
        <v>461</v>
      </c>
      <c r="B69" s="842" t="s">
        <v>1890</v>
      </c>
      <c r="C69" s="859" t="str">
        <f>'Expenditures 15-22'!B220</f>
        <v>1275</v>
      </c>
      <c r="D69" s="865" t="str">
        <f>'Expenditures 15-22'!A220</f>
        <v>Remedial and Supplemental Programs - Pre-K</v>
      </c>
      <c r="E69" s="841"/>
      <c r="F69" s="1886">
        <f>'Expenditures 15-22'!K220</f>
        <v>0</v>
      </c>
      <c r="G69" s="838"/>
    </row>
    <row r="70" spans="1:8" x14ac:dyDescent="0.2">
      <c r="A70" s="842" t="s">
        <v>461</v>
      </c>
      <c r="B70" s="842" t="s">
        <v>1891</v>
      </c>
      <c r="C70" s="859">
        <f>'Expenditures 15-22'!B221</f>
        <v>1300</v>
      </c>
      <c r="D70" s="860" t="str">
        <f>'Expenditures 15-22'!A221</f>
        <v>Adult/Continuing Education Programs</v>
      </c>
      <c r="E70" s="841"/>
      <c r="F70" s="1886">
        <f>'Expenditures 15-22'!K221</f>
        <v>0</v>
      </c>
      <c r="G70" s="838"/>
    </row>
    <row r="71" spans="1:8" x14ac:dyDescent="0.2">
      <c r="A71" s="842" t="s">
        <v>461</v>
      </c>
      <c r="B71" s="842" t="s">
        <v>1892</v>
      </c>
      <c r="C71" s="859">
        <f>'Expenditures 15-22'!B224</f>
        <v>1600</v>
      </c>
      <c r="D71" s="860" t="str">
        <f>'Expenditures 15-22'!A224</f>
        <v>Summer School Programs</v>
      </c>
      <c r="E71" s="841"/>
      <c r="F71" s="1886">
        <f>'Expenditures 15-22'!K224</f>
        <v>0</v>
      </c>
      <c r="G71" s="838"/>
    </row>
    <row r="72" spans="1:8" x14ac:dyDescent="0.2">
      <c r="A72" s="842" t="s">
        <v>461</v>
      </c>
      <c r="B72" s="842" t="s">
        <v>1893</v>
      </c>
      <c r="C72" s="859">
        <f>'Expenditures 15-22'!B280</f>
        <v>3000</v>
      </c>
      <c r="D72" s="849" t="s">
        <v>448</v>
      </c>
      <c r="E72" s="841"/>
      <c r="F72" s="1886">
        <f>'Expenditures 15-22'!K280</f>
        <v>0</v>
      </c>
      <c r="G72" s="838"/>
    </row>
    <row r="73" spans="1:8" x14ac:dyDescent="0.2">
      <c r="A73" s="842" t="s">
        <v>461</v>
      </c>
      <c r="B73" s="842" t="s">
        <v>1894</v>
      </c>
      <c r="C73" s="859" t="str">
        <f>'Expenditures 15-22'!B285</f>
        <v>4000</v>
      </c>
      <c r="D73" s="860" t="str">
        <f>'Expenditures 15-22'!A285</f>
        <v>Total Payments to Other Govt Units</v>
      </c>
      <c r="E73" s="841"/>
      <c r="F73" s="1886">
        <f>'Expenditures 15-22'!K285</f>
        <v>0</v>
      </c>
      <c r="G73" s="838"/>
    </row>
    <row r="74" spans="1:8" x14ac:dyDescent="0.2">
      <c r="A74" s="842" t="s">
        <v>435</v>
      </c>
      <c r="B74" s="842" t="s">
        <v>1895</v>
      </c>
      <c r="C74" s="859" t="s">
        <v>859</v>
      </c>
      <c r="D74" s="860" t="s">
        <v>1486</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1896</v>
      </c>
      <c r="E76" s="1747" t="s">
        <v>957</v>
      </c>
      <c r="F76" s="1751">
        <f>SUM(F18:F74)</f>
        <v>5159015</v>
      </c>
      <c r="G76" s="838"/>
    </row>
    <row r="77" spans="1:8" s="866" customFormat="1" ht="12" customHeight="1" thickTop="1" thickBot="1" x14ac:dyDescent="0.25">
      <c r="A77" s="1752"/>
      <c r="B77" s="1749"/>
      <c r="C77" s="1745"/>
      <c r="D77" s="1750" t="s">
        <v>1897</v>
      </c>
      <c r="E77" s="1747"/>
      <c r="F77" s="1753">
        <f>(F14-F76)</f>
        <v>23814515</v>
      </c>
      <c r="G77" s="842"/>
    </row>
    <row r="78" spans="1:8" s="866" customFormat="1" ht="12" customHeight="1" thickTop="1" x14ac:dyDescent="0.2">
      <c r="A78" s="1754"/>
      <c r="B78" s="1749"/>
      <c r="C78" s="1745"/>
      <c r="D78" s="1750" t="s">
        <v>2059</v>
      </c>
      <c r="E78" s="1747"/>
      <c r="F78" s="871">
        <v>1632.3</v>
      </c>
      <c r="G78" s="872"/>
      <c r="H78" s="842"/>
    </row>
    <row r="79" spans="1:8" s="866" customFormat="1" ht="12" customHeight="1" thickBot="1" x14ac:dyDescent="0.25">
      <c r="A79" s="1755"/>
      <c r="B79" s="1749"/>
      <c r="C79" s="1745"/>
      <c r="D79" s="1750" t="s">
        <v>1898</v>
      </c>
      <c r="E79" s="1747" t="s">
        <v>957</v>
      </c>
      <c r="F79" s="1756">
        <f>IF(F78&gt;0,F77/F78," Complete Line 78")</f>
        <v>14589.545426698523</v>
      </c>
      <c r="G79" s="842"/>
    </row>
    <row r="80" spans="1:8" s="866" customFormat="1" ht="8.25" customHeight="1" thickTop="1" x14ac:dyDescent="0.2">
      <c r="A80" s="873"/>
      <c r="B80" s="842"/>
      <c r="C80" s="844"/>
      <c r="D80" s="874"/>
      <c r="E80" s="841"/>
      <c r="F80" s="875"/>
      <c r="G80" s="842"/>
    </row>
    <row r="81" spans="1:7" s="866" customFormat="1" ht="12" thickBot="1" x14ac:dyDescent="0.25">
      <c r="A81" s="2331" t="s">
        <v>1104</v>
      </c>
      <c r="B81" s="2332"/>
      <c r="C81" s="2332"/>
      <c r="D81" s="2332"/>
      <c r="E81" s="2332"/>
      <c r="F81" s="2333"/>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80">
        <f>'Revenues 9-14'!F42</f>
        <v>0</v>
      </c>
      <c r="G84" s="885"/>
    </row>
    <row r="85" spans="1:7" x14ac:dyDescent="0.2">
      <c r="A85" s="881" t="s">
        <v>460</v>
      </c>
      <c r="B85" s="881" t="s">
        <v>183</v>
      </c>
      <c r="C85" s="886">
        <f>'Revenues 9-14'!B44</f>
        <v>1413</v>
      </c>
      <c r="D85" s="884" t="str">
        <f>'Revenues 9-14'!A44</f>
        <v>Regular - Transp Fees from Other Sources (In State)</v>
      </c>
      <c r="E85" s="879"/>
      <c r="F85" s="1762">
        <f>'Revenues 9-14'!F44</f>
        <v>0</v>
      </c>
      <c r="G85" s="887"/>
    </row>
    <row r="86" spans="1:7" x14ac:dyDescent="0.2">
      <c r="A86" s="881" t="s">
        <v>460</v>
      </c>
      <c r="B86" s="881" t="s">
        <v>166</v>
      </c>
      <c r="C86" s="883">
        <f>'Revenues 9-14'!B45</f>
        <v>1415</v>
      </c>
      <c r="D86" s="884" t="str">
        <f>'Revenues 9-14'!A45</f>
        <v>Regular - Transp Fees from Co-curricular Activities (In State)</v>
      </c>
      <c r="E86" s="879"/>
      <c r="F86" s="1762">
        <f>'Revenues 9-14'!F45</f>
        <v>604</v>
      </c>
      <c r="G86" s="887"/>
    </row>
    <row r="87" spans="1:7" x14ac:dyDescent="0.2">
      <c r="A87" s="881" t="s">
        <v>460</v>
      </c>
      <c r="B87" s="881" t="s">
        <v>167</v>
      </c>
      <c r="C87" s="883">
        <v>1416</v>
      </c>
      <c r="D87" s="884" t="str">
        <f>'Revenues 9-14'!A46</f>
        <v>Regular Transp Fees from Other Sources (Out of State)</v>
      </c>
      <c r="E87" s="879"/>
      <c r="F87" s="1762">
        <f>'Revenues 9-14'!F46</f>
        <v>0</v>
      </c>
      <c r="G87" s="887"/>
    </row>
    <row r="88" spans="1:7" x14ac:dyDescent="0.2">
      <c r="A88" s="881" t="s">
        <v>460</v>
      </c>
      <c r="B88" s="881" t="s">
        <v>168</v>
      </c>
      <c r="C88" s="883">
        <f>'Revenues 9-14'!B51</f>
        <v>1431</v>
      </c>
      <c r="D88" s="884" t="str">
        <f>'Revenues 9-14'!A51</f>
        <v>CTE - Transp Fees from Pupils or Parents (In State)</v>
      </c>
      <c r="E88" s="879"/>
      <c r="F88" s="1762">
        <f>'Revenues 9-14'!F51</f>
        <v>0</v>
      </c>
      <c r="G88" s="887"/>
    </row>
    <row r="89" spans="1:7" x14ac:dyDescent="0.2">
      <c r="A89" s="881" t="s">
        <v>460</v>
      </c>
      <c r="B89" s="881" t="s">
        <v>169</v>
      </c>
      <c r="C89" s="883">
        <f>'Revenues 9-14'!B53</f>
        <v>1433</v>
      </c>
      <c r="D89" s="884" t="str">
        <f>'Revenues 9-14'!A53</f>
        <v>CTE - Transp Fees from Other Sources (In State)</v>
      </c>
      <c r="E89" s="879"/>
      <c r="F89" s="1762">
        <f>'Revenues 9-14'!F53</f>
        <v>0</v>
      </c>
      <c r="G89" s="887"/>
    </row>
    <row r="90" spans="1:7" x14ac:dyDescent="0.2">
      <c r="A90" s="881" t="s">
        <v>460</v>
      </c>
      <c r="B90" s="881" t="s">
        <v>170</v>
      </c>
      <c r="C90" s="883">
        <f>'Revenues 9-14'!B54</f>
        <v>1434</v>
      </c>
      <c r="D90" s="884" t="str">
        <f>'Revenues 9-14'!A54</f>
        <v>CTE - Transp Fees from Other Sources (Out of State)</v>
      </c>
      <c r="E90" s="879"/>
      <c r="F90" s="1762">
        <f>'Revenues 9-14'!F54</f>
        <v>0</v>
      </c>
      <c r="G90" s="887"/>
    </row>
    <row r="91" spans="1:7" x14ac:dyDescent="0.2">
      <c r="A91" s="881" t="s">
        <v>460</v>
      </c>
      <c r="B91" s="881" t="s">
        <v>171</v>
      </c>
      <c r="C91" s="888">
        <f>'Revenues 9-14'!B55</f>
        <v>1441</v>
      </c>
      <c r="D91" s="884" t="str">
        <f>'Revenues 9-14'!A55</f>
        <v>Special Ed - Transp Fees from Pupils or Parents (In State)</v>
      </c>
      <c r="E91" s="879"/>
      <c r="F91" s="1762">
        <f>'Revenues 9-14'!F55</f>
        <v>0</v>
      </c>
      <c r="G91" s="887"/>
    </row>
    <row r="92" spans="1:7" x14ac:dyDescent="0.2">
      <c r="A92" s="881" t="s">
        <v>460</v>
      </c>
      <c r="B92" s="881" t="s">
        <v>172</v>
      </c>
      <c r="C92" s="883">
        <f>'Revenues 9-14'!B57</f>
        <v>1443</v>
      </c>
      <c r="D92" s="884" t="str">
        <f>'Revenues 9-14'!A57</f>
        <v>Special Ed - Transp Fees from Other Sources (In State)</v>
      </c>
      <c r="E92" s="879"/>
      <c r="F92" s="1762">
        <f>'Revenues 9-14'!F57</f>
        <v>0</v>
      </c>
      <c r="G92" s="889"/>
    </row>
    <row r="93" spans="1:7" x14ac:dyDescent="0.2">
      <c r="A93" s="881" t="s">
        <v>460</v>
      </c>
      <c r="B93" s="881" t="s">
        <v>173</v>
      </c>
      <c r="C93" s="883">
        <f>'Revenues 9-14'!B58</f>
        <v>1444</v>
      </c>
      <c r="D93" s="884" t="str">
        <f>'Revenues 9-14'!A58</f>
        <v>Special Ed - Transp Fees from Other Sources (Out of State)</v>
      </c>
      <c r="E93" s="879"/>
      <c r="F93" s="1762">
        <f>'Revenues 9-14'!F58</f>
        <v>0</v>
      </c>
      <c r="G93" s="889"/>
    </row>
    <row r="94" spans="1:7" x14ac:dyDescent="0.2">
      <c r="A94" s="881" t="s">
        <v>458</v>
      </c>
      <c r="B94" s="881" t="s">
        <v>174</v>
      </c>
      <c r="C94" s="883">
        <v>1600</v>
      </c>
      <c r="D94" s="890" t="str">
        <f>'Revenues 9-14'!A75</f>
        <v>Total Food Service</v>
      </c>
      <c r="E94" s="879"/>
      <c r="F94" s="1762">
        <f>'Revenues 9-14'!C75</f>
        <v>372149</v>
      </c>
      <c r="G94" s="885"/>
    </row>
    <row r="95" spans="1:7" x14ac:dyDescent="0.2">
      <c r="A95" s="881" t="s">
        <v>140</v>
      </c>
      <c r="B95" s="881" t="s">
        <v>175</v>
      </c>
      <c r="C95" s="883">
        <v>1700</v>
      </c>
      <c r="D95" s="891" t="str">
        <f>'Revenues 9-14'!A82</f>
        <v>Total District/School Activity Income</v>
      </c>
      <c r="E95" s="879"/>
      <c r="F95" s="1762">
        <f>SUM('Revenues 9-14'!C82,'Revenues 9-14'!D82)</f>
        <v>129377</v>
      </c>
      <c r="G95" s="885"/>
    </row>
    <row r="96" spans="1:7" x14ac:dyDescent="0.2">
      <c r="A96" s="881" t="s">
        <v>458</v>
      </c>
      <c r="B96" s="881" t="s">
        <v>176</v>
      </c>
      <c r="C96" s="883">
        <f>'Revenues 9-14'!B84</f>
        <v>1811</v>
      </c>
      <c r="D96" s="884" t="str">
        <f>'Revenues 9-14'!A84</f>
        <v>Rentals - Regular Textbooks</v>
      </c>
      <c r="E96" s="879"/>
      <c r="F96" s="1762">
        <f>'Revenues 9-14'!C84</f>
        <v>326627</v>
      </c>
      <c r="G96" s="885"/>
    </row>
    <row r="97" spans="1:7" x14ac:dyDescent="0.2">
      <c r="A97" s="881" t="s">
        <v>458</v>
      </c>
      <c r="B97" s="881" t="s">
        <v>177</v>
      </c>
      <c r="C97" s="883">
        <f>'Revenues 9-14'!B87</f>
        <v>1819</v>
      </c>
      <c r="D97" s="884" t="str">
        <f>'Revenues 9-14'!A87</f>
        <v>Rentals - Other (Describe &amp; Itemize)</v>
      </c>
      <c r="E97" s="879"/>
      <c r="F97" s="1762">
        <f>'Revenues 9-14'!C87</f>
        <v>0</v>
      </c>
      <c r="G97" s="885"/>
    </row>
    <row r="98" spans="1:7" x14ac:dyDescent="0.2">
      <c r="A98" s="881" t="s">
        <v>458</v>
      </c>
      <c r="B98" s="881" t="s">
        <v>178</v>
      </c>
      <c r="C98" s="883">
        <f>'Revenues 9-14'!B88</f>
        <v>1821</v>
      </c>
      <c r="D98" s="884" t="str">
        <f>'Revenues 9-14'!A88</f>
        <v>Sales - Regular Textbooks</v>
      </c>
      <c r="E98" s="879"/>
      <c r="F98" s="1762">
        <f>'Revenues 9-14'!C88</f>
        <v>1969</v>
      </c>
      <c r="G98" s="885"/>
    </row>
    <row r="99" spans="1:7" x14ac:dyDescent="0.2">
      <c r="A99" s="881" t="s">
        <v>458</v>
      </c>
      <c r="B99" s="881" t="s">
        <v>179</v>
      </c>
      <c r="C99" s="883">
        <f>'Revenues 9-14'!B91</f>
        <v>1829</v>
      </c>
      <c r="D99" s="884" t="str">
        <f>'Revenues 9-14'!A91</f>
        <v>Sales - Other (Describe &amp; Itemize)</v>
      </c>
      <c r="E99" s="879"/>
      <c r="F99" s="1762">
        <f>'Revenues 9-14'!C91</f>
        <v>0</v>
      </c>
      <c r="G99" s="885"/>
    </row>
    <row r="100" spans="1:7" x14ac:dyDescent="0.2">
      <c r="A100" s="881" t="s">
        <v>458</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20613</v>
      </c>
      <c r="G101" s="885"/>
    </row>
    <row r="102" spans="1:7" x14ac:dyDescent="0.2">
      <c r="A102" s="881" t="s">
        <v>502</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762">
        <f>('Revenues 9-14'!C106)</f>
        <v>0</v>
      </c>
      <c r="G104" s="885"/>
    </row>
    <row r="105" spans="1:7" x14ac:dyDescent="0.2">
      <c r="A105" s="881" t="s">
        <v>502</v>
      </c>
      <c r="B105" s="881" t="s">
        <v>2000</v>
      </c>
      <c r="C105" s="886">
        <v>3100</v>
      </c>
      <c r="D105" s="892" t="str">
        <f>'Revenues 9-14'!A132</f>
        <v>Total Special Education</v>
      </c>
      <c r="E105" s="879"/>
      <c r="F105" s="1762">
        <f>SUM('Revenues 9-14'!C132:D132,'Revenues 9-14'!F132)</f>
        <v>115391</v>
      </c>
      <c r="G105" s="885"/>
    </row>
    <row r="106" spans="1:7" x14ac:dyDescent="0.2">
      <c r="A106" s="881" t="s">
        <v>672</v>
      </c>
      <c r="B106" s="881" t="s">
        <v>2001</v>
      </c>
      <c r="C106" s="893">
        <v>3200</v>
      </c>
      <c r="D106" s="884" t="str">
        <f>'Revenues 9-14'!A141</f>
        <v>Total Career and Technical Education</v>
      </c>
      <c r="E106" s="879"/>
      <c r="F106" s="1762">
        <f>SUM('Revenues 9-14'!C141,'Revenues 9-14'!D141,'Revenues 9-14'!G141)</f>
        <v>25243</v>
      </c>
      <c r="G106" s="885"/>
    </row>
    <row r="107" spans="1:7" x14ac:dyDescent="0.2">
      <c r="A107" s="894" t="s">
        <v>663</v>
      </c>
      <c r="B107" s="881" t="s">
        <v>2002</v>
      </c>
      <c r="C107" s="893">
        <v>3300</v>
      </c>
      <c r="D107" s="884" t="str">
        <f>'Revenues 9-14'!A145</f>
        <v>Total Bilingual Ed</v>
      </c>
      <c r="E107" s="879"/>
      <c r="F107" s="1762">
        <f>SUM('Revenues 9-14'!C145,'Revenues 9-14'!G145)</f>
        <v>0</v>
      </c>
      <c r="G107" s="885"/>
    </row>
    <row r="108" spans="1:7" x14ac:dyDescent="0.2">
      <c r="A108" s="881" t="s">
        <v>458</v>
      </c>
      <c r="B108" s="881" t="s">
        <v>2003</v>
      </c>
      <c r="C108" s="893">
        <f>'Revenues 9-14'!B146</f>
        <v>3360</v>
      </c>
      <c r="D108" s="884" t="str">
        <f>'Revenues 9-14'!A146</f>
        <v>State Free Lunch &amp; Breakfast</v>
      </c>
      <c r="E108" s="879"/>
      <c r="F108" s="1762">
        <f>'Revenues 9-14'!C146</f>
        <v>2696</v>
      </c>
      <c r="G108" s="885"/>
    </row>
    <row r="109" spans="1:7" x14ac:dyDescent="0.2">
      <c r="A109" s="881" t="s">
        <v>672</v>
      </c>
      <c r="B109" s="881" t="s">
        <v>2004</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2">
        <f>SUM('Revenues 9-14'!C148,'Revenues 9-14'!D148)</f>
        <v>29473</v>
      </c>
      <c r="G110" s="885"/>
    </row>
    <row r="111" spans="1:7" x14ac:dyDescent="0.2">
      <c r="A111" s="881" t="s">
        <v>667</v>
      </c>
      <c r="B111" s="881" t="s">
        <v>2006</v>
      </c>
      <c r="C111" s="895">
        <v>3500</v>
      </c>
      <c r="D111" s="884" t="str">
        <f>'Revenues 9-14'!A155</f>
        <v>Total Transportation</v>
      </c>
      <c r="E111" s="879"/>
      <c r="F111" s="1762">
        <f>SUM('Revenues 9-14'!C155,'Revenues 9-14'!D155,'Revenues 9-14'!F155,'Revenues 9-14'!G155)</f>
        <v>629011</v>
      </c>
      <c r="G111" s="885"/>
    </row>
    <row r="112" spans="1:7" x14ac:dyDescent="0.2">
      <c r="A112" s="881" t="s">
        <v>458</v>
      </c>
      <c r="B112" s="881" t="s">
        <v>2007</v>
      </c>
      <c r="C112" s="893">
        <f>'Revenues 9-14'!B156</f>
        <v>3610</v>
      </c>
      <c r="D112" s="884" t="str">
        <f>'Revenues 9-14'!A156</f>
        <v>Learning Improvement - Change Grants</v>
      </c>
      <c r="E112" s="879"/>
      <c r="F112" s="1762">
        <f>'Revenues 9-14'!C156</f>
        <v>0</v>
      </c>
      <c r="G112" s="885"/>
    </row>
    <row r="113" spans="1:7" x14ac:dyDescent="0.2">
      <c r="A113" s="881" t="s">
        <v>667</v>
      </c>
      <c r="B113" s="881" t="s">
        <v>2008</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667</v>
      </c>
      <c r="B115" s="881" t="s">
        <v>2010</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667</v>
      </c>
      <c r="B116" s="881" t="s">
        <v>2011</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1008</v>
      </c>
      <c r="B117" s="896" t="s">
        <v>2012</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1008</v>
      </c>
      <c r="B118" s="896" t="s">
        <v>2013</v>
      </c>
      <c r="C118" s="897">
        <f>'Revenues 9-14'!B163</f>
        <v>3780</v>
      </c>
      <c r="D118" s="898" t="str">
        <f>'Revenues 9-14'!A163</f>
        <v>Technology - Technology for Success</v>
      </c>
      <c r="E118" s="879"/>
      <c r="F118" s="1880">
        <f>SUM('Revenues 9-14'!C163:G163)</f>
        <v>0</v>
      </c>
      <c r="G118" s="885"/>
    </row>
    <row r="119" spans="1:7" x14ac:dyDescent="0.2">
      <c r="A119" s="896" t="s">
        <v>503</v>
      </c>
      <c r="B119" s="896" t="s">
        <v>2014</v>
      </c>
      <c r="C119" s="897">
        <f>'Revenues 9-14'!B164</f>
        <v>3815</v>
      </c>
      <c r="D119" s="898" t="str">
        <f>'Revenues 9-14'!A164</f>
        <v>State Charter Schools</v>
      </c>
      <c r="E119" s="879"/>
      <c r="F119" s="1880">
        <f>SUM('Revenues 9-14'!C164,'Revenues 9-14'!F164)</f>
        <v>0</v>
      </c>
      <c r="G119" s="885"/>
    </row>
    <row r="120" spans="1:7" x14ac:dyDescent="0.2">
      <c r="A120" s="900" t="s">
        <v>459</v>
      </c>
      <c r="B120" s="900" t="s">
        <v>2015</v>
      </c>
      <c r="C120" s="901">
        <f>'Revenues 9-14'!B167</f>
        <v>3925</v>
      </c>
      <c r="D120" s="902" t="str">
        <f>'Revenues 9-14'!A167</f>
        <v>School Infrastructure - Maintenance Projects</v>
      </c>
      <c r="E120" s="879"/>
      <c r="F120" s="1762">
        <f>'Revenues 9-14'!D167</f>
        <v>0</v>
      </c>
      <c r="G120" s="903"/>
    </row>
    <row r="121" spans="1:7" x14ac:dyDescent="0.2">
      <c r="A121" s="900" t="s">
        <v>499</v>
      </c>
      <c r="B121" s="900" t="s">
        <v>2016</v>
      </c>
      <c r="C121" s="901">
        <f>'Revenues 9-14'!B168</f>
        <v>3999</v>
      </c>
      <c r="D121" s="902" t="s">
        <v>542</v>
      </c>
      <c r="E121" s="904"/>
      <c r="F121" s="1762">
        <f>SUM('Revenues 9-14'!C168:G168,'Revenues 9-14'!J168)</f>
        <v>260456</v>
      </c>
      <c r="G121" s="903"/>
    </row>
    <row r="122" spans="1:7" x14ac:dyDescent="0.2">
      <c r="A122" s="900" t="s">
        <v>458</v>
      </c>
      <c r="B122" s="900" t="s">
        <v>2017</v>
      </c>
      <c r="C122" s="905">
        <f>'Revenues 9-14'!B177</f>
        <v>4045</v>
      </c>
      <c r="D122" s="902" t="str">
        <f>'Revenues 9-14'!A177 &amp; " (Subtract)"</f>
        <v>Head Start (Subtract)</v>
      </c>
      <c r="E122" s="879"/>
      <c r="F122" s="1762">
        <f>SUM(-'Revenues 9-14'!C177)</f>
        <v>0</v>
      </c>
      <c r="G122" s="903"/>
    </row>
    <row r="123" spans="1:7" x14ac:dyDescent="0.2">
      <c r="A123" s="900" t="s">
        <v>667</v>
      </c>
      <c r="B123" s="900" t="s">
        <v>2018</v>
      </c>
      <c r="C123" s="905" t="s">
        <v>981</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667</v>
      </c>
      <c r="B124" s="900" t="s">
        <v>2019</v>
      </c>
      <c r="C124" s="905">
        <v>4100</v>
      </c>
      <c r="D124" s="906" t="str">
        <f>'Revenues 9-14'!A188</f>
        <v>Total Title V</v>
      </c>
      <c r="E124" s="879"/>
      <c r="F124" s="1762">
        <f>SUM('Revenues 9-14'!C188,'Revenues 9-14'!D188,'Revenues 9-14'!F188,'Revenues 9-14'!G188)</f>
        <v>0</v>
      </c>
      <c r="G124" s="903"/>
    </row>
    <row r="125" spans="1:7" x14ac:dyDescent="0.2">
      <c r="A125" s="900" t="s">
        <v>663</v>
      </c>
      <c r="B125" s="900" t="s">
        <v>2020</v>
      </c>
      <c r="C125" s="905">
        <v>4200</v>
      </c>
      <c r="D125" s="902" t="str">
        <f>'Revenues 9-14'!A198</f>
        <v>Total Food Service</v>
      </c>
      <c r="E125" s="879"/>
      <c r="F125" s="1762">
        <f>SUM('Revenues 9-14'!C198,'Revenues 9-14'!G198)</f>
        <v>209922</v>
      </c>
      <c r="G125" s="903"/>
    </row>
    <row r="126" spans="1:7" x14ac:dyDescent="0.2">
      <c r="A126" s="900" t="s">
        <v>667</v>
      </c>
      <c r="B126" s="900" t="s">
        <v>2021</v>
      </c>
      <c r="C126" s="905">
        <v>4300</v>
      </c>
      <c r="D126" s="906" t="str">
        <f>'Revenues 9-14'!A204</f>
        <v>Total Title I</v>
      </c>
      <c r="E126" s="879"/>
      <c r="F126" s="1762">
        <f>SUM('Revenues 9-14'!C204,'Revenues 9-14'!D204,'Revenues 9-14'!F204,'Revenues 9-14'!G204)</f>
        <v>155606</v>
      </c>
      <c r="G126" s="903"/>
    </row>
    <row r="127" spans="1:7" x14ac:dyDescent="0.2">
      <c r="A127" s="900" t="s">
        <v>667</v>
      </c>
      <c r="B127" s="900" t="s">
        <v>2022</v>
      </c>
      <c r="C127" s="905">
        <v>4400</v>
      </c>
      <c r="D127" s="906" t="str">
        <f>'Revenues 9-14'!A209</f>
        <v>Total Title IV</v>
      </c>
      <c r="E127" s="879"/>
      <c r="F127" s="1762">
        <f>SUM('Revenues 9-14'!C209,'Revenues 9-14'!D209,'Revenues 9-14'!F209,'Revenues 9-14'!G209)</f>
        <v>17026</v>
      </c>
      <c r="G127" s="903"/>
    </row>
    <row r="128" spans="1:7" x14ac:dyDescent="0.2">
      <c r="A128" s="900" t="s">
        <v>667</v>
      </c>
      <c r="B128" s="900" t="s">
        <v>2023</v>
      </c>
      <c r="C128" s="905">
        <f>'Revenues 9-14'!B213</f>
        <v>4620</v>
      </c>
      <c r="D128" s="906" t="str">
        <f>'Revenues 9-14'!A213</f>
        <v>Fed - Spec Education - IDEA - Flow Through</v>
      </c>
      <c r="E128" s="879"/>
      <c r="F128" s="1762">
        <f>SUM('Revenues 9-14'!C213:D213,'Revenues 9-14'!F213:G213)</f>
        <v>444031</v>
      </c>
      <c r="G128" s="903"/>
    </row>
    <row r="129" spans="1:7" x14ac:dyDescent="0.2">
      <c r="A129" s="900" t="s">
        <v>667</v>
      </c>
      <c r="B129" s="900" t="s">
        <v>2024</v>
      </c>
      <c r="C129" s="905">
        <f>'Revenues 9-14'!B214</f>
        <v>4625</v>
      </c>
      <c r="D129" s="906" t="str">
        <f>'Revenues 9-14'!A214</f>
        <v>Fed - Spec Education - IDEA - Room &amp; Board</v>
      </c>
      <c r="E129" s="879"/>
      <c r="F129" s="1762">
        <f>SUM('Revenues 9-14'!C214,'Revenues 9-14'!D214,'Revenues 9-14'!F214,'Revenues 9-14'!G214)</f>
        <v>4934</v>
      </c>
      <c r="G129" s="903"/>
    </row>
    <row r="130" spans="1:7" x14ac:dyDescent="0.2">
      <c r="A130" s="900" t="s">
        <v>667</v>
      </c>
      <c r="B130" s="900" t="s">
        <v>2025</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672</v>
      </c>
      <c r="B132" s="900" t="s">
        <v>2026</v>
      </c>
      <c r="C132" s="905">
        <v>4700</v>
      </c>
      <c r="D132" s="902" t="str">
        <f>'Revenues 9-14'!A221</f>
        <v>Total CTE - Perkins</v>
      </c>
      <c r="E132" s="879"/>
      <c r="F132" s="1762">
        <f>SUM('Revenues 9-14'!C221,'Revenues 9-14'!D221,'Revenues 9-14'!G221)</f>
        <v>13120</v>
      </c>
      <c r="G132" s="903">
        <v>6303</v>
      </c>
    </row>
    <row r="133" spans="1:7" s="840" customFormat="1" hidden="1" x14ac:dyDescent="0.2">
      <c r="A133" s="907" t="s">
        <v>206</v>
      </c>
      <c r="B133" s="907" t="s">
        <v>2027</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2">
        <v>0</v>
      </c>
      <c r="G138" s="878"/>
    </row>
    <row r="139" spans="1:7" s="840" customFormat="1" hidden="1" x14ac:dyDescent="0.2">
      <c r="A139" s="907" t="s">
        <v>206</v>
      </c>
      <c r="B139" s="907" t="s">
        <v>2033</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667</v>
      </c>
      <c r="B142" s="907" t="s">
        <v>2036</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1416</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499</v>
      </c>
      <c r="B157" s="912" t="s">
        <v>2041</v>
      </c>
      <c r="C157" s="913" t="s">
        <v>840</v>
      </c>
      <c r="D157" s="914" t="s">
        <v>776</v>
      </c>
      <c r="E157" s="915"/>
      <c r="F157" s="1762">
        <f>SUM(F133:F156)</f>
        <v>0</v>
      </c>
      <c r="G157" s="878"/>
    </row>
    <row r="158" spans="1:7" s="840" customFormat="1" x14ac:dyDescent="0.2">
      <c r="A158" s="911" t="s">
        <v>458</v>
      </c>
      <c r="B158" s="912" t="s">
        <v>2042</v>
      </c>
      <c r="C158" s="913" t="s">
        <v>1426</v>
      </c>
      <c r="D158" s="914" t="s">
        <v>1427</v>
      </c>
      <c r="E158" s="915"/>
      <c r="F158" s="1762">
        <f>SUM('Revenues 9-14'!C253)</f>
        <v>0</v>
      </c>
      <c r="G158" s="878"/>
    </row>
    <row r="159" spans="1:7" s="840" customFormat="1" x14ac:dyDescent="0.2">
      <c r="A159" s="911" t="s">
        <v>499</v>
      </c>
      <c r="B159" s="912" t="s">
        <v>2043</v>
      </c>
      <c r="C159" s="913" t="s">
        <v>1465</v>
      </c>
      <c r="D159" s="914" t="s">
        <v>1466</v>
      </c>
      <c r="E159" s="915"/>
      <c r="F159" s="1762">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2">
        <f>SUM('Revenues 9-14'!C256,'Revenues 9-14'!F256,'Revenues 9-14'!G256)</f>
        <v>0</v>
      </c>
      <c r="G161" s="916"/>
    </row>
    <row r="162" spans="1:7" x14ac:dyDescent="0.2">
      <c r="A162" s="900" t="s">
        <v>667</v>
      </c>
      <c r="B162" s="900" t="s">
        <v>2046</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667</v>
      </c>
      <c r="B163" s="917" t="s">
        <v>2047</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667</v>
      </c>
      <c r="B164" s="900" t="s">
        <v>2048</v>
      </c>
      <c r="C164" s="905">
        <f>'Revenues 9-14'!B259</f>
        <v>4932</v>
      </c>
      <c r="D164" s="906" t="str">
        <f>'Revenues 9-14'!A259</f>
        <v>Title II - Teacher Quality</v>
      </c>
      <c r="E164" s="879"/>
      <c r="F164" s="1880">
        <f>SUM('Revenues 9-14'!C259,'Revenues 9-14'!D259,'Revenues 9-14'!F259,'Revenues 9-14'!G259)</f>
        <v>30664</v>
      </c>
      <c r="G164" s="903"/>
    </row>
    <row r="165" spans="1:7" x14ac:dyDescent="0.2">
      <c r="A165" s="900" t="s">
        <v>667</v>
      </c>
      <c r="B165" s="900" t="s">
        <v>2049</v>
      </c>
      <c r="C165" s="905">
        <f>'Revenues 9-14'!B260</f>
        <v>4960</v>
      </c>
      <c r="D165" s="902" t="str">
        <f>'Revenues 9-14'!A260</f>
        <v>Federal Charter Schools</v>
      </c>
      <c r="E165" s="879"/>
      <c r="F165" s="1762">
        <f>SUM('Revenues 9-14'!C260:D260,'Revenues 9-14'!F260:G260)</f>
        <v>0</v>
      </c>
      <c r="G165" s="903"/>
    </row>
    <row r="166" spans="1:7" x14ac:dyDescent="0.2">
      <c r="A166" s="900" t="s">
        <v>667</v>
      </c>
      <c r="B166" s="900" t="s">
        <v>1994</v>
      </c>
      <c r="C166" s="905">
        <f>'Revenues 9-14'!B261</f>
        <v>4981</v>
      </c>
      <c r="D166" s="902" t="str">
        <f>'Revenues 9-14'!A261</f>
        <v>State Assessment Grants</v>
      </c>
      <c r="E166" s="879"/>
      <c r="F166" s="1762">
        <f>SUM('Revenues 9-14'!C261:D261,'Revenues 9-14'!F261:G261)</f>
        <v>0</v>
      </c>
      <c r="G166" s="903"/>
    </row>
    <row r="167" spans="1:7" x14ac:dyDescent="0.2">
      <c r="A167" s="900" t="s">
        <v>667</v>
      </c>
      <c r="B167" s="900" t="s">
        <v>1995</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667</v>
      </c>
      <c r="B168" s="900" t="s">
        <v>2050</v>
      </c>
      <c r="C168" s="905">
        <f>'Revenues 9-14'!B263</f>
        <v>4991</v>
      </c>
      <c r="D168" s="906" t="str">
        <f>'Revenues 9-14'!A263</f>
        <v>Medicaid Matching Funds - Administrative Outreach</v>
      </c>
      <c r="E168" s="879"/>
      <c r="F168" s="1762">
        <f>SUM('Revenues 9-14'!C263:D263,'Revenues 9-14'!F263:G263)</f>
        <v>21386</v>
      </c>
      <c r="G168" s="920">
        <v>6320</v>
      </c>
    </row>
    <row r="169" spans="1:7" x14ac:dyDescent="0.2">
      <c r="A169" s="900" t="s">
        <v>667</v>
      </c>
      <c r="B169" s="900" t="s">
        <v>2051</v>
      </c>
      <c r="C169" s="905">
        <f>'Revenues 9-14'!B264</f>
        <v>4992</v>
      </c>
      <c r="D169" s="906" t="str">
        <f>'Revenues 9-14'!A264</f>
        <v>Medicaid Matching Funds - Fee-for-Service Program</v>
      </c>
      <c r="E169" s="879"/>
      <c r="F169" s="1762">
        <f>SUM('Revenues 9-14'!C264:D264,'Revenues 9-14'!F264:G264)</f>
        <v>55497</v>
      </c>
      <c r="G169" s="920"/>
    </row>
    <row r="170" spans="1:7" x14ac:dyDescent="0.2">
      <c r="A170" s="921" t="s">
        <v>667</v>
      </c>
      <c r="B170" s="917" t="s">
        <v>2052</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1917</v>
      </c>
      <c r="C171" s="1893">
        <v>3100</v>
      </c>
      <c r="D171" s="1894" t="s">
        <v>1919</v>
      </c>
      <c r="E171" s="879"/>
      <c r="F171" s="1879">
        <v>748107</v>
      </c>
      <c r="G171" s="900"/>
    </row>
    <row r="172" spans="1:7" x14ac:dyDescent="0.2">
      <c r="A172" s="1891" t="s">
        <v>663</v>
      </c>
      <c r="B172" s="1892" t="s">
        <v>1917</v>
      </c>
      <c r="C172" s="1893">
        <v>3300</v>
      </c>
      <c r="D172" s="1894" t="s">
        <v>1920</v>
      </c>
      <c r="E172" s="879"/>
      <c r="F172" s="1879">
        <v>12228</v>
      </c>
      <c r="G172" s="900"/>
    </row>
    <row r="173" spans="1:7" ht="6" customHeight="1" x14ac:dyDescent="0.2">
      <c r="A173" s="900"/>
      <c r="B173" s="900"/>
      <c r="C173" s="922"/>
      <c r="D173" s="900"/>
      <c r="E173" s="879"/>
      <c r="F173" s="923"/>
      <c r="G173" s="920"/>
    </row>
    <row r="174" spans="1:7" x14ac:dyDescent="0.2">
      <c r="A174" s="1743"/>
      <c r="B174" s="1757"/>
      <c r="C174" s="1758"/>
      <c r="D174" s="1759" t="s">
        <v>2053</v>
      </c>
      <c r="E174" s="1760" t="s">
        <v>957</v>
      </c>
      <c r="F174" s="1761">
        <f>SUM(F84:F132,F157:F172)</f>
        <v>3626130</v>
      </c>
    </row>
    <row r="175" spans="1:7" ht="12" customHeight="1" x14ac:dyDescent="0.2">
      <c r="A175" s="1743"/>
      <c r="B175" s="1757"/>
      <c r="C175" s="1758"/>
      <c r="D175" s="1759" t="s">
        <v>2054</v>
      </c>
      <c r="E175" s="1760"/>
      <c r="F175" s="1762">
        <f>'PCTC-OEPP 27-28'!F77-F174</f>
        <v>20188385</v>
      </c>
    </row>
    <row r="176" spans="1:7" ht="12" customHeight="1" x14ac:dyDescent="0.2">
      <c r="A176" s="1743"/>
      <c r="B176" s="1757"/>
      <c r="C176" s="1758"/>
      <c r="D176" s="1759" t="s">
        <v>1814</v>
      </c>
      <c r="E176" s="1760"/>
      <c r="F176" s="1762">
        <f>'Cap Outlay Deprec 26'!I18</f>
        <v>1801390.4</v>
      </c>
    </row>
    <row r="177" spans="1:7" ht="12" customHeight="1" x14ac:dyDescent="0.2">
      <c r="A177" s="1743"/>
      <c r="B177" s="1757"/>
      <c r="C177" s="1758"/>
      <c r="D177" s="1759" t="s">
        <v>2055</v>
      </c>
      <c r="E177" s="1760"/>
      <c r="F177" s="1762">
        <f>F175+F176</f>
        <v>21989775.399999999</v>
      </c>
    </row>
    <row r="178" spans="1:7" ht="12" customHeight="1" x14ac:dyDescent="0.2">
      <c r="A178" s="1743"/>
      <c r="B178" s="1763"/>
      <c r="C178" s="1758"/>
      <c r="D178" s="1759" t="str">
        <f>D78</f>
        <v>9 Month ADA from District Average Daily Attendance/Prior General State Aid Inquiry 2018-2019</v>
      </c>
      <c r="E178" s="1760"/>
      <c r="F178" s="1764">
        <f>'PCTC-OEPP 27-28'!F78</f>
        <v>1632.3</v>
      </c>
      <c r="G178" s="903"/>
    </row>
    <row r="179" spans="1:7" ht="12" customHeight="1" thickBot="1" x14ac:dyDescent="0.25">
      <c r="A179" s="1743"/>
      <c r="B179" s="1763"/>
      <c r="C179" s="1758"/>
      <c r="D179" s="1759" t="s">
        <v>2056</v>
      </c>
      <c r="E179" s="1760" t="s">
        <v>1544</v>
      </c>
      <c r="F179" s="1765">
        <f>F177/F178</f>
        <v>13471.650676958892</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5" customFormat="1" ht="12.2" customHeight="1" x14ac:dyDescent="0.2">
      <c r="A182" s="1895" t="s">
        <v>1991</v>
      </c>
      <c r="B182" s="1896"/>
      <c r="C182" s="1897"/>
      <c r="D182" s="1896"/>
      <c r="E182" s="1897"/>
      <c r="F182" s="1896"/>
      <c r="G182" s="1896"/>
    </row>
    <row r="183" spans="1:7" s="1895" customFormat="1" ht="12.2" customHeight="1" x14ac:dyDescent="0.2">
      <c r="A183" s="1898" t="s">
        <v>1993</v>
      </c>
      <c r="C183" s="1897"/>
      <c r="D183" s="1896"/>
      <c r="E183" s="1897"/>
      <c r="F183" s="1896"/>
      <c r="G183" s="1896"/>
    </row>
    <row r="184" spans="1:7" ht="12" customHeight="1" x14ac:dyDescent="0.2">
      <c r="C184" s="922"/>
      <c r="D184" s="903"/>
      <c r="E184" s="922"/>
      <c r="F184" s="903"/>
      <c r="G184" s="903"/>
    </row>
    <row r="185" spans="1:7" x14ac:dyDescent="0.2">
      <c r="A185" s="1899" t="s">
        <v>1922</v>
      </c>
      <c r="B185" s="1900"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D18" sqref="D18"/>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1829</v>
      </c>
      <c r="B1" s="1633"/>
      <c r="C1" s="1633"/>
      <c r="D1" s="1633"/>
      <c r="E1" s="1633"/>
      <c r="F1" s="1633"/>
      <c r="G1" s="1633"/>
    </row>
    <row r="2" spans="1:7" x14ac:dyDescent="0.25">
      <c r="A2" s="1630"/>
      <c r="B2" s="1630"/>
      <c r="C2" s="1631" t="s">
        <v>978</v>
      </c>
      <c r="D2" s="1630"/>
      <c r="E2" s="1630"/>
      <c r="F2" s="1630"/>
      <c r="G2" s="1630"/>
    </row>
    <row r="3" spans="1:7" ht="5.25" customHeight="1" x14ac:dyDescent="0.25">
      <c r="A3" s="1518"/>
      <c r="B3" s="1518"/>
      <c r="C3" s="1518"/>
      <c r="D3" s="1518"/>
      <c r="E3" s="1518"/>
      <c r="F3" s="1518"/>
      <c r="G3" s="1518"/>
    </row>
    <row r="4" spans="1:7" ht="18.75" customHeight="1" x14ac:dyDescent="0.25">
      <c r="A4" s="2345" t="s">
        <v>1815</v>
      </c>
      <c r="B4" s="2346"/>
      <c r="C4" s="2346"/>
      <c r="D4" s="2346"/>
      <c r="E4" s="2346"/>
      <c r="F4" s="2346"/>
      <c r="G4" s="2347"/>
    </row>
    <row r="5" spans="1:7" x14ac:dyDescent="0.25">
      <c r="A5" s="2348"/>
      <c r="B5" s="2349"/>
      <c r="C5" s="2349"/>
      <c r="D5" s="2349"/>
      <c r="E5" s="2349"/>
      <c r="F5" s="2349"/>
      <c r="G5" s="2350"/>
    </row>
    <row r="6" spans="1:7" ht="18.75" x14ac:dyDescent="0.25">
      <c r="A6" s="1507" t="s">
        <v>1816</v>
      </c>
      <c r="B6" s="1508"/>
      <c r="C6" s="1508"/>
      <c r="D6" s="1508"/>
      <c r="E6" s="1508"/>
      <c r="F6" s="1508"/>
      <c r="G6" s="1509"/>
    </row>
    <row r="7" spans="1:7" ht="30.75" customHeight="1" x14ac:dyDescent="0.25">
      <c r="A7" s="2351" t="s">
        <v>1929</v>
      </c>
      <c r="B7" s="2352"/>
      <c r="C7" s="2352"/>
      <c r="D7" s="2352"/>
      <c r="E7" s="2352"/>
      <c r="F7" s="2352"/>
      <c r="G7" s="2353"/>
    </row>
    <row r="8" spans="1:7" ht="15.75" customHeight="1" x14ac:dyDescent="0.25">
      <c r="A8" s="2354" t="s">
        <v>1904</v>
      </c>
      <c r="B8" s="2355"/>
      <c r="C8" s="2355"/>
      <c r="D8" s="2355"/>
      <c r="E8" s="2355"/>
      <c r="F8" s="2355"/>
      <c r="G8" s="2356"/>
    </row>
    <row r="9" spans="1:7" ht="35.25" customHeight="1" x14ac:dyDescent="0.25">
      <c r="A9" s="2351" t="s">
        <v>1932</v>
      </c>
      <c r="B9" s="2352"/>
      <c r="C9" s="2352"/>
      <c r="D9" s="2352"/>
      <c r="E9" s="2352"/>
      <c r="F9" s="2352"/>
      <c r="G9" s="2353"/>
    </row>
    <row r="10" spans="1:7" ht="15" customHeight="1" x14ac:dyDescent="0.25">
      <c r="A10" s="1510" t="s">
        <v>1817</v>
      </c>
      <c r="B10" s="1511"/>
      <c r="C10" s="1511"/>
      <c r="D10" s="1511"/>
      <c r="E10" s="1511"/>
      <c r="F10" s="1511"/>
      <c r="G10" s="1512"/>
    </row>
    <row r="11" spans="1:7" ht="17.25" customHeight="1" x14ac:dyDescent="0.25">
      <c r="A11" s="2351" t="s">
        <v>1931</v>
      </c>
      <c r="B11" s="2352"/>
      <c r="C11" s="2352"/>
      <c r="D11" s="2352"/>
      <c r="E11" s="2352"/>
      <c r="F11" s="2352"/>
      <c r="G11" s="2353"/>
    </row>
    <row r="12" spans="1:7" ht="15" customHeight="1" x14ac:dyDescent="0.25">
      <c r="A12" s="1510" t="s">
        <v>1822</v>
      </c>
      <c r="B12" s="1511"/>
      <c r="C12" s="1511"/>
      <c r="D12" s="1511"/>
      <c r="E12" s="1511"/>
      <c r="F12" s="1511"/>
      <c r="G12" s="1512"/>
    </row>
    <row r="13" spans="1:7" ht="32.25" customHeight="1" x14ac:dyDescent="0.25">
      <c r="A13" s="2342" t="s">
        <v>1973</v>
      </c>
      <c r="B13" s="2343"/>
      <c r="C13" s="2343"/>
      <c r="D13" s="2343"/>
      <c r="E13" s="2343"/>
      <c r="F13" s="2343"/>
      <c r="G13" s="2344"/>
    </row>
    <row r="14" spans="1:7" x14ac:dyDescent="0.25">
      <c r="A14" s="1634" t="s">
        <v>1830</v>
      </c>
      <c r="B14" s="1635"/>
      <c r="C14" s="1635"/>
      <c r="D14" s="1635"/>
      <c r="E14" s="1635"/>
      <c r="F14" s="1635"/>
      <c r="G14" s="1636"/>
    </row>
    <row r="15" spans="1:7" ht="61.5" customHeight="1" x14ac:dyDescent="0.25">
      <c r="A15" s="1519" t="s">
        <v>1823</v>
      </c>
      <c r="B15" s="1519" t="s">
        <v>1824</v>
      </c>
      <c r="C15" s="1519" t="s">
        <v>1825</v>
      </c>
      <c r="D15" s="1520" t="s">
        <v>1826</v>
      </c>
      <c r="E15" s="1520" t="s">
        <v>1818</v>
      </c>
      <c r="F15" s="1520" t="s">
        <v>1827</v>
      </c>
      <c r="G15" s="1520" t="s">
        <v>1828</v>
      </c>
    </row>
    <row r="16" spans="1:7" x14ac:dyDescent="0.25">
      <c r="A16" s="1621" t="s">
        <v>1831</v>
      </c>
      <c r="B16" s="1622" t="s">
        <v>1821</v>
      </c>
      <c r="C16" s="1623" t="s">
        <v>1819</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10" t="s">
        <v>2071</v>
      </c>
      <c r="B17" s="2011" t="s">
        <v>2071</v>
      </c>
      <c r="C17" s="2012" t="s">
        <v>2071</v>
      </c>
      <c r="D17" s="2013"/>
      <c r="E17" s="1513">
        <f t="shared" ref="E17:E141" si="0">IF(D17&lt;=25000,D17,IF(D17&gt;25000,25000,0))</f>
        <v>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6">
        <f>IF(F17=0,0,D17-F17)</f>
        <v>0</v>
      </c>
      <c r="H17" s="1620"/>
    </row>
    <row r="18" spans="1:8" x14ac:dyDescent="0.25">
      <c r="A18" s="1626"/>
      <c r="B18" s="1907"/>
      <c r="C18" s="1629"/>
      <c r="D18" s="1817"/>
      <c r="E18" s="1513">
        <f t="shared" ref="E18:E140" si="2">IF(D18&lt;=25000,D18,IF(D18&gt;25000,25000,0))</f>
        <v>0</v>
      </c>
      <c r="F18" s="1905">
        <f t="shared" si="1"/>
        <v>0</v>
      </c>
      <c r="G18" s="1766">
        <f t="shared" ref="G18:G140" si="3">IF(F18=0,0,D18-F18)</f>
        <v>0</v>
      </c>
    </row>
    <row r="19" spans="1:8" x14ac:dyDescent="0.25">
      <c r="A19" s="1626"/>
      <c r="B19" s="1907"/>
      <c r="C19" s="1629"/>
      <c r="D19" s="1817"/>
      <c r="E19" s="1513">
        <f t="shared" si="2"/>
        <v>0</v>
      </c>
      <c r="F19" s="1905">
        <f t="shared" si="1"/>
        <v>0</v>
      </c>
      <c r="G19" s="1766">
        <f t="shared" si="3"/>
        <v>0</v>
      </c>
    </row>
    <row r="20" spans="1:8" x14ac:dyDescent="0.25">
      <c r="A20" s="1626"/>
      <c r="B20" s="1907"/>
      <c r="C20" s="1629"/>
      <c r="D20" s="1817"/>
      <c r="E20" s="1513">
        <f t="shared" si="2"/>
        <v>0</v>
      </c>
      <c r="F20" s="1905">
        <f t="shared" si="1"/>
        <v>0</v>
      </c>
      <c r="G20" s="1766">
        <f t="shared" si="3"/>
        <v>0</v>
      </c>
    </row>
    <row r="21" spans="1:8" x14ac:dyDescent="0.25">
      <c r="A21" s="1626"/>
      <c r="B21" s="1907"/>
      <c r="C21" s="1629"/>
      <c r="D21" s="1817"/>
      <c r="E21" s="1513">
        <f t="shared" si="2"/>
        <v>0</v>
      </c>
      <c r="F21" s="1905">
        <f t="shared" si="1"/>
        <v>0</v>
      </c>
      <c r="G21" s="1766">
        <f t="shared" si="3"/>
        <v>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0</v>
      </c>
      <c r="E141" s="1514">
        <f t="shared" si="0"/>
        <v>0</v>
      </c>
      <c r="F141" s="1906">
        <f>SUM(F17:F140)</f>
        <v>0</v>
      </c>
      <c r="G141" s="1768">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1114</v>
      </c>
      <c r="B1" s="1608"/>
      <c r="C1" s="1609"/>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357" t="s">
        <v>1678</v>
      </c>
      <c r="B5" s="2358"/>
      <c r="C5" s="2358"/>
      <c r="D5" s="2358"/>
      <c r="E5" s="2358"/>
      <c r="F5" s="2358"/>
      <c r="G5" s="2359"/>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209922</v>
      </c>
      <c r="F10" s="947"/>
      <c r="G10" s="948"/>
      <c r="H10" s="162"/>
      <c r="I10" s="162"/>
    </row>
    <row r="11" spans="1:9" s="643" customFormat="1" ht="22.5" customHeight="1" x14ac:dyDescent="0.2">
      <c r="A11" s="2362" t="s">
        <v>1974</v>
      </c>
      <c r="B11" s="2363"/>
      <c r="C11" s="2363"/>
      <c r="D11" s="2364"/>
      <c r="E11" s="950">
        <v>60735</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611" t="s">
        <v>531</v>
      </c>
      <c r="E17" s="1612"/>
      <c r="F17" s="1611" t="s">
        <v>432</v>
      </c>
      <c r="G17" s="1613"/>
      <c r="H17" s="162"/>
      <c r="I17" s="162"/>
    </row>
    <row r="18" spans="1:9" s="259" customFormat="1" ht="11.25" x14ac:dyDescent="0.2">
      <c r="A18" s="961"/>
      <c r="C18" s="962" t="s">
        <v>433</v>
      </c>
      <c r="D18" s="1614" t="s">
        <v>434</v>
      </c>
      <c r="E18" s="1614" t="s">
        <v>53</v>
      </c>
      <c r="F18" s="1614" t="s">
        <v>434</v>
      </c>
      <c r="G18" s="1614" t="s">
        <v>53</v>
      </c>
      <c r="H18" s="178"/>
      <c r="I18" s="178"/>
    </row>
    <row r="19" spans="1:9" s="643" customFormat="1" ht="12" customHeight="1" x14ac:dyDescent="0.2">
      <c r="A19" s="963" t="s">
        <v>455</v>
      </c>
      <c r="B19" s="964"/>
      <c r="C19" s="965" t="s">
        <v>569</v>
      </c>
      <c r="D19" s="1772"/>
      <c r="E19" s="1773">
        <f>'Expenditures 15-22'!K33-SUM('Expenditures 15-22'!G33,'Expenditures 15-22'!I33)+'Expenditures 15-22'!D229</f>
        <v>13097045</v>
      </c>
      <c r="F19" s="1772"/>
      <c r="G19" s="1774">
        <f>'Expenditures 15-22'!K33-SUM('Expenditures 15-22'!G33,'Expenditures 15-22'!I33)+'Expenditures 15-22'!D229</f>
        <v>13097045</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400</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2021875</v>
      </c>
      <c r="F21" s="1775"/>
      <c r="G21" s="1778">
        <f>'Expenditures 15-22'!K42-SUM('Expenditures 15-22'!G42,'Expenditures 15-22'!I42)+'Expenditures 15-22'!K120-SUM('Expenditures 15-22'!G120,'Expenditures 15-22'!I120)+'Expenditures 15-22'!K180-SUM('Expenditures 15-22'!G180,'Expenditures 15-22'!I180)+'Expenditures 15-22'!D238</f>
        <v>2021875</v>
      </c>
      <c r="H21" s="960"/>
      <c r="I21" s="162"/>
    </row>
    <row r="22" spans="1:9" s="643" customFormat="1" ht="12" customHeight="1" x14ac:dyDescent="0.2">
      <c r="A22" s="967" t="s">
        <v>563</v>
      </c>
      <c r="B22" s="968"/>
      <c r="C22" s="966">
        <v>2200</v>
      </c>
      <c r="D22" s="1775"/>
      <c r="E22" s="1777">
        <f>'Expenditures 15-22'!K47-SUM('Expenditures 15-22'!G47,'Expenditures 15-22'!I47)+'Expenditures 15-22'!D243</f>
        <v>641232</v>
      </c>
      <c r="F22" s="1775"/>
      <c r="G22" s="1778">
        <f>'Expenditures 15-22'!K47-SUM('Expenditures 15-22'!G47,'Expenditures 15-22'!I47)+'Expenditures 15-22'!D243</f>
        <v>641232</v>
      </c>
      <c r="H22" s="960"/>
      <c r="I22" s="162"/>
    </row>
    <row r="23" spans="1:9" s="643" customFormat="1" ht="12" customHeight="1" x14ac:dyDescent="0.2">
      <c r="A23" s="967" t="s">
        <v>564</v>
      </c>
      <c r="B23" s="968"/>
      <c r="C23" s="966">
        <v>2300</v>
      </c>
      <c r="D23" s="1775"/>
      <c r="E23" s="1777">
        <f>'Expenditures 15-22'!K53-SUM('Expenditures 15-22'!G53,'Expenditures 15-22'!I53)+'Expenditures 15-22'!D257+'Expenditures 15-22'!K330-SUM('Expenditures 15-22'!G330,'Expenditures 15-22'!I330)</f>
        <v>694628</v>
      </c>
      <c r="F23" s="1775"/>
      <c r="G23" s="1777">
        <f>'Expenditures 15-22'!K53-SUM('Expenditures 15-22'!G53,'Expenditures 15-22'!I53)+'Expenditures 15-22'!D257+'Expenditures 15-22'!K330-SUM('Expenditures 15-22'!G330,'Expenditures 15-22'!I330)</f>
        <v>694628</v>
      </c>
      <c r="H23" s="960"/>
      <c r="I23" s="162"/>
    </row>
    <row r="24" spans="1:9" s="643" customFormat="1" ht="12" customHeight="1" x14ac:dyDescent="0.2">
      <c r="A24" s="967" t="s">
        <v>565</v>
      </c>
      <c r="B24" s="968"/>
      <c r="C24" s="966">
        <v>2400</v>
      </c>
      <c r="D24" s="1775"/>
      <c r="E24" s="1777">
        <f>'Expenditures 15-22'!K57-SUM('Expenditures 15-22'!G57,'Expenditures 15-22'!I57)+'Expenditures 15-22'!D261</f>
        <v>1189957</v>
      </c>
      <c r="F24" s="1775"/>
      <c r="G24" s="1778">
        <f>'Expenditures 15-22'!K57-SUM('Expenditures 15-22'!G57,'Expenditures 15-22'!I57)+'Expenditures 15-22'!D261</f>
        <v>1189957</v>
      </c>
      <c r="H24" s="960"/>
      <c r="I24" s="162"/>
    </row>
    <row r="25" spans="1:9" s="643" customFormat="1" ht="12" customHeight="1" x14ac:dyDescent="0.2">
      <c r="A25" s="963" t="s">
        <v>566</v>
      </c>
      <c r="B25" s="969"/>
      <c r="C25" s="966"/>
      <c r="D25" s="1775"/>
      <c r="E25" s="1777"/>
      <c r="F25" s="1775"/>
      <c r="G25" s="1778"/>
      <c r="H25" s="960"/>
      <c r="I25" s="162"/>
    </row>
    <row r="26" spans="1:9" s="643" customFormat="1" ht="12" customHeight="1" x14ac:dyDescent="0.2">
      <c r="A26" s="967" t="s">
        <v>514</v>
      </c>
      <c r="B26" s="970"/>
      <c r="C26" s="966">
        <v>2510</v>
      </c>
      <c r="D26" s="1777">
        <f>'Expenditures 15-22'!K59-SUM('Expenditures 15-22'!G59,'Expenditures 15-22'!I59)+'Expenditures 15-22'!D263-E7</f>
        <v>131101</v>
      </c>
      <c r="E26" s="1777">
        <f>'Expenditures 15-22'!K122-SUM('Expenditures 15-22'!G122,'Expenditures 15-22'!I122)+E7</f>
        <v>0</v>
      </c>
      <c r="F26" s="1777">
        <f>'Expenditures 15-22'!K59-SUM('Expenditures 15-22'!G59,'Expenditures 15-22'!I59)+'Expenditures 15-22'!D263-E7</f>
        <v>131101</v>
      </c>
      <c r="G26" s="1778">
        <f>'Expenditures 15-22'!K122-SUM('Expenditures 15-22'!G122,'Expenditures 15-22'!I122)+E7</f>
        <v>0</v>
      </c>
      <c r="H26" s="960"/>
      <c r="I26" s="162"/>
    </row>
    <row r="27" spans="1:9" s="643" customFormat="1" ht="12" customHeight="1" x14ac:dyDescent="0.2">
      <c r="A27" s="967" t="s">
        <v>462</v>
      </c>
      <c r="B27" s="970"/>
      <c r="C27" s="966">
        <v>2520</v>
      </c>
      <c r="D27" s="1777">
        <f>'Expenditures 15-22'!K60-SUM('Expenditures 15-22'!G60,'Expenditures 15-22'!I60)+'Expenditures 15-22'!D264-E8</f>
        <v>225132</v>
      </c>
      <c r="E27" s="1777">
        <f>E8</f>
        <v>0</v>
      </c>
      <c r="F27" s="1777">
        <f>'Expenditures 15-22'!K60-SUM('Expenditures 15-22'!G60,'Expenditures 15-22'!I60)+'Expenditures 15-22'!D264-E8</f>
        <v>225132</v>
      </c>
      <c r="G27" s="1778">
        <f>E8</f>
        <v>0</v>
      </c>
      <c r="H27" s="960"/>
      <c r="I27" s="162"/>
    </row>
    <row r="28" spans="1:9" s="643" customFormat="1" ht="12" customHeight="1" x14ac:dyDescent="0.2">
      <c r="A28" s="967" t="s">
        <v>515</v>
      </c>
      <c r="B28" s="970"/>
      <c r="C28" s="966">
        <v>2540</v>
      </c>
      <c r="D28" s="1779"/>
      <c r="E28" s="1777">
        <f>'Expenditures 15-22'!K61-SUM('Expenditures 15-22'!G61,'Expenditures 15-22'!I61)+'Expenditures 15-22'!K124-SUM('Expenditures 15-22'!G124,'Expenditures 15-22'!I124)+'Expenditures 15-22'!D266</f>
        <v>1975052</v>
      </c>
      <c r="F28" s="1779">
        <f>'Expenditures 15-22'!K61-SUM('Expenditures 15-22'!G61,'Expenditures 15-22'!I61)+'Expenditures 15-22'!K124-SUM('Expenditures 15-22'!G124,'Expenditures 15-22'!I124)+'Expenditures 15-22'!D266-E9</f>
        <v>1975052</v>
      </c>
      <c r="G28" s="1778">
        <f>E9</f>
        <v>0</v>
      </c>
      <c r="H28" s="960"/>
      <c r="I28" s="162"/>
    </row>
    <row r="29" spans="1:9" ht="12" customHeight="1" x14ac:dyDescent="0.2">
      <c r="A29" s="967" t="s">
        <v>516</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1280502</v>
      </c>
      <c r="F29" s="1775"/>
      <c r="G29" s="1778">
        <f>'Expenditures 15-22'!K62-SUM('Expenditures 15-22'!G62,'Expenditures 15-22'!I62)+'Expenditures 15-22'!K125-SUM('Expenditures 15-22'!G125,'Expenditures 15-22'!I125)+'Expenditures 15-22'!K182-SUM('Expenditures 15-22'!G182,'Expenditures 15-22'!I182)+'Expenditures 15-22'!D267</f>
        <v>1280502</v>
      </c>
      <c r="H29" s="958"/>
    </row>
    <row r="30" spans="1:9" ht="12" customHeight="1" x14ac:dyDescent="0.2">
      <c r="A30" s="967" t="s">
        <v>100</v>
      </c>
      <c r="B30" s="970"/>
      <c r="C30" s="966">
        <v>2560</v>
      </c>
      <c r="D30" s="1775"/>
      <c r="E30" s="1777">
        <f>'Expenditures 15-22'!K63-SUM('Expenditures 15-22'!G63,'Expenditures 15-22'!I63)+'Expenditures 15-22'!D268-E10</f>
        <v>396930</v>
      </c>
      <c r="F30" s="1775"/>
      <c r="G30" s="1777">
        <f>'Expenditures 15-22'!K63-SUM('Expenditures 15-22'!G63,'Expenditures 15-22'!I63)+'Expenditures 15-22'!D268-E10</f>
        <v>396930</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517</v>
      </c>
      <c r="B32" s="969"/>
      <c r="C32" s="966"/>
      <c r="D32" s="1775"/>
      <c r="E32" s="1775"/>
      <c r="F32" s="1775"/>
      <c r="G32" s="1775"/>
    </row>
    <row r="33" spans="1:7" ht="12" customHeight="1" x14ac:dyDescent="0.2">
      <c r="A33" s="967" t="s">
        <v>518</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519</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1060</v>
      </c>
      <c r="B35" s="970"/>
      <c r="C35" s="966">
        <v>2630</v>
      </c>
      <c r="D35" s="1775"/>
      <c r="E35" s="1777">
        <f>'Expenditures 15-22'!K69-SUM('Expenditures 15-22'!G69,'Expenditures 15-22'!I69)+'Expenditures 15-22'!D274</f>
        <v>679352</v>
      </c>
      <c r="F35" s="1775"/>
      <c r="G35" s="1777">
        <f>'Expenditures 15-22'!K69-SUM('Expenditures 15-22'!G69,'Expenditures 15-22'!I69)+'Expenditures 15-22'!D274</f>
        <v>679352</v>
      </c>
    </row>
    <row r="36" spans="1:7" ht="12" customHeight="1" x14ac:dyDescent="0.2">
      <c r="A36" s="967" t="s">
        <v>402</v>
      </c>
      <c r="B36" s="970"/>
      <c r="C36" s="966">
        <v>2640</v>
      </c>
      <c r="D36" s="1777">
        <f>'Expenditures 15-22'!K70-SUM('Expenditures 15-22'!G70,'Expenditures 15-22'!I70)+'Expenditures 15-22'!D275-E13</f>
        <v>83401</v>
      </c>
      <c r="E36" s="1777">
        <f>E13</f>
        <v>0</v>
      </c>
      <c r="F36" s="1777">
        <f>'Expenditures 15-22'!K70-SUM('Expenditures 15-22'!G70,'Expenditures 15-22'!I70)+'Expenditures 15-22'!D275-E13</f>
        <v>83401</v>
      </c>
      <c r="G36" s="1777">
        <f>E13</f>
        <v>0</v>
      </c>
    </row>
    <row r="37" spans="1:7" ht="12" customHeight="1" x14ac:dyDescent="0.2">
      <c r="A37" s="967" t="s">
        <v>403</v>
      </c>
      <c r="B37" s="970"/>
      <c r="C37" s="966">
        <v>2660</v>
      </c>
      <c r="D37" s="1777">
        <f>'Expenditures 15-22'!K71-SUM('Expenditures 15-22'!G71,'Expenditures 15-22'!I71)+'Expenditures 15-22'!D276-E14</f>
        <v>0</v>
      </c>
      <c r="E37" s="1777">
        <f>E14</f>
        <v>0</v>
      </c>
      <c r="F37" s="1777">
        <f>'Expenditures 15-22'!K71-SUM('Expenditures 15-22'!G71,'Expenditures 15-22'!I71)+'Expenditures 15-22'!D276-E14</f>
        <v>0</v>
      </c>
      <c r="G37" s="1777">
        <f>E14</f>
        <v>0</v>
      </c>
    </row>
    <row r="38" spans="1:7" ht="12" customHeight="1" x14ac:dyDescent="0.2">
      <c r="A38" s="963" t="s">
        <v>520</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2883</v>
      </c>
      <c r="F38" s="1775"/>
      <c r="G38" s="1777">
        <f>'Expenditures 15-22'!K73-SUM('Expenditures 15-22'!G73,'Expenditures 15-22'!I73)+'Expenditures 15-22'!K128-SUM('Expenditures 15-22'!G128,'Expenditures 15-22'!I128)+'Expenditures 15-22'!K183-SUM('Expenditures 15-22'!G183,'Expenditures 15-22'!I183)+'Expenditures 15-22'!D278</f>
        <v>2883</v>
      </c>
    </row>
    <row r="39" spans="1:7" ht="12" customHeight="1" x14ac:dyDescent="0.2">
      <c r="A39" s="963" t="s">
        <v>448</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2332</v>
      </c>
      <c r="F39" s="1775"/>
      <c r="G39" s="1777">
        <f>'Expenditures 15-22'!K75-SUM('Expenditures 15-22'!G75,'Expenditures 15-22'!I75)+'Expenditures 15-22'!K130-SUM('Expenditures 15-22'!G130,'Expenditures 15-22'!I130)+'Expenditures 15-22'!K185-SUM('Expenditures 15-22'!G185,'Expenditures 15-22'!I185)+'Expenditures 15-22'!D280</f>
        <v>2332</v>
      </c>
    </row>
    <row r="40" spans="1:7" ht="12" customHeight="1" x14ac:dyDescent="0.2">
      <c r="A40" s="963" t="s">
        <v>1820</v>
      </c>
      <c r="B40" s="964"/>
      <c r="C40" s="966"/>
      <c r="D40" s="1775"/>
      <c r="E40" s="1779">
        <f>-'Contracts Paid in CY 29'!G141</f>
        <v>0</v>
      </c>
      <c r="F40" s="1775"/>
      <c r="G40" s="1779">
        <f>-'Contracts Paid in CY 29'!G141</f>
        <v>0</v>
      </c>
    </row>
    <row r="41" spans="1:7" ht="12" customHeight="1" x14ac:dyDescent="0.2">
      <c r="A41" s="971" t="s">
        <v>156</v>
      </c>
      <c r="B41" s="972"/>
      <c r="C41" s="973"/>
      <c r="D41" s="1779">
        <f>SUM(D19:D39)</f>
        <v>439634</v>
      </c>
      <c r="E41" s="1779">
        <f>SUM(E19:E40)</f>
        <v>21981788</v>
      </c>
      <c r="F41" s="1779">
        <f>SUM(F19:F39)</f>
        <v>2414686</v>
      </c>
      <c r="G41" s="1779">
        <f>SUM(G19:G40)</f>
        <v>20006736</v>
      </c>
    </row>
    <row r="42" spans="1:7" x14ac:dyDescent="0.2">
      <c r="A42" s="960"/>
      <c r="B42" s="162"/>
      <c r="C42" s="974"/>
      <c r="D42" s="2360" t="s">
        <v>521</v>
      </c>
      <c r="E42" s="2361"/>
      <c r="F42" s="975" t="s">
        <v>522</v>
      </c>
      <c r="G42" s="976"/>
    </row>
    <row r="43" spans="1:7" ht="12" customHeight="1" x14ac:dyDescent="0.2">
      <c r="A43" s="960"/>
      <c r="B43" s="162"/>
      <c r="C43" s="974"/>
      <c r="D43" s="1780" t="s">
        <v>472</v>
      </c>
      <c r="E43" s="1781">
        <f>D41</f>
        <v>439634</v>
      </c>
      <c r="F43" s="1780" t="s">
        <v>472</v>
      </c>
      <c r="G43" s="1781">
        <f>F41</f>
        <v>2414686</v>
      </c>
    </row>
    <row r="44" spans="1:7" ht="12" customHeight="1" x14ac:dyDescent="0.2">
      <c r="A44" s="960"/>
      <c r="B44" s="162"/>
      <c r="C44" s="974"/>
      <c r="D44" s="1780" t="s">
        <v>473</v>
      </c>
      <c r="E44" s="1781">
        <f>E41</f>
        <v>21981788</v>
      </c>
      <c r="F44" s="1780" t="s">
        <v>473</v>
      </c>
      <c r="G44" s="1781">
        <f>G41</f>
        <v>20006736</v>
      </c>
    </row>
    <row r="45" spans="1:7" ht="12" customHeight="1" x14ac:dyDescent="0.2">
      <c r="A45" s="960"/>
      <c r="B45" s="162"/>
      <c r="C45" s="162"/>
      <c r="D45" s="1782" t="s">
        <v>1005</v>
      </c>
      <c r="E45" s="1783">
        <f>(E43/E44)</f>
        <v>1.9999919933719676E-2</v>
      </c>
      <c r="F45" s="1782" t="s">
        <v>1005</v>
      </c>
      <c r="G45" s="1783">
        <f>(G43/G44)</f>
        <v>0.12069365037855251</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F22" sqref="AF22"/>
      <selection pane="bottomLeft" activeCell="C33" sqref="C33"/>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68" t="s">
        <v>1378</v>
      </c>
      <c r="B1" s="2368"/>
      <c r="C1" s="2368"/>
      <c r="D1" s="2368"/>
      <c r="E1" s="2368"/>
      <c r="F1" s="2368"/>
    </row>
    <row r="2" spans="1:10" x14ac:dyDescent="0.2">
      <c r="A2" s="1860" t="s">
        <v>1909</v>
      </c>
      <c r="B2" s="1821"/>
      <c r="C2" s="1860"/>
      <c r="D2" s="1821"/>
      <c r="E2" s="1821"/>
      <c r="F2" s="1822"/>
    </row>
    <row r="3" spans="1:10" x14ac:dyDescent="0.2">
      <c r="A3" s="1860" t="s">
        <v>1975</v>
      </c>
      <c r="B3" s="1821"/>
      <c r="C3" s="1860"/>
      <c r="D3" s="1821"/>
      <c r="E3" s="1821"/>
      <c r="F3" s="1822"/>
    </row>
    <row r="4" spans="1:10" ht="3.75" customHeight="1" x14ac:dyDescent="0.2">
      <c r="A4" s="1821"/>
      <c r="B4" s="1821"/>
      <c r="C4" s="1821"/>
      <c r="D4" s="1821"/>
      <c r="E4" s="1821"/>
      <c r="F4" s="1822"/>
    </row>
    <row r="5" spans="1:10" ht="15" x14ac:dyDescent="0.25">
      <c r="A5" s="2369" t="s">
        <v>1545</v>
      </c>
      <c r="B5" s="2370"/>
      <c r="C5" s="2371"/>
      <c r="D5" s="2371"/>
      <c r="E5" s="2371"/>
      <c r="F5" s="2371"/>
    </row>
    <row r="6" spans="1:10" ht="12" customHeight="1" x14ac:dyDescent="0.25">
      <c r="A6" s="1823"/>
      <c r="B6" s="1824"/>
      <c r="C6" s="2372" t="str">
        <f>COVER!A17</f>
        <v>Johnsburg CUSD 12</v>
      </c>
      <c r="D6" s="2372"/>
      <c r="E6" s="2372"/>
      <c r="F6" s="1825"/>
    </row>
    <row r="7" spans="1:10" ht="11.25" customHeight="1" thickBot="1" x14ac:dyDescent="0.3">
      <c r="A7" s="1823"/>
      <c r="B7" s="1824"/>
      <c r="C7" s="2373">
        <f>COVER!A13</f>
        <v>44063012026</v>
      </c>
      <c r="D7" s="2373"/>
      <c r="E7" s="2373"/>
      <c r="F7" s="1825"/>
    </row>
    <row r="8" spans="1:10" ht="25.5" customHeight="1" thickBot="1" x14ac:dyDescent="0.25">
      <c r="A8" s="1866" t="s">
        <v>1905</v>
      </c>
      <c r="B8" s="1826"/>
      <c r="C8" s="1862" t="s">
        <v>1680</v>
      </c>
      <c r="D8" s="1861" t="s">
        <v>1681</v>
      </c>
      <c r="E8" s="1863" t="s">
        <v>1379</v>
      </c>
      <c r="F8" s="1861" t="s">
        <v>1682</v>
      </c>
      <c r="H8" s="1827" t="b">
        <v>0</v>
      </c>
    </row>
    <row r="9" spans="1:10" ht="15.75" customHeight="1" x14ac:dyDescent="0.2">
      <c r="A9" s="1828" t="s">
        <v>1541</v>
      </c>
      <c r="B9" s="1829"/>
      <c r="C9" s="1830"/>
      <c r="D9" s="1830"/>
      <c r="E9" s="1831"/>
      <c r="F9" s="1832"/>
    </row>
    <row r="10" spans="1:10" ht="27.75" customHeight="1" x14ac:dyDescent="0.2">
      <c r="A10" s="1833" t="s">
        <v>1679</v>
      </c>
      <c r="B10" s="1834"/>
      <c r="C10" s="1835"/>
      <c r="D10" s="1835"/>
      <c r="E10" s="1864" t="s">
        <v>1380</v>
      </c>
      <c r="F10" s="1865" t="s">
        <v>1381</v>
      </c>
    </row>
    <row r="11" spans="1:10" ht="12" customHeight="1" x14ac:dyDescent="0.2">
      <c r="A11" s="1836" t="s">
        <v>1382</v>
      </c>
      <c r="B11" s="1837"/>
      <c r="C11" s="1838"/>
      <c r="D11" s="1838"/>
      <c r="E11" s="1839"/>
      <c r="F11" s="1840"/>
      <c r="H11" s="1851">
        <f>IF(C11="X",5,0)</f>
        <v>0</v>
      </c>
      <c r="I11" s="1851">
        <f>IF(D11="X",5,0)</f>
        <v>0</v>
      </c>
      <c r="J11" s="1851">
        <f>IF(E11="X",5,0)</f>
        <v>0</v>
      </c>
    </row>
    <row r="12" spans="1:10" ht="12" customHeight="1" x14ac:dyDescent="0.2">
      <c r="A12" s="1836" t="s">
        <v>1383</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1384</v>
      </c>
      <c r="B13" s="1837"/>
      <c r="C13" s="1838" t="s">
        <v>2112</v>
      </c>
      <c r="D13" s="1838" t="s">
        <v>2112</v>
      </c>
      <c r="E13" s="1841"/>
      <c r="F13" s="1840" t="s">
        <v>2113</v>
      </c>
      <c r="H13" s="1851">
        <f t="shared" si="0"/>
        <v>5</v>
      </c>
      <c r="I13" s="1851">
        <f t="shared" si="1"/>
        <v>5</v>
      </c>
      <c r="J13" s="1851">
        <f t="shared" si="2"/>
        <v>0</v>
      </c>
    </row>
    <row r="14" spans="1:10" ht="12" customHeight="1" x14ac:dyDescent="0.2">
      <c r="A14" s="1836" t="s">
        <v>1385</v>
      </c>
      <c r="B14" s="1837"/>
      <c r="C14" s="1838"/>
      <c r="D14" s="1838"/>
      <c r="E14" s="1841"/>
      <c r="F14" s="1840"/>
      <c r="H14" s="1851">
        <f t="shared" si="0"/>
        <v>0</v>
      </c>
      <c r="I14" s="1851">
        <f t="shared" si="1"/>
        <v>0</v>
      </c>
      <c r="J14" s="1851">
        <f t="shared" si="2"/>
        <v>0</v>
      </c>
    </row>
    <row r="15" spans="1:10" ht="12" customHeight="1" x14ac:dyDescent="0.2">
      <c r="A15" s="1836" t="s">
        <v>1386</v>
      </c>
      <c r="B15" s="1837"/>
      <c r="C15" s="1838"/>
      <c r="D15" s="1838"/>
      <c r="E15" s="1841"/>
      <c r="F15" s="1840"/>
      <c r="H15" s="1851">
        <f t="shared" si="0"/>
        <v>0</v>
      </c>
      <c r="I15" s="1851">
        <f t="shared" si="1"/>
        <v>0</v>
      </c>
      <c r="J15" s="1851">
        <f t="shared" si="2"/>
        <v>0</v>
      </c>
    </row>
    <row r="16" spans="1:10" ht="12" customHeight="1" x14ac:dyDescent="0.2">
      <c r="A16" s="1836" t="s">
        <v>1387</v>
      </c>
      <c r="B16" s="1837"/>
      <c r="C16" s="1838"/>
      <c r="D16" s="1838"/>
      <c r="E16" s="1841"/>
      <c r="F16" s="1840"/>
      <c r="H16" s="1851">
        <f t="shared" si="0"/>
        <v>0</v>
      </c>
      <c r="I16" s="1851">
        <f t="shared" si="1"/>
        <v>0</v>
      </c>
      <c r="J16" s="1851">
        <f t="shared" si="2"/>
        <v>0</v>
      </c>
    </row>
    <row r="17" spans="1:12" ht="12" customHeight="1" x14ac:dyDescent="0.2">
      <c r="A17" s="1836" t="s">
        <v>1388</v>
      </c>
      <c r="B17" s="1837"/>
      <c r="C17" s="1838"/>
      <c r="D17" s="1838"/>
      <c r="E17" s="1841"/>
      <c r="F17" s="1840"/>
      <c r="H17" s="1851">
        <f t="shared" si="0"/>
        <v>0</v>
      </c>
      <c r="I17" s="1851">
        <f t="shared" si="1"/>
        <v>0</v>
      </c>
      <c r="J17" s="1851">
        <f t="shared" si="2"/>
        <v>0</v>
      </c>
    </row>
    <row r="18" spans="1:12" ht="12" customHeight="1" x14ac:dyDescent="0.2">
      <c r="A18" s="1836" t="s">
        <v>1389</v>
      </c>
      <c r="B18" s="1837"/>
      <c r="C18" s="1838"/>
      <c r="D18" s="1838"/>
      <c r="E18" s="1841"/>
      <c r="F18" s="1840"/>
      <c r="H18" s="1851">
        <f t="shared" si="0"/>
        <v>0</v>
      </c>
      <c r="I18" s="1851">
        <f t="shared" si="1"/>
        <v>0</v>
      </c>
      <c r="J18" s="1851">
        <f t="shared" si="2"/>
        <v>0</v>
      </c>
    </row>
    <row r="19" spans="1:12" ht="12" customHeight="1" x14ac:dyDescent="0.2">
      <c r="A19" s="1836" t="s">
        <v>1526</v>
      </c>
      <c r="B19" s="1837"/>
      <c r="C19" s="1838" t="s">
        <v>2112</v>
      </c>
      <c r="D19" s="1838" t="s">
        <v>2112</v>
      </c>
      <c r="E19" s="1841"/>
      <c r="F19" s="1840" t="s">
        <v>2114</v>
      </c>
      <c r="H19" s="1851">
        <f t="shared" si="0"/>
        <v>5</v>
      </c>
      <c r="I19" s="1851">
        <f t="shared" si="1"/>
        <v>5</v>
      </c>
      <c r="J19" s="1851">
        <f t="shared" si="2"/>
        <v>0</v>
      </c>
    </row>
    <row r="20" spans="1:12" ht="12" customHeight="1" x14ac:dyDescent="0.2">
      <c r="A20" s="1836" t="s">
        <v>1527</v>
      </c>
      <c r="B20" s="1837"/>
      <c r="C20" s="1838" t="s">
        <v>2112</v>
      </c>
      <c r="D20" s="1838" t="s">
        <v>2112</v>
      </c>
      <c r="E20" s="1841"/>
      <c r="F20" s="1840" t="s">
        <v>2115</v>
      </c>
      <c r="H20" s="1851">
        <f t="shared" si="0"/>
        <v>5</v>
      </c>
      <c r="I20" s="1851">
        <f t="shared" si="1"/>
        <v>5</v>
      </c>
      <c r="J20" s="1851">
        <f t="shared" si="2"/>
        <v>0</v>
      </c>
    </row>
    <row r="21" spans="1:12" ht="12" customHeight="1" x14ac:dyDescent="0.2">
      <c r="A21" s="1836" t="s">
        <v>1528</v>
      </c>
      <c r="B21" s="1837"/>
      <c r="C21" s="1838"/>
      <c r="D21" s="1838"/>
      <c r="E21" s="1841"/>
      <c r="F21" s="1840"/>
      <c r="H21" s="1851">
        <f t="shared" si="0"/>
        <v>0</v>
      </c>
      <c r="I21" s="1851">
        <f t="shared" si="1"/>
        <v>0</v>
      </c>
      <c r="J21" s="1851">
        <f t="shared" si="2"/>
        <v>0</v>
      </c>
    </row>
    <row r="22" spans="1:12" ht="12" customHeight="1" x14ac:dyDescent="0.2">
      <c r="A22" s="1836" t="s">
        <v>1529</v>
      </c>
      <c r="B22" s="1837"/>
      <c r="C22" s="1838"/>
      <c r="D22" s="1838"/>
      <c r="E22" s="1841"/>
      <c r="F22" s="1840"/>
      <c r="H22" s="1851">
        <f t="shared" si="0"/>
        <v>0</v>
      </c>
      <c r="I22" s="1851">
        <f t="shared" si="1"/>
        <v>0</v>
      </c>
      <c r="J22" s="1851">
        <f t="shared" si="2"/>
        <v>0</v>
      </c>
    </row>
    <row r="23" spans="1:12" ht="12" customHeight="1" x14ac:dyDescent="0.2">
      <c r="A23" s="1836" t="s">
        <v>1530</v>
      </c>
      <c r="B23" s="1837"/>
      <c r="C23" s="1838"/>
      <c r="D23" s="1838"/>
      <c r="E23" s="1841"/>
      <c r="F23" s="1840"/>
      <c r="H23" s="1851">
        <f t="shared" si="0"/>
        <v>0</v>
      </c>
      <c r="I23" s="1851">
        <f t="shared" si="1"/>
        <v>0</v>
      </c>
      <c r="J23" s="1851">
        <f t="shared" si="2"/>
        <v>0</v>
      </c>
    </row>
    <row r="24" spans="1:12" ht="12" customHeight="1" x14ac:dyDescent="0.2">
      <c r="A24" s="1836" t="s">
        <v>1531</v>
      </c>
      <c r="B24" s="1837"/>
      <c r="C24" s="1838"/>
      <c r="D24" s="1838"/>
      <c r="E24" s="1841"/>
      <c r="F24" s="1840"/>
      <c r="H24" s="1851">
        <f t="shared" si="0"/>
        <v>0</v>
      </c>
      <c r="I24" s="1851">
        <f t="shared" si="1"/>
        <v>0</v>
      </c>
      <c r="J24" s="1851">
        <f t="shared" si="2"/>
        <v>0</v>
      </c>
    </row>
    <row r="25" spans="1:12" ht="12" customHeight="1" x14ac:dyDescent="0.2">
      <c r="A25" s="1836" t="s">
        <v>1532</v>
      </c>
      <c r="B25" s="1837"/>
      <c r="C25" s="1838"/>
      <c r="D25" s="1838"/>
      <c r="E25" s="1841"/>
      <c r="F25" s="1840"/>
      <c r="H25" s="1851">
        <f t="shared" si="0"/>
        <v>0</v>
      </c>
      <c r="I25" s="1851">
        <f t="shared" si="1"/>
        <v>0</v>
      </c>
      <c r="J25" s="1851">
        <f t="shared" si="2"/>
        <v>0</v>
      </c>
    </row>
    <row r="26" spans="1:12" ht="12" customHeight="1" x14ac:dyDescent="0.2">
      <c r="A26" s="1836" t="s">
        <v>1533</v>
      </c>
      <c r="B26" s="1837"/>
      <c r="C26" s="1838" t="s">
        <v>2112</v>
      </c>
      <c r="D26" s="1838" t="s">
        <v>2112</v>
      </c>
      <c r="E26" s="1841"/>
      <c r="F26" s="1840" t="s">
        <v>2116</v>
      </c>
      <c r="H26" s="1851">
        <f t="shared" si="0"/>
        <v>5</v>
      </c>
      <c r="I26" s="1851">
        <f t="shared" si="1"/>
        <v>5</v>
      </c>
      <c r="J26" s="1851">
        <f t="shared" si="2"/>
        <v>0</v>
      </c>
    </row>
    <row r="27" spans="1:12" ht="18.75" x14ac:dyDescent="0.2">
      <c r="A27" s="1836" t="s">
        <v>1534</v>
      </c>
      <c r="B27" s="1837"/>
      <c r="C27" s="1838"/>
      <c r="D27" s="1838"/>
      <c r="E27" s="1841"/>
      <c r="F27" s="1840"/>
      <c r="H27" s="1851">
        <f t="shared" si="0"/>
        <v>0</v>
      </c>
      <c r="I27" s="1851">
        <f t="shared" si="1"/>
        <v>0</v>
      </c>
      <c r="J27" s="1851">
        <f t="shared" si="2"/>
        <v>0</v>
      </c>
    </row>
    <row r="28" spans="1:12" ht="12" customHeight="1" x14ac:dyDescent="0.2">
      <c r="A28" s="1836" t="s">
        <v>1535</v>
      </c>
      <c r="B28" s="1837"/>
      <c r="C28" s="1838"/>
      <c r="D28" s="1838"/>
      <c r="E28" s="1841"/>
      <c r="F28" s="1840"/>
      <c r="H28" s="1851">
        <f t="shared" si="0"/>
        <v>0</v>
      </c>
      <c r="I28" s="1851">
        <f t="shared" si="1"/>
        <v>0</v>
      </c>
      <c r="J28" s="1851">
        <f t="shared" si="2"/>
        <v>0</v>
      </c>
    </row>
    <row r="29" spans="1:12" ht="12" customHeight="1" x14ac:dyDescent="0.2">
      <c r="A29" s="1836" t="s">
        <v>1536</v>
      </c>
      <c r="B29" s="1837"/>
      <c r="C29" s="1838"/>
      <c r="D29" s="1838"/>
      <c r="E29" s="1841"/>
      <c r="F29" s="1840"/>
      <c r="H29" s="1851">
        <f t="shared" si="0"/>
        <v>0</v>
      </c>
      <c r="I29" s="1851">
        <f t="shared" si="1"/>
        <v>0</v>
      </c>
      <c r="J29" s="1851">
        <f t="shared" si="2"/>
        <v>0</v>
      </c>
    </row>
    <row r="30" spans="1:12" ht="12" customHeight="1" x14ac:dyDescent="0.2">
      <c r="A30" s="1836" t="s">
        <v>1537</v>
      </c>
      <c r="B30" s="1837"/>
      <c r="C30" s="1838" t="s">
        <v>2112</v>
      </c>
      <c r="D30" s="1838" t="s">
        <v>2112</v>
      </c>
      <c r="E30" s="1841"/>
      <c r="F30" s="1840" t="s">
        <v>2113</v>
      </c>
      <c r="H30" s="1851">
        <f t="shared" si="0"/>
        <v>5</v>
      </c>
      <c r="I30" s="1851">
        <f t="shared" si="1"/>
        <v>5</v>
      </c>
      <c r="J30" s="1851">
        <f t="shared" si="2"/>
        <v>0</v>
      </c>
    </row>
    <row r="31" spans="1:12" ht="12" customHeight="1" x14ac:dyDescent="0.2">
      <c r="A31" s="1836" t="s">
        <v>1538</v>
      </c>
      <c r="B31" s="1837"/>
      <c r="C31" s="1838" t="s">
        <v>2112</v>
      </c>
      <c r="D31" s="1838" t="s">
        <v>2112</v>
      </c>
      <c r="E31" s="1841"/>
      <c r="F31" s="1840" t="s">
        <v>2117</v>
      </c>
      <c r="H31" s="1851">
        <f t="shared" si="0"/>
        <v>5</v>
      </c>
      <c r="I31" s="1851">
        <f t="shared" si="1"/>
        <v>5</v>
      </c>
      <c r="J31" s="1851">
        <f t="shared" si="2"/>
        <v>0</v>
      </c>
      <c r="L31" s="1842"/>
    </row>
    <row r="32" spans="1:12" ht="12" customHeight="1" x14ac:dyDescent="0.2">
      <c r="A32" s="1836" t="s">
        <v>1539</v>
      </c>
      <c r="B32" s="1837"/>
      <c r="C32" s="1838" t="s">
        <v>2112</v>
      </c>
      <c r="D32" s="1838" t="s">
        <v>2112</v>
      </c>
      <c r="E32" s="1841"/>
      <c r="F32" s="1840" t="s">
        <v>2118</v>
      </c>
      <c r="H32" s="1851">
        <f t="shared" si="0"/>
        <v>5</v>
      </c>
      <c r="I32" s="1851">
        <f t="shared" si="1"/>
        <v>5</v>
      </c>
      <c r="J32" s="1851">
        <f t="shared" si="2"/>
        <v>0</v>
      </c>
    </row>
    <row r="33" spans="1:11" ht="12" customHeight="1" x14ac:dyDescent="0.2">
      <c r="A33" s="1836" t="s">
        <v>1540</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35</v>
      </c>
      <c r="I34" s="1851">
        <f>SUM(I11:I32)</f>
        <v>35</v>
      </c>
      <c r="J34" s="1851">
        <f>SUM(J11:J32)</f>
        <v>0</v>
      </c>
      <c r="K34" s="1851">
        <f>SUM(H34:J34)</f>
        <v>70</v>
      </c>
    </row>
    <row r="35" spans="1:11" ht="12" customHeight="1" x14ac:dyDescent="0.2">
      <c r="A35" s="1844" t="s">
        <v>1391</v>
      </c>
      <c r="B35" s="1845"/>
      <c r="C35" s="2374"/>
      <c r="D35" s="2374"/>
      <c r="E35" s="2374"/>
      <c r="F35" s="2375"/>
    </row>
    <row r="36" spans="1:11" ht="12" customHeight="1" x14ac:dyDescent="0.2">
      <c r="A36" s="2365"/>
      <c r="B36" s="2366"/>
      <c r="C36" s="2366"/>
      <c r="D36" s="2366"/>
      <c r="E36" s="2366"/>
      <c r="F36" s="2367"/>
    </row>
    <row r="37" spans="1:11" ht="12" customHeight="1" x14ac:dyDescent="0.2">
      <c r="A37" s="2365"/>
      <c r="B37" s="2366"/>
      <c r="C37" s="2366"/>
      <c r="D37" s="2366"/>
      <c r="E37" s="2366"/>
      <c r="F37" s="2367"/>
    </row>
    <row r="38" spans="1:11" ht="12" customHeight="1" x14ac:dyDescent="0.2">
      <c r="A38" s="2379"/>
      <c r="B38" s="2380"/>
      <c r="C38" s="2380"/>
      <c r="D38" s="2380"/>
      <c r="E38" s="2380"/>
      <c r="F38" s="2381"/>
    </row>
    <row r="39" spans="1:11" ht="4.5" hidden="1" customHeight="1" x14ac:dyDescent="0.2">
      <c r="A39" s="1846"/>
      <c r="B39" s="1846"/>
      <c r="C39" s="1846"/>
      <c r="D39" s="1846"/>
      <c r="E39" s="1846"/>
      <c r="F39" s="1846"/>
    </row>
    <row r="40" spans="1:11" s="1843" customFormat="1" ht="12" customHeight="1" x14ac:dyDescent="0.25">
      <c r="A40" s="1847" t="s">
        <v>1390</v>
      </c>
      <c r="B40" s="1848"/>
      <c r="C40" s="2382"/>
      <c r="D40" s="2382"/>
      <c r="E40" s="2382"/>
      <c r="F40" s="2383"/>
      <c r="H40" s="1852"/>
      <c r="I40" s="1852"/>
      <c r="J40" s="1852"/>
      <c r="K40" s="1852"/>
    </row>
    <row r="41" spans="1:11" s="1843" customFormat="1" ht="12" customHeight="1" x14ac:dyDescent="0.25">
      <c r="A41" s="2384"/>
      <c r="B41" s="2385"/>
      <c r="C41" s="2385"/>
      <c r="D41" s="2385"/>
      <c r="E41" s="2385"/>
      <c r="F41" s="2386"/>
      <c r="H41" s="1852"/>
      <c r="I41" s="1852"/>
      <c r="J41" s="1852"/>
      <c r="K41" s="1852"/>
    </row>
    <row r="42" spans="1:11" s="1843" customFormat="1" ht="12" customHeight="1" x14ac:dyDescent="0.25">
      <c r="A42" s="2384"/>
      <c r="B42" s="2385"/>
      <c r="C42" s="2385"/>
      <c r="D42" s="2385"/>
      <c r="E42" s="2385"/>
      <c r="F42" s="2386"/>
      <c r="H42" s="1852"/>
      <c r="I42" s="1852"/>
      <c r="J42" s="1852"/>
      <c r="K42" s="1852"/>
    </row>
    <row r="43" spans="1:11" s="1843" customFormat="1" ht="15" x14ac:dyDescent="0.25">
      <c r="A43" s="2376"/>
      <c r="B43" s="2377"/>
      <c r="C43" s="2377"/>
      <c r="D43" s="2377"/>
      <c r="E43" s="2377"/>
      <c r="F43" s="2378"/>
      <c r="H43" s="1852"/>
      <c r="I43" s="1852"/>
      <c r="J43" s="1852"/>
      <c r="K43" s="1852"/>
    </row>
    <row r="44" spans="1:11" s="1843" customFormat="1" ht="12" hidden="1" customHeight="1" x14ac:dyDescent="0.25">
      <c r="A44" s="2376"/>
      <c r="B44" s="2377"/>
      <c r="C44" s="2377"/>
      <c r="D44" s="2377"/>
      <c r="E44" s="2377"/>
      <c r="F44" s="2378"/>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867" t="s">
        <v>671</v>
      </c>
      <c r="B6" s="1615"/>
      <c r="C6" s="1615"/>
      <c r="D6" s="1615"/>
      <c r="E6" s="1616"/>
      <c r="F6" s="988"/>
      <c r="G6" s="982"/>
      <c r="H6" s="989" t="s">
        <v>1027</v>
      </c>
      <c r="I6" s="2392" t="str">
        <f>COVER!A17</f>
        <v>Johnsburg CUSD 12</v>
      </c>
      <c r="J6" s="2393"/>
      <c r="Q6" s="1637"/>
    </row>
    <row r="7" spans="1:17" x14ac:dyDescent="0.2">
      <c r="A7" s="2394" t="s">
        <v>868</v>
      </c>
      <c r="B7" s="2395"/>
      <c r="C7" s="2395"/>
      <c r="D7" s="2395"/>
      <c r="E7" s="2396"/>
      <c r="F7" s="990"/>
      <c r="G7" s="982"/>
      <c r="H7" s="989" t="s">
        <v>371</v>
      </c>
      <c r="I7" s="2397">
        <f>COVER!A13</f>
        <v>44063012026</v>
      </c>
      <c r="J7" s="2397"/>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1976</v>
      </c>
      <c r="F9" s="996"/>
      <c r="G9" s="996"/>
      <c r="H9" s="1869" t="s">
        <v>1977</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398" t="s">
        <v>480</v>
      </c>
      <c r="B11" s="2399"/>
      <c r="C11" s="2400"/>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84">
        <f>'Expenditures 15-22'!K50</f>
        <v>292246</v>
      </c>
      <c r="F12" s="1012"/>
      <c r="G12" s="1784">
        <f t="shared" ref="G12:G18" si="0">SUM(E12:F12)</f>
        <v>292246</v>
      </c>
      <c r="H12" s="1013">
        <v>287759</v>
      </c>
      <c r="I12" s="1012"/>
      <c r="J12" s="1784">
        <f t="shared" ref="J12:J18" si="1">SUM(H12:I12)</f>
        <v>287759</v>
      </c>
    </row>
    <row r="13" spans="1:17" ht="15" customHeight="1" x14ac:dyDescent="0.2">
      <c r="A13" s="1008">
        <v>2</v>
      </c>
      <c r="B13" s="1009" t="s">
        <v>42</v>
      </c>
      <c r="C13" s="1010"/>
      <c r="D13" s="1011">
        <v>2330</v>
      </c>
      <c r="E13" s="1784">
        <f>'Expenditures 15-22'!K51</f>
        <v>0</v>
      </c>
      <c r="F13" s="1012"/>
      <c r="G13" s="1784">
        <f t="shared" si="0"/>
        <v>0</v>
      </c>
      <c r="H13" s="1013"/>
      <c r="I13" s="1012"/>
      <c r="J13" s="1784">
        <f t="shared" si="1"/>
        <v>0</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1067</v>
      </c>
      <c r="C15" s="1010"/>
      <c r="D15" s="1011">
        <v>2510</v>
      </c>
      <c r="E15" s="1784">
        <f>'Expenditures 15-22'!K59</f>
        <v>129589</v>
      </c>
      <c r="F15" s="1784">
        <f>'Expenditures 15-22'!K122</f>
        <v>0</v>
      </c>
      <c r="G15" s="1784">
        <f t="shared" si="0"/>
        <v>129589</v>
      </c>
      <c r="H15" s="1013">
        <v>132881</v>
      </c>
      <c r="I15" s="1013"/>
      <c r="J15" s="1784">
        <f t="shared" si="1"/>
        <v>132881</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1059</v>
      </c>
      <c r="C17" s="1010"/>
      <c r="D17" s="1011">
        <v>2610</v>
      </c>
      <c r="E17" s="1784">
        <f>'Expenditures 15-22'!K67</f>
        <v>0</v>
      </c>
      <c r="F17" s="1012"/>
      <c r="G17" s="1784">
        <f t="shared" si="0"/>
        <v>0</v>
      </c>
      <c r="H17" s="1013"/>
      <c r="I17" s="1012"/>
      <c r="J17" s="1784">
        <f t="shared" si="1"/>
        <v>0</v>
      </c>
    </row>
    <row r="18" spans="1:10" ht="22.5" customHeight="1" x14ac:dyDescent="0.2">
      <c r="A18" s="1015">
        <v>7</v>
      </c>
      <c r="B18" s="2401" t="s">
        <v>7</v>
      </c>
      <c r="C18" s="2402"/>
      <c r="D18" s="2403"/>
      <c r="E18" s="1016"/>
      <c r="F18" s="1016"/>
      <c r="G18" s="1785">
        <f t="shared" si="0"/>
        <v>0</v>
      </c>
      <c r="H18" s="1013"/>
      <c r="I18" s="1013"/>
      <c r="J18" s="1784">
        <f t="shared" si="1"/>
        <v>0</v>
      </c>
    </row>
    <row r="19" spans="1:10" ht="12.75" customHeight="1" thickBot="1" x14ac:dyDescent="0.25">
      <c r="A19" s="1008">
        <v>8</v>
      </c>
      <c r="B19" s="1017" t="s">
        <v>1160</v>
      </c>
      <c r="D19" s="1018"/>
      <c r="E19" s="1786">
        <f t="shared" ref="E19:J19" si="2">SUM(E12:E17)-E18</f>
        <v>421835</v>
      </c>
      <c r="F19" s="1786">
        <f t="shared" si="2"/>
        <v>0</v>
      </c>
      <c r="G19" s="1786">
        <f t="shared" si="2"/>
        <v>421835</v>
      </c>
      <c r="H19" s="1786">
        <f t="shared" si="2"/>
        <v>420640</v>
      </c>
      <c r="I19" s="1786">
        <f t="shared" si="2"/>
        <v>0</v>
      </c>
      <c r="J19" s="1786">
        <f t="shared" si="2"/>
        <v>420640</v>
      </c>
    </row>
    <row r="20" spans="1:10" ht="13.5" thickTop="1" x14ac:dyDescent="0.2">
      <c r="A20" s="1008">
        <v>9</v>
      </c>
      <c r="B20" s="2404" t="s">
        <v>1978</v>
      </c>
      <c r="C20" s="2404"/>
      <c r="D20" s="2405"/>
      <c r="E20" s="1019"/>
      <c r="F20" s="1019"/>
      <c r="G20" s="1019"/>
      <c r="H20" s="1019"/>
      <c r="I20" s="1019"/>
      <c r="J20" s="1787">
        <f>IF(AND(G19&gt;0,J19&gt;0),(((J19-G19)/G19)),"Enter Budget Data")</f>
        <v>-2.8328611898016999E-3</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10"/>
      <c r="D26" s="2410"/>
      <c r="E26" s="1023"/>
      <c r="F26" s="2409"/>
      <c r="G26" s="2409"/>
    </row>
    <row r="27" spans="1:10" x14ac:dyDescent="0.2">
      <c r="B27" s="1020"/>
      <c r="C27" s="1024" t="s">
        <v>1032</v>
      </c>
      <c r="D27" s="1025"/>
      <c r="E27" s="1026"/>
      <c r="F27" s="2406" t="s">
        <v>1508</v>
      </c>
      <c r="G27" s="2406"/>
    </row>
    <row r="28" spans="1:10" ht="28.5" customHeight="1" x14ac:dyDescent="0.2">
      <c r="B28" s="1020"/>
      <c r="C28" s="2408"/>
      <c r="D28" s="2408"/>
      <c r="E28" s="1027"/>
      <c r="F28" s="2408"/>
      <c r="G28" s="2408"/>
    </row>
    <row r="29" spans="1:10" x14ac:dyDescent="0.2">
      <c r="B29" s="1020"/>
      <c r="C29" s="1028" t="s">
        <v>1560</v>
      </c>
      <c r="E29" s="1029"/>
      <c r="F29" s="2407" t="s">
        <v>1509</v>
      </c>
      <c r="G29" s="2407"/>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389" t="s">
        <v>132</v>
      </c>
      <c r="D33" s="2390"/>
      <c r="E33" s="2390"/>
      <c r="F33" s="2390"/>
      <c r="G33" s="2390"/>
      <c r="H33" s="2390"/>
      <c r="I33" s="2390"/>
    </row>
    <row r="34" spans="1:10" ht="10.35" customHeight="1" x14ac:dyDescent="0.2">
      <c r="C34" s="2390"/>
      <c r="D34" s="2390"/>
      <c r="E34" s="2390"/>
      <c r="F34" s="2390"/>
      <c r="G34" s="2390"/>
      <c r="H34" s="2390"/>
      <c r="I34" s="2390"/>
    </row>
    <row r="35" spans="1:10" ht="7.5" customHeight="1" x14ac:dyDescent="0.2">
      <c r="C35" s="1035"/>
    </row>
    <row r="36" spans="1:10" ht="13.5" customHeight="1" x14ac:dyDescent="0.2">
      <c r="B36" s="1034"/>
      <c r="C36" s="2391" t="s">
        <v>1980</v>
      </c>
      <c r="D36" s="2390"/>
      <c r="E36" s="2390"/>
      <c r="F36" s="2390"/>
      <c r="G36" s="2390"/>
      <c r="H36" s="2390"/>
      <c r="I36" s="2390"/>
      <c r="J36" s="1036"/>
    </row>
    <row r="37" spans="1:10" ht="22.5" customHeight="1" x14ac:dyDescent="0.2">
      <c r="C37" s="2390"/>
      <c r="D37" s="2390"/>
      <c r="E37" s="2390"/>
      <c r="F37" s="2390"/>
      <c r="G37" s="2390"/>
      <c r="H37" s="2390"/>
      <c r="I37" s="2390"/>
      <c r="J37" s="1036"/>
    </row>
    <row r="38" spans="1:10" ht="7.5" customHeight="1" x14ac:dyDescent="0.2">
      <c r="C38" s="1035"/>
      <c r="D38" s="1037"/>
      <c r="E38" s="1038"/>
      <c r="F38" s="1039"/>
      <c r="G38" s="1038"/>
    </row>
    <row r="39" spans="1:10" ht="13.5" customHeight="1" x14ac:dyDescent="0.2">
      <c r="B39" s="1034"/>
      <c r="C39" s="2387" t="s">
        <v>881</v>
      </c>
      <c r="D39" s="2388"/>
      <c r="E39" s="2388"/>
      <c r="F39" s="2388"/>
      <c r="G39" s="2388"/>
      <c r="H39" s="2388"/>
      <c r="I39" s="2388"/>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0"/>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15" x14ac:dyDescent="0.25">
      <c r="A5" s="1041">
        <v>1</v>
      </c>
      <c r="B5" s="2006" t="s">
        <v>2108</v>
      </c>
    </row>
    <row r="6" spans="1:2" ht="15" x14ac:dyDescent="0.25">
      <c r="A6" s="1041">
        <v>2</v>
      </c>
      <c r="B6" s="2007" t="s">
        <v>2109</v>
      </c>
    </row>
    <row r="7" spans="1:2" ht="15" x14ac:dyDescent="0.25">
      <c r="A7" s="1041">
        <v>3</v>
      </c>
      <c r="B7" s="2008" t="s">
        <v>2110</v>
      </c>
    </row>
    <row r="8" spans="1:2" ht="15" x14ac:dyDescent="0.25">
      <c r="A8" s="1041">
        <v>4</v>
      </c>
      <c r="B8" s="2009" t="s">
        <v>2149</v>
      </c>
    </row>
    <row r="9" spans="1:2" ht="15" x14ac:dyDescent="0.25">
      <c r="A9" s="1041">
        <v>5</v>
      </c>
      <c r="B9" s="2009" t="s">
        <v>2150</v>
      </c>
    </row>
    <row r="10" spans="1:2" ht="30" x14ac:dyDescent="0.25">
      <c r="A10" s="2015">
        <v>6</v>
      </c>
      <c r="B10" s="2014" t="s">
        <v>2145</v>
      </c>
    </row>
    <row r="11" spans="1:2" ht="15" x14ac:dyDescent="0.25">
      <c r="A11" s="1041">
        <v>7</v>
      </c>
      <c r="B11" s="2009" t="s">
        <v>2111</v>
      </c>
    </row>
    <row r="12" spans="1:2" ht="15" x14ac:dyDescent="0.25">
      <c r="A12" s="1041">
        <v>8</v>
      </c>
      <c r="B12" s="2009" t="s">
        <v>2151</v>
      </c>
    </row>
    <row r="13" spans="1:2" ht="15" x14ac:dyDescent="0.25">
      <c r="A13" s="1041">
        <v>9</v>
      </c>
      <c r="B13" s="2009" t="s">
        <v>2152</v>
      </c>
    </row>
    <row r="14" spans="1:2" x14ac:dyDescent="0.2">
      <c r="A14" s="1041">
        <v>10</v>
      </c>
      <c r="B14" s="329" t="s">
        <v>2134</v>
      </c>
    </row>
    <row r="15" spans="1:2" ht="30" x14ac:dyDescent="0.25">
      <c r="A15" s="2015">
        <v>11</v>
      </c>
      <c r="B15" s="2014" t="s">
        <v>2133</v>
      </c>
    </row>
    <row r="16" spans="1:2" x14ac:dyDescent="0.2">
      <c r="A16" s="1042">
        <v>12</v>
      </c>
      <c r="B16" s="329" t="s">
        <v>2132</v>
      </c>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c r="B59" s="258" t="str">
        <f>COVER!A17</f>
        <v>Johnsburg CUSD 12</v>
      </c>
    </row>
    <row r="60" spans="1:2" x14ac:dyDescent="0.2">
      <c r="B60" s="1043">
        <f>COVER!A13</f>
        <v>44063012026</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7" zoomScale="110" zoomScaleNormal="110" workbookViewId="0">
      <selection activeCell="J31" sqref="J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1856</v>
      </c>
      <c r="C4" s="162" t="s">
        <v>1168</v>
      </c>
      <c r="D4" s="169" t="s">
        <v>10</v>
      </c>
      <c r="E4" s="170" t="s">
        <v>22</v>
      </c>
    </row>
    <row r="5" spans="1:5" x14ac:dyDescent="0.2">
      <c r="A5" s="168" t="s">
        <v>1858</v>
      </c>
      <c r="C5" s="162" t="s">
        <v>1168</v>
      </c>
      <c r="D5" s="169" t="s">
        <v>10</v>
      </c>
      <c r="E5" s="170" t="s">
        <v>22</v>
      </c>
    </row>
    <row r="6" spans="1:5" x14ac:dyDescent="0.2">
      <c r="A6" s="168" t="s">
        <v>1857</v>
      </c>
      <c r="C6" s="162" t="s">
        <v>1168</v>
      </c>
      <c r="D6" s="167" t="s">
        <v>11</v>
      </c>
      <c r="E6" s="170" t="s">
        <v>940</v>
      </c>
    </row>
    <row r="7" spans="1:5" x14ac:dyDescent="0.2">
      <c r="A7" s="168" t="s">
        <v>1859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1860</v>
      </c>
      <c r="C11" s="162" t="s">
        <v>1168</v>
      </c>
      <c r="D11" s="169" t="s">
        <v>14</v>
      </c>
      <c r="E11" s="170" t="s">
        <v>1155</v>
      </c>
    </row>
    <row r="12" spans="1:5" x14ac:dyDescent="0.2">
      <c r="B12" s="169" t="s">
        <v>1861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1862</v>
      </c>
      <c r="C15" s="162" t="s">
        <v>1168</v>
      </c>
      <c r="D15" s="169" t="s">
        <v>17</v>
      </c>
      <c r="E15" s="170" t="s">
        <v>635</v>
      </c>
    </row>
    <row r="16" spans="1:5" x14ac:dyDescent="0.2">
      <c r="A16" s="172"/>
      <c r="B16" s="162" t="s">
        <v>1863</v>
      </c>
      <c r="C16" s="162" t="s">
        <v>1168</v>
      </c>
      <c r="D16" s="169" t="s">
        <v>680</v>
      </c>
      <c r="E16" s="170" t="s">
        <v>1039</v>
      </c>
    </row>
    <row r="17" spans="1:5" x14ac:dyDescent="0.2">
      <c r="B17" s="167" t="s">
        <v>987</v>
      </c>
      <c r="C17" s="162" t="s">
        <v>1168</v>
      </c>
    </row>
    <row r="18" spans="1:5" x14ac:dyDescent="0.2">
      <c r="B18" s="167" t="s">
        <v>1869</v>
      </c>
      <c r="D18" s="169" t="s">
        <v>18</v>
      </c>
      <c r="E18" s="170" t="s">
        <v>1040</v>
      </c>
    </row>
    <row r="19" spans="1:5" x14ac:dyDescent="0.2">
      <c r="A19" s="168" t="s">
        <v>1098</v>
      </c>
      <c r="C19" s="162" t="s">
        <v>1168</v>
      </c>
      <c r="D19" s="169"/>
      <c r="E19" s="171"/>
    </row>
    <row r="20" spans="1:5" x14ac:dyDescent="0.2">
      <c r="B20" s="167" t="s">
        <v>1864</v>
      </c>
      <c r="C20" s="162" t="s">
        <v>1168</v>
      </c>
      <c r="D20" s="169" t="s">
        <v>19</v>
      </c>
      <c r="E20" s="170" t="s">
        <v>51</v>
      </c>
    </row>
    <row r="21" spans="1:5" x14ac:dyDescent="0.2">
      <c r="B21" s="167" t="s">
        <v>1865</v>
      </c>
      <c r="C21" s="162" t="s">
        <v>1168</v>
      </c>
      <c r="D21" s="169" t="s">
        <v>20</v>
      </c>
      <c r="E21" s="170" t="s">
        <v>1609</v>
      </c>
    </row>
    <row r="22" spans="1:5" x14ac:dyDescent="0.2">
      <c r="A22" s="168"/>
      <c r="B22" s="162" t="s">
        <v>1853</v>
      </c>
      <c r="C22" s="162" t="s">
        <v>1168</v>
      </c>
      <c r="D22" s="167" t="s">
        <v>1855</v>
      </c>
      <c r="E22" s="1809" t="s">
        <v>1610</v>
      </c>
    </row>
    <row r="23" spans="1:5" x14ac:dyDescent="0.2">
      <c r="A23" s="168"/>
      <c r="B23" s="162" t="s">
        <v>1854</v>
      </c>
      <c r="D23" s="167" t="s">
        <v>636</v>
      </c>
      <c r="E23" s="1809" t="s">
        <v>958</v>
      </c>
    </row>
    <row r="24" spans="1:5" x14ac:dyDescent="0.2">
      <c r="A24" s="168" t="s">
        <v>1608</v>
      </c>
      <c r="C24" s="162" t="s">
        <v>1168</v>
      </c>
      <c r="D24" s="167" t="s">
        <v>1392</v>
      </c>
      <c r="E24" s="170" t="s">
        <v>959</v>
      </c>
    </row>
    <row r="25" spans="1:5" x14ac:dyDescent="0.2">
      <c r="A25" s="168" t="s">
        <v>1866</v>
      </c>
      <c r="C25" s="162" t="s">
        <v>1168</v>
      </c>
      <c r="D25" s="169" t="s">
        <v>21</v>
      </c>
      <c r="E25" s="170" t="s">
        <v>1041</v>
      </c>
    </row>
    <row r="26" spans="1:5" x14ac:dyDescent="0.2">
      <c r="A26" s="168" t="s">
        <v>1867</v>
      </c>
      <c r="C26" s="162" t="s">
        <v>1168</v>
      </c>
      <c r="D26" s="169" t="s">
        <v>562</v>
      </c>
      <c r="E26" s="170" t="s">
        <v>1042</v>
      </c>
    </row>
    <row r="27" spans="1:5" x14ac:dyDescent="0.2">
      <c r="A27" s="168" t="s">
        <v>1868</v>
      </c>
      <c r="C27" s="162" t="s">
        <v>1168</v>
      </c>
      <c r="D27" s="169" t="s">
        <v>556</v>
      </c>
      <c r="E27" s="170" t="s">
        <v>682</v>
      </c>
    </row>
    <row r="28" spans="1:5" x14ac:dyDescent="0.2">
      <c r="A28" s="168" t="s">
        <v>1870</v>
      </c>
      <c r="D28" s="169" t="s">
        <v>683</v>
      </c>
      <c r="E28" s="170" t="s">
        <v>1365</v>
      </c>
    </row>
    <row r="29" spans="1:5" x14ac:dyDescent="0.2">
      <c r="A29" s="168" t="s">
        <v>1871</v>
      </c>
      <c r="D29" s="169" t="s">
        <v>1393</v>
      </c>
      <c r="E29" s="170" t="s">
        <v>1374</v>
      </c>
    </row>
    <row r="30" spans="1:5" x14ac:dyDescent="0.2">
      <c r="A30" s="173" t="s">
        <v>1872</v>
      </c>
      <c r="C30" s="162" t="s">
        <v>1168</v>
      </c>
      <c r="D30" s="169" t="s">
        <v>40</v>
      </c>
      <c r="E30" s="170" t="s">
        <v>981</v>
      </c>
    </row>
    <row r="31" spans="1:5" x14ac:dyDescent="0.2">
      <c r="A31" s="168" t="s">
        <v>1520</v>
      </c>
      <c r="C31" s="162" t="s">
        <v>1168</v>
      </c>
      <c r="D31" s="167"/>
      <c r="E31" s="171"/>
    </row>
    <row r="32" spans="1:5" x14ac:dyDescent="0.2">
      <c r="B32" s="167" t="s">
        <v>1873</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28" t="s">
        <v>1064</v>
      </c>
      <c r="B35" s="2128"/>
      <c r="C35" s="2128"/>
      <c r="D35" s="2128"/>
      <c r="E35" s="212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5" t="s">
        <v>690</v>
      </c>
      <c r="B40" s="2125"/>
      <c r="C40" s="2125"/>
      <c r="D40" s="2125"/>
      <c r="E40" s="2125"/>
    </row>
    <row r="41" spans="1:5" x14ac:dyDescent="0.2">
      <c r="A41" s="2126" t="s">
        <v>1607</v>
      </c>
      <c r="B41" s="2126"/>
      <c r="C41" s="2126"/>
      <c r="D41" s="2126"/>
      <c r="E41" s="2126"/>
    </row>
    <row r="42" spans="1:5" ht="12.75" customHeight="1" x14ac:dyDescent="0.2">
      <c r="A42" s="2127" t="s">
        <v>1021</v>
      </c>
      <c r="B42" s="2127"/>
      <c r="C42" s="2127"/>
      <c r="D42" s="2127"/>
      <c r="E42" s="2127"/>
    </row>
    <row r="43" spans="1:5" ht="6.75" customHeight="1" x14ac:dyDescent="0.2">
      <c r="A43" s="167"/>
      <c r="B43" s="176"/>
    </row>
    <row r="44" spans="1:5" x14ac:dyDescent="0.2">
      <c r="A44" s="185" t="s">
        <v>982</v>
      </c>
      <c r="B44" s="186" t="s">
        <v>1899</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8" t="s">
        <v>1773</v>
      </c>
    </row>
    <row r="60" spans="1:3" x14ac:dyDescent="0.2">
      <c r="A60" s="196"/>
      <c r="B60" s="1458"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6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9"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36" sqref="C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26" sqref="B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1683</v>
      </c>
    </row>
    <row r="17" spans="1:2" ht="6" customHeight="1" x14ac:dyDescent="0.2"/>
    <row r="18" spans="1:2" ht="24.75" customHeight="1" x14ac:dyDescent="0.2">
      <c r="A18" s="2411" t="s">
        <v>1684</v>
      </c>
      <c r="B18" s="241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2" t="s">
        <v>1689</v>
      </c>
      <c r="B1" s="2413"/>
      <c r="C1" s="2413"/>
      <c r="D1" s="2413"/>
      <c r="E1" s="2413"/>
      <c r="F1" s="2414"/>
    </row>
    <row r="2" spans="1:8" ht="45" customHeight="1" x14ac:dyDescent="0.2">
      <c r="A2" s="2422" t="s">
        <v>1984</v>
      </c>
      <c r="B2" s="2423"/>
      <c r="C2" s="2423"/>
      <c r="D2" s="2423"/>
      <c r="E2" s="2423"/>
      <c r="F2" s="2424"/>
      <c r="G2" s="1047"/>
      <c r="H2" s="1047"/>
    </row>
    <row r="3" spans="1:8" ht="57" customHeight="1" x14ac:dyDescent="0.2">
      <c r="A3" s="2425" t="s">
        <v>1685</v>
      </c>
      <c r="B3" s="2426"/>
      <c r="C3" s="2426"/>
      <c r="D3" s="2426"/>
      <c r="E3" s="2426"/>
      <c r="F3" s="2427"/>
      <c r="G3" s="1047"/>
      <c r="H3" s="1047"/>
    </row>
    <row r="4" spans="1:8" ht="14.25" customHeight="1" x14ac:dyDescent="0.2">
      <c r="A4" s="2431" t="s">
        <v>1985</v>
      </c>
      <c r="B4" s="2432"/>
      <c r="C4" s="2432"/>
      <c r="D4" s="2432"/>
      <c r="E4" s="2432"/>
      <c r="F4" s="2433"/>
      <c r="G4" s="1047"/>
      <c r="H4" s="1047"/>
    </row>
    <row r="5" spans="1:8" ht="14.25" customHeight="1" x14ac:dyDescent="0.2">
      <c r="A5" s="2434" t="s">
        <v>1981</v>
      </c>
      <c r="B5" s="2435"/>
      <c r="C5" s="2435"/>
      <c r="D5" s="2435"/>
      <c r="E5" s="2435"/>
      <c r="F5" s="2436"/>
      <c r="G5" s="1047"/>
      <c r="H5" s="1047"/>
    </row>
    <row r="6" spans="1:8" s="1048" customFormat="1" ht="41.25" customHeight="1" x14ac:dyDescent="0.2">
      <c r="A6" s="2428" t="s">
        <v>1690</v>
      </c>
      <c r="B6" s="2429"/>
      <c r="C6" s="2429"/>
      <c r="D6" s="2429"/>
      <c r="E6" s="2429"/>
      <c r="F6" s="2430"/>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88">
        <f>'Acct Summary 7-8'!C8</f>
        <v>21100906</v>
      </c>
      <c r="C8" s="1788">
        <f>'Acct Summary 7-8'!D8</f>
        <v>2488287</v>
      </c>
      <c r="D8" s="1788">
        <f>'Acct Summary 7-8'!F8</f>
        <v>1583614</v>
      </c>
      <c r="E8" s="1788">
        <f>'Acct Summary 7-8'!I8</f>
        <v>0</v>
      </c>
      <c r="F8" s="1788">
        <f>SUM(B8:E8)</f>
        <v>25172807</v>
      </c>
    </row>
    <row r="9" spans="1:8" s="1052" customFormat="1" ht="14.25" customHeight="1" thickBot="1" x14ac:dyDescent="0.25">
      <c r="A9" s="1051" t="s">
        <v>1368</v>
      </c>
      <c r="B9" s="1789">
        <f>'Acct Summary 7-8'!C17</f>
        <v>19777085</v>
      </c>
      <c r="C9" s="1789">
        <f>'Acct Summary 7-8'!D17</f>
        <v>2026742</v>
      </c>
      <c r="D9" s="1789">
        <f>'Acct Summary 7-8'!F17</f>
        <v>3066702</v>
      </c>
      <c r="E9" s="1788"/>
      <c r="F9" s="1788">
        <f>SUM(B9:E9)</f>
        <v>24870529</v>
      </c>
    </row>
    <row r="10" spans="1:8" s="1052" customFormat="1" ht="14.25" thickTop="1" thickBot="1" x14ac:dyDescent="0.25">
      <c r="A10" s="1053" t="s">
        <v>1369</v>
      </c>
      <c r="B10" s="1790">
        <f>(B8-B9)</f>
        <v>1323821</v>
      </c>
      <c r="C10" s="1790">
        <f>(C8-C9)</f>
        <v>461545</v>
      </c>
      <c r="D10" s="1790">
        <f>(D8-D9)</f>
        <v>-1483088</v>
      </c>
      <c r="E10" s="1789">
        <f>(E8-E9)</f>
        <v>0</v>
      </c>
      <c r="F10" s="1791">
        <f>SUM(F8-F9)</f>
        <v>302278</v>
      </c>
    </row>
    <row r="11" spans="1:8" s="1052" customFormat="1" ht="14.25" thickTop="1" thickBot="1" x14ac:dyDescent="0.25">
      <c r="A11" s="1054" t="s">
        <v>1982</v>
      </c>
      <c r="B11" s="1792">
        <f>'Acct Summary 7-8'!C81</f>
        <v>-821230</v>
      </c>
      <c r="C11" s="1792">
        <f>'Acct Summary 7-8'!D81</f>
        <v>-157936</v>
      </c>
      <c r="D11" s="1792">
        <f>'Acct Summary 7-8'!F81</f>
        <v>548426</v>
      </c>
      <c r="E11" s="1792">
        <f>'Acct Summary 7-8'!I81</f>
        <v>4133805</v>
      </c>
      <c r="F11" s="1793">
        <f>SUM(B11:E11)</f>
        <v>3703065</v>
      </c>
    </row>
    <row r="12" spans="1:8" ht="16.5" customHeight="1" thickTop="1" x14ac:dyDescent="0.2">
      <c r="A12" s="1055"/>
      <c r="B12" s="1056"/>
      <c r="C12" s="2416" t="str">
        <f>IF(AND(F10&lt;0,F11&gt;=0,ABS(F10*3)&gt;ABS(F11)),A16,IF(AND(F10&lt;0,F11&gt;0,ABS(F10*3)&lt;=ABS(F11)),A17,IF(AND(F10&lt;0,F11&lt;0),A16,IF(F11=0,A19,A18))))</f>
        <v>Balanced - no deficit reduction plan is required.</v>
      </c>
      <c r="D12" s="2417"/>
      <c r="E12" s="2417"/>
      <c r="F12" s="2418"/>
    </row>
    <row r="13" spans="1:8" ht="19.5" customHeight="1" x14ac:dyDescent="0.2">
      <c r="A13" s="1057"/>
      <c r="B13" s="1058"/>
      <c r="C13" s="2416"/>
      <c r="D13" s="2417"/>
      <c r="E13" s="2417"/>
      <c r="F13" s="2418"/>
      <c r="H13" s="1047"/>
    </row>
    <row r="14" spans="1:8" ht="19.5" customHeight="1" x14ac:dyDescent="0.2">
      <c r="A14" s="1057"/>
      <c r="B14" s="1058"/>
      <c r="C14" s="2416"/>
      <c r="D14" s="2417"/>
      <c r="E14" s="2417"/>
      <c r="F14" s="2418"/>
      <c r="H14" s="1047"/>
    </row>
    <row r="15" spans="1:8" ht="17.25" customHeight="1" x14ac:dyDescent="0.2">
      <c r="A15" s="1057"/>
      <c r="B15" s="1058"/>
      <c r="C15" s="2419"/>
      <c r="D15" s="2420"/>
      <c r="E15" s="2420"/>
      <c r="F15" s="2421"/>
      <c r="H15" s="1047"/>
    </row>
    <row r="16" spans="1:8" s="310" customFormat="1" ht="51.75" hidden="1" customHeight="1" x14ac:dyDescent="0.2">
      <c r="A16" s="2415" t="s">
        <v>1686</v>
      </c>
      <c r="B16" s="2415"/>
      <c r="C16" s="2415"/>
      <c r="D16" s="2415"/>
      <c r="E16" s="2415"/>
      <c r="F16" s="310" t="s">
        <v>1370</v>
      </c>
    </row>
    <row r="17" spans="1:6" hidden="1" x14ac:dyDescent="0.2">
      <c r="A17" s="316" t="s">
        <v>1687</v>
      </c>
      <c r="F17" s="105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C80" sqref="C80"/>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7" t="s">
        <v>664</v>
      </c>
      <c r="B3" s="2438"/>
      <c r="C3" s="2438"/>
      <c r="D3" s="2439"/>
    </row>
    <row r="4" spans="1:4" x14ac:dyDescent="0.2">
      <c r="A4" s="1125" t="s">
        <v>1691</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448" t="s">
        <v>1503</v>
      </c>
      <c r="D7" s="2449"/>
    </row>
    <row r="8" spans="1:4" s="643" customFormat="1" ht="12.75" x14ac:dyDescent="0.2">
      <c r="A8" s="1111"/>
      <c r="B8" s="1066"/>
      <c r="C8" s="1069" t="s">
        <v>1502</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440" t="s">
        <v>1007</v>
      </c>
      <c r="B15" s="2441"/>
      <c r="C15" s="2441"/>
      <c r="D15" s="2442"/>
    </row>
    <row r="16" spans="1:4" s="643" customFormat="1" ht="24" customHeight="1" x14ac:dyDescent="0.2">
      <c r="A16" s="2443" t="s">
        <v>662</v>
      </c>
      <c r="B16" s="2444"/>
      <c r="C16" s="2444"/>
      <c r="D16" s="2445"/>
    </row>
    <row r="17" spans="1:10" s="643" customFormat="1" ht="12.75" customHeight="1" x14ac:dyDescent="0.2">
      <c r="A17" s="1129" t="s">
        <v>1692</v>
      </c>
      <c r="B17" s="1130"/>
      <c r="C17" s="1131"/>
      <c r="D17" s="1132"/>
    </row>
    <row r="18" spans="1:10" s="643" customFormat="1" ht="12.75" customHeight="1" x14ac:dyDescent="0.2">
      <c r="A18" s="1133" t="s">
        <v>1693</v>
      </c>
      <c r="B18" s="1134"/>
      <c r="C18" s="1135"/>
      <c r="D18" s="1136"/>
    </row>
    <row r="19" spans="1:10" ht="6.75" customHeight="1" thickBot="1" x14ac:dyDescent="0.25">
      <c r="A19" s="1137"/>
      <c r="B19" s="1138"/>
      <c r="C19" s="1139"/>
      <c r="D19" s="1140"/>
    </row>
    <row r="20" spans="1:10" s="1144" customFormat="1" ht="12.75" thickTop="1" x14ac:dyDescent="0.2">
      <c r="A20" s="1141"/>
      <c r="B20" s="1142" t="s">
        <v>1694</v>
      </c>
      <c r="C20" s="1143"/>
      <c r="D20" s="1146" t="s">
        <v>709</v>
      </c>
    </row>
    <row r="21" spans="1:10" x14ac:dyDescent="0.2">
      <c r="A21" s="1071"/>
      <c r="B21" s="1072">
        <v>1</v>
      </c>
      <c r="C21" s="2452" t="s">
        <v>313</v>
      </c>
      <c r="D21" s="2453"/>
    </row>
    <row r="22" spans="1:10" ht="12.75" x14ac:dyDescent="0.2">
      <c r="A22" s="1112"/>
      <c r="B22" s="1113">
        <v>2</v>
      </c>
      <c r="C22" s="2450" t="s">
        <v>1523</v>
      </c>
      <c r="D22" s="2451"/>
    </row>
    <row r="23" spans="1:10" ht="12.2" customHeight="1" x14ac:dyDescent="0.2">
      <c r="A23" s="1112"/>
      <c r="B23" s="1113"/>
      <c r="C23" s="1114" t="s">
        <v>953</v>
      </c>
      <c r="D23" s="1115" t="str">
        <f>IF(COVER!O11="X","CASH",IF(COVER!O12="X","ACCRUAL ","PLEASE CHECK AN ACCOUNTING BASIS."))</f>
        <v xml:space="preserve">ACCRUAL </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454" t="s">
        <v>535</v>
      </c>
      <c r="D43" s="2455"/>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446" t="s">
        <v>783</v>
      </c>
      <c r="D56" s="2447"/>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1020</v>
      </c>
      <c r="D67" s="1098"/>
    </row>
    <row r="68" spans="1:4" x14ac:dyDescent="0.2">
      <c r="A68" s="1073"/>
      <c r="B68" s="1083"/>
      <c r="C68" s="1075" t="s">
        <v>1912</v>
      </c>
      <c r="D68" s="1097" t="str">
        <f>IF('Short-Term Long-Term Debt 24'!F49=SUM(,'Acct Summary 7-8'!C33:K33),"OK","ERROR!")</f>
        <v>ERROR!</v>
      </c>
    </row>
    <row r="69" spans="1:4" x14ac:dyDescent="0.2">
      <c r="A69" s="1073"/>
      <c r="B69" s="1083"/>
      <c r="C69" s="1075" t="s">
        <v>1913</v>
      </c>
      <c r="D69" s="1097" t="str">
        <f>IF('Expenditures 15-22'!H170&lt;&gt;'Short-Term Long-Term Debt 24'!H49,"ERROR!","OK")</f>
        <v>ERROR!</v>
      </c>
    </row>
    <row r="70" spans="1:4" x14ac:dyDescent="0.2">
      <c r="A70" s="1071"/>
      <c r="B70" s="1093">
        <f>B66+1</f>
        <v>9</v>
      </c>
      <c r="C70" s="2446" t="s">
        <v>1695</v>
      </c>
      <c r="D70" s="2447"/>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1696</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PLEASE ENTER CONTRACTS PAID IN CURRENT YEAR.</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44063012026</v>
      </c>
    </row>
    <row r="3" spans="1:2" x14ac:dyDescent="0.2">
      <c r="A3" t="s">
        <v>955</v>
      </c>
      <c r="B3" s="138" t="str">
        <f>COVER!A15</f>
        <v>McHenry</v>
      </c>
    </row>
    <row r="4" spans="1:2" x14ac:dyDescent="0.2">
      <c r="A4" t="s">
        <v>1006</v>
      </c>
      <c r="B4" s="138" t="str">
        <f>COVER!A17</f>
        <v>Johnsburg CUSD 12</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066-005142</v>
      </c>
    </row>
    <row r="16" spans="1:2" x14ac:dyDescent="0.2">
      <c r="A16" t="s">
        <v>421</v>
      </c>
      <c r="B16" s="138" t="str">
        <f>COVER!T13</f>
        <v>EDER, CASELLA &amp; CO.</v>
      </c>
    </row>
    <row r="17" spans="1:2" x14ac:dyDescent="0.2">
      <c r="A17" t="s">
        <v>883</v>
      </c>
      <c r="B17" s="138" t="str">
        <f>COVER!T15</f>
        <v>CHERYDEN JUERGENSEN</v>
      </c>
    </row>
    <row r="18" spans="1:2" x14ac:dyDescent="0.2">
      <c r="A18" t="s">
        <v>1149</v>
      </c>
      <c r="B18" s="138" t="str">
        <f>COVER!T17</f>
        <v>5400 WEST ELM STREET, SUITE 203</v>
      </c>
    </row>
    <row r="19" spans="1:2" x14ac:dyDescent="0.2">
      <c r="A19" t="s">
        <v>885</v>
      </c>
      <c r="B19" s="138" t="str">
        <f>COVER!T25</f>
        <v>CPAS@EDERCASELLA.COM</v>
      </c>
    </row>
    <row r="20" spans="1:2" x14ac:dyDescent="0.2">
      <c r="A20" t="s">
        <v>886</v>
      </c>
      <c r="B20" s="138" t="str">
        <f>COVER!T19</f>
        <v>MCHENRY</v>
      </c>
    </row>
    <row r="21" spans="1:2" x14ac:dyDescent="0.2">
      <c r="A21" t="s">
        <v>478</v>
      </c>
      <c r="B21" s="138" t="str">
        <f>COVER!X19</f>
        <v>IL</v>
      </c>
    </row>
    <row r="22" spans="1:2" x14ac:dyDescent="0.2">
      <c r="A22" t="s">
        <v>887</v>
      </c>
      <c r="B22" s="138">
        <f>COVER!Z19</f>
        <v>60050</v>
      </c>
    </row>
    <row r="23" spans="1:2" x14ac:dyDescent="0.2">
      <c r="A23" t="s">
        <v>1151</v>
      </c>
      <c r="B23" s="138" t="str">
        <f>COVER!T21</f>
        <v>815-344-1300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Yes</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7350583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11914834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268944</v>
      </c>
      <c r="D86" s="2" t="str">
        <f t="shared" si="0"/>
        <v>Error?</v>
      </c>
    </row>
    <row r="87" spans="1:4" x14ac:dyDescent="0.2">
      <c r="A87" s="10">
        <v>26</v>
      </c>
      <c r="D87" s="2" t="str">
        <f t="shared" si="0"/>
        <v>OK</v>
      </c>
    </row>
    <row r="88" spans="1:4" x14ac:dyDescent="0.2">
      <c r="A88" s="5">
        <v>27</v>
      </c>
      <c r="B88" s="138">
        <f>'Assets-Liab 5-6'!C32</f>
        <v>7750447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12736064</v>
      </c>
      <c r="C91" s="2" t="s">
        <v>572</v>
      </c>
      <c r="D91" s="2" t="str">
        <f t="shared" si="0"/>
        <v>Error?</v>
      </c>
    </row>
    <row r="92" spans="1:4" x14ac:dyDescent="0.2">
      <c r="A92" s="5">
        <v>31</v>
      </c>
      <c r="B92" s="138">
        <f>'Assets-Liab 5-6'!C39</f>
        <v>-821230</v>
      </c>
      <c r="D92" s="2" t="str">
        <f t="shared" si="0"/>
        <v>Error?</v>
      </c>
    </row>
    <row r="93" spans="1:4" x14ac:dyDescent="0.2">
      <c r="A93" s="5">
        <v>32</v>
      </c>
      <c r="B93" s="138">
        <f>'Assets-Liab 5-6'!C41</f>
        <v>11914834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1063365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1793359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84597</v>
      </c>
      <c r="D117" s="2" t="str">
        <f t="shared" si="0"/>
        <v>Error?</v>
      </c>
    </row>
    <row r="118" spans="1:4" x14ac:dyDescent="0.2">
      <c r="A118" s="10">
        <v>57</v>
      </c>
      <c r="D118" s="2" t="str">
        <f t="shared" si="0"/>
        <v>OK</v>
      </c>
    </row>
    <row r="119" spans="1:4" x14ac:dyDescent="0.2">
      <c r="A119" s="5">
        <v>58</v>
      </c>
      <c r="B119" s="138">
        <f>'Assets-Liab 5-6'!D32</f>
        <v>1121208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1951295</v>
      </c>
      <c r="C122" s="2" t="s">
        <v>572</v>
      </c>
      <c r="D122" s="2" t="str">
        <f t="shared" si="0"/>
        <v>Error?</v>
      </c>
    </row>
    <row r="123" spans="1:4" x14ac:dyDescent="0.2">
      <c r="A123" s="5">
        <v>62</v>
      </c>
      <c r="B123" s="138">
        <f>'Assets-Liab 5-6'!D39</f>
        <v>-157936</v>
      </c>
      <c r="D123" s="2" t="str">
        <f t="shared" si="0"/>
        <v>Error?</v>
      </c>
    </row>
    <row r="124" spans="1:4" x14ac:dyDescent="0.2">
      <c r="A124" s="5">
        <v>63</v>
      </c>
      <c r="B124" s="138">
        <f>'Assets-Liab 5-6'!D41</f>
        <v>1793359</v>
      </c>
      <c r="C124" s="2" t="s">
        <v>572</v>
      </c>
      <c r="D124" s="2" t="str">
        <f t="shared" si="0"/>
        <v>Error?</v>
      </c>
    </row>
    <row r="125" spans="1:4" x14ac:dyDescent="0.2">
      <c r="A125" s="10">
        <v>64</v>
      </c>
      <c r="D125" s="2" t="str">
        <f t="shared" si="0"/>
        <v>OK</v>
      </c>
    </row>
    <row r="126" spans="1:4" x14ac:dyDescent="0.2">
      <c r="A126" s="5">
        <v>65</v>
      </c>
      <c r="B126" s="138">
        <f>'Assets-Liab 5-6'!E6</f>
        <v>1433501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2981758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1511480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1511480</v>
      </c>
      <c r="C139" s="2" t="s">
        <v>572</v>
      </c>
      <c r="D139" s="2" t="str">
        <f t="shared" si="1"/>
        <v>Error?</v>
      </c>
    </row>
    <row r="140" spans="1:4" x14ac:dyDescent="0.2">
      <c r="A140" s="5">
        <v>79</v>
      </c>
      <c r="B140" s="138">
        <f>'Assets-Liab 5-6'!E39</f>
        <v>1470278</v>
      </c>
      <c r="D140" s="2" t="str">
        <f t="shared" si="1"/>
        <v>Error?</v>
      </c>
    </row>
    <row r="141" spans="1:4" x14ac:dyDescent="0.2">
      <c r="A141" s="5">
        <v>80</v>
      </c>
      <c r="B141" s="138">
        <f>'Assets-Liab 5-6'!E41</f>
        <v>2981758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377006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958620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1793</v>
      </c>
      <c r="D164" s="2" t="str">
        <f t="shared" si="1"/>
        <v>Error?</v>
      </c>
    </row>
    <row r="165" spans="1:4" x14ac:dyDescent="0.2">
      <c r="A165" s="10">
        <v>104</v>
      </c>
      <c r="D165" s="2" t="str">
        <f t="shared" si="1"/>
        <v>OK</v>
      </c>
    </row>
    <row r="166" spans="1:4" x14ac:dyDescent="0.2">
      <c r="A166" s="5">
        <v>105</v>
      </c>
      <c r="B166" s="138">
        <f>'Assets-Liab 5-6'!F32</f>
        <v>397514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410194</v>
      </c>
      <c r="C169" s="2" t="s">
        <v>572</v>
      </c>
      <c r="D169" s="2" t="str">
        <f t="shared" si="1"/>
        <v>Error?</v>
      </c>
    </row>
    <row r="170" spans="1:4" x14ac:dyDescent="0.2">
      <c r="A170" s="5">
        <v>109</v>
      </c>
      <c r="B170" s="138">
        <f>'Assets-Liab 5-6'!F39</f>
        <v>548426</v>
      </c>
      <c r="D170" s="2" t="str">
        <f t="shared" si="1"/>
        <v>Error?</v>
      </c>
    </row>
    <row r="171" spans="1:4" x14ac:dyDescent="0.2">
      <c r="A171" s="5">
        <v>110</v>
      </c>
      <c r="B171" s="138">
        <f>'Assets-Liab 5-6'!F41</f>
        <v>958620</v>
      </c>
      <c r="C171" s="2" t="s">
        <v>572</v>
      </c>
      <c r="D171" s="2" t="str">
        <f t="shared" si="1"/>
        <v>Error?</v>
      </c>
    </row>
    <row r="172" spans="1:4" x14ac:dyDescent="0.2">
      <c r="A172" s="10">
        <v>111</v>
      </c>
      <c r="D172" s="2" t="str">
        <f t="shared" si="1"/>
        <v>OK</v>
      </c>
    </row>
    <row r="173" spans="1:4" x14ac:dyDescent="0.2">
      <c r="A173" s="5">
        <v>112</v>
      </c>
      <c r="B173" s="138">
        <f>'Assets-Liab 5-6'!G6</f>
        <v>306697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465363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20702</v>
      </c>
      <c r="D184" s="2" t="str">
        <f t="shared" si="1"/>
        <v>Error?</v>
      </c>
    </row>
    <row r="185" spans="1:4" x14ac:dyDescent="0.2">
      <c r="A185" s="5">
        <v>124</v>
      </c>
      <c r="B185" s="138">
        <f>'Assets-Liab 5-6'!G32</f>
        <v>323376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344078</v>
      </c>
      <c r="C188" s="2" t="s">
        <v>572</v>
      </c>
      <c r="D188" s="2" t="str">
        <f t="shared" si="1"/>
        <v>Error?</v>
      </c>
    </row>
    <row r="189" spans="1:4" x14ac:dyDescent="0.2">
      <c r="A189" s="5">
        <v>128</v>
      </c>
      <c r="B189" s="138">
        <f>'Assets-Liab 5-6'!G39</f>
        <v>121285</v>
      </c>
      <c r="D189" s="2" t="str">
        <f t="shared" si="1"/>
        <v>Error?</v>
      </c>
    </row>
    <row r="190" spans="1:4" x14ac:dyDescent="0.2">
      <c r="A190" s="5">
        <v>129</v>
      </c>
      <c r="B190" s="138">
        <f>'Assets-Liab 5-6'!G41</f>
        <v>465363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408</v>
      </c>
      <c r="D212" s="2" t="str">
        <f t="shared" si="2"/>
        <v>Error?</v>
      </c>
    </row>
    <row r="213" spans="1:4" x14ac:dyDescent="0.2">
      <c r="A213" s="12">
        <v>152</v>
      </c>
      <c r="B213" s="138">
        <f>'Assets-Liab 5-6'!H41</f>
        <v>408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2677288</v>
      </c>
      <c r="D273" s="2" t="str">
        <f t="shared" si="3"/>
        <v>Error?</v>
      </c>
    </row>
    <row r="274" spans="1:4" x14ac:dyDescent="0.2">
      <c r="A274" s="5">
        <v>213</v>
      </c>
      <c r="B274" s="138">
        <f>'Assets-Liab 5-6'!M17</f>
        <v>62115688</v>
      </c>
      <c r="D274" s="2" t="str">
        <f t="shared" si="3"/>
        <v>Error?</v>
      </c>
    </row>
    <row r="275" spans="1:4" x14ac:dyDescent="0.2">
      <c r="A275" s="5">
        <v>214</v>
      </c>
      <c r="B275" s="138">
        <f>'Assets-Liab 5-6'!M18</f>
        <v>1189575</v>
      </c>
      <c r="D275" s="2" t="str">
        <f t="shared" si="3"/>
        <v>Error?</v>
      </c>
    </row>
    <row r="276" spans="1:4" x14ac:dyDescent="0.2">
      <c r="A276" s="5">
        <v>215</v>
      </c>
      <c r="B276" s="138">
        <f>'Assets-Liab 5-6'!M19</f>
        <v>7618030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73664509</v>
      </c>
      <c r="C279" s="2" t="s">
        <v>572</v>
      </c>
      <c r="D279" s="2" t="str">
        <f t="shared" si="3"/>
        <v>Error?</v>
      </c>
    </row>
    <row r="280" spans="1:4" x14ac:dyDescent="0.2">
      <c r="A280" s="5">
        <v>219</v>
      </c>
      <c r="B280" s="138">
        <f>'Assets-Liab 5-6'!M40</f>
        <v>73664509</v>
      </c>
      <c r="D280" s="2" t="str">
        <f t="shared" si="3"/>
        <v>Error?</v>
      </c>
    </row>
    <row r="281" spans="1:4" x14ac:dyDescent="0.2">
      <c r="A281" s="5">
        <v>220</v>
      </c>
      <c r="B281" s="138">
        <f>'Assets-Liab 5-6'!M41</f>
        <v>73664509</v>
      </c>
      <c r="C281" s="2" t="s">
        <v>572</v>
      </c>
      <c r="D281" s="2" t="str">
        <f t="shared" si="3"/>
        <v>Error?</v>
      </c>
    </row>
    <row r="282" spans="1:4" x14ac:dyDescent="0.2">
      <c r="A282" s="5">
        <v>221</v>
      </c>
      <c r="B282" s="138">
        <f>'Assets-Liab 5-6'!N21</f>
        <v>1470278</v>
      </c>
      <c r="D282" s="2" t="str">
        <f t="shared" si="3"/>
        <v>Error?</v>
      </c>
    </row>
    <row r="283" spans="1:4" x14ac:dyDescent="0.2">
      <c r="A283" s="5">
        <v>222</v>
      </c>
      <c r="B283" s="138">
        <f>'Assets-Liab 5-6'!N22</f>
        <v>39695456</v>
      </c>
      <c r="D283" s="2" t="str">
        <f t="shared" si="3"/>
        <v>Error?</v>
      </c>
    </row>
    <row r="284" spans="1:4" x14ac:dyDescent="0.2">
      <c r="A284" s="5">
        <v>223</v>
      </c>
      <c r="B284" s="138">
        <f>'Assets-Liab 5-6'!N23</f>
        <v>41165734</v>
      </c>
      <c r="C284" s="2" t="s">
        <v>572</v>
      </c>
      <c r="D284" s="2" t="str">
        <f t="shared" si="3"/>
        <v>Error?</v>
      </c>
    </row>
    <row r="285" spans="1:4" x14ac:dyDescent="0.2">
      <c r="A285" s="5">
        <v>224</v>
      </c>
      <c r="B285" s="138">
        <f>'Assets-Liab 5-6'!N36</f>
        <v>41165734</v>
      </c>
      <c r="D285" s="2" t="str">
        <f t="shared" si="3"/>
        <v>Error?</v>
      </c>
    </row>
    <row r="286" spans="1:4" x14ac:dyDescent="0.2">
      <c r="A286" s="10">
        <v>225</v>
      </c>
      <c r="D286" s="2" t="str">
        <f t="shared" si="3"/>
        <v>OK</v>
      </c>
    </row>
    <row r="287" spans="1:4" x14ac:dyDescent="0.2">
      <c r="A287" s="5">
        <v>226</v>
      </c>
      <c r="B287" s="138">
        <f>'Assets-Liab 5-6'!N37</f>
        <v>41165734</v>
      </c>
      <c r="C287" s="2" t="s">
        <v>572</v>
      </c>
      <c r="D287" s="2" t="str">
        <f t="shared" si="3"/>
        <v>Error?</v>
      </c>
    </row>
    <row r="288" spans="1:4" x14ac:dyDescent="0.2">
      <c r="A288" s="5">
        <v>227</v>
      </c>
      <c r="B288" s="138">
        <f>'Assets-Liab 5-6'!N41</f>
        <v>41165734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5866527</v>
      </c>
      <c r="D705" s="2" t="str">
        <f t="shared" si="10"/>
        <v>Error?</v>
      </c>
    </row>
    <row r="706" spans="1:4" x14ac:dyDescent="0.2">
      <c r="A706" s="5">
        <v>645</v>
      </c>
      <c r="B706" s="138">
        <f>'Expenditures 15-22'!C16</f>
        <v>51335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94909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315638</v>
      </c>
      <c r="D717" s="2" t="str">
        <f t="shared" si="10"/>
        <v>Error?</v>
      </c>
    </row>
    <row r="718" spans="1:4" x14ac:dyDescent="0.2">
      <c r="A718" s="5">
        <v>657</v>
      </c>
      <c r="B718" s="138">
        <f>'Expenditures 15-22'!C14</f>
        <v>466209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9420013</v>
      </c>
      <c r="C720" s="2" t="s">
        <v>572</v>
      </c>
      <c r="D720" s="2" t="str">
        <f t="shared" si="10"/>
        <v>Error?</v>
      </c>
    </row>
    <row r="721" spans="1:4" x14ac:dyDescent="0.2">
      <c r="A721" s="5">
        <v>660</v>
      </c>
      <c r="B721" s="138">
        <f>'Expenditures 15-22'!C36</f>
        <v>359223</v>
      </c>
      <c r="D721" s="2" t="str">
        <f t="shared" si="10"/>
        <v>Error?</v>
      </c>
    </row>
    <row r="722" spans="1:4" x14ac:dyDescent="0.2">
      <c r="A722" s="5">
        <v>661</v>
      </c>
      <c r="B722" s="138">
        <f>'Expenditures 15-22'!C37</f>
        <v>185999</v>
      </c>
      <c r="D722" s="2" t="str">
        <f t="shared" si="10"/>
        <v>Error?</v>
      </c>
    </row>
    <row r="723" spans="1:4" x14ac:dyDescent="0.2">
      <c r="A723" s="5">
        <v>662</v>
      </c>
      <c r="B723" s="138">
        <f>'Expenditures 15-22'!C38</f>
        <v>108191</v>
      </c>
      <c r="D723" s="2" t="str">
        <f t="shared" si="10"/>
        <v>Error?</v>
      </c>
    </row>
    <row r="724" spans="1:4" x14ac:dyDescent="0.2">
      <c r="A724" s="5">
        <v>663</v>
      </c>
      <c r="B724" s="138">
        <f>'Expenditures 15-22'!C39</f>
        <v>132973</v>
      </c>
      <c r="D724" s="2" t="str">
        <f t="shared" si="10"/>
        <v>Error?</v>
      </c>
    </row>
    <row r="725" spans="1:4" x14ac:dyDescent="0.2">
      <c r="A725" s="5">
        <v>664</v>
      </c>
      <c r="B725" s="138">
        <f>'Expenditures 15-22'!C40</f>
        <v>336361</v>
      </c>
      <c r="D725" s="2" t="str">
        <f t="shared" si="10"/>
        <v>Error?</v>
      </c>
    </row>
    <row r="726" spans="1:4" x14ac:dyDescent="0.2">
      <c r="A726" s="5">
        <v>665</v>
      </c>
      <c r="B726" s="138">
        <f>'Expenditures 15-22'!C41</f>
        <v>408228</v>
      </c>
      <c r="D726" s="2" t="str">
        <f t="shared" si="10"/>
        <v>Error?</v>
      </c>
    </row>
    <row r="727" spans="1:4" x14ac:dyDescent="0.2">
      <c r="A727" s="5">
        <v>666</v>
      </c>
      <c r="B727" s="138">
        <f>'Expenditures 15-22'!C42</f>
        <v>1530975</v>
      </c>
      <c r="C727" s="2" t="s">
        <v>572</v>
      </c>
      <c r="D727" s="2" t="str">
        <f t="shared" si="10"/>
        <v>Error?</v>
      </c>
    </row>
    <row r="728" spans="1:4" x14ac:dyDescent="0.2">
      <c r="A728" s="5">
        <v>667</v>
      </c>
      <c r="B728" s="138">
        <f>'Expenditures 15-22'!C44</f>
        <v>177161</v>
      </c>
      <c r="D728" s="2" t="str">
        <f t="shared" si="10"/>
        <v>Error?</v>
      </c>
    </row>
    <row r="729" spans="1:4" x14ac:dyDescent="0.2">
      <c r="A729" s="5">
        <v>668</v>
      </c>
      <c r="B729" s="138">
        <f>'Expenditures 15-22'!C45</f>
        <v>196127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373288</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242407</v>
      </c>
      <c r="D733" s="2" t="str">
        <f t="shared" si="10"/>
        <v>Error?</v>
      </c>
    </row>
    <row r="734" spans="1:4" x14ac:dyDescent="0.2">
      <c r="A734" s="5">
        <v>673</v>
      </c>
      <c r="B734" s="138">
        <f>'Expenditures 15-22'!C53</f>
        <v>242407</v>
      </c>
      <c r="C734" s="2" t="s">
        <v>572</v>
      </c>
      <c r="D734" s="2" t="str">
        <f t="shared" si="10"/>
        <v>Error?</v>
      </c>
    </row>
    <row r="735" spans="1:4" x14ac:dyDescent="0.2">
      <c r="A735" s="5">
        <v>674</v>
      </c>
      <c r="B735" s="138">
        <f>'Expenditures 15-22'!C55</f>
        <v>898373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898373</v>
      </c>
      <c r="C737" s="2" t="s">
        <v>572</v>
      </c>
      <c r="D737" s="2" t="str">
        <f t="shared" si="10"/>
        <v>Error?</v>
      </c>
    </row>
    <row r="738" spans="1:4" x14ac:dyDescent="0.2">
      <c r="A738" s="5">
        <v>677</v>
      </c>
      <c r="B738" s="138">
        <f>'Expenditures 15-22'!C59</f>
        <v>104193</v>
      </c>
      <c r="D738" s="2" t="str">
        <f t="shared" si="10"/>
        <v>Error?</v>
      </c>
    </row>
    <row r="739" spans="1:4" x14ac:dyDescent="0.2">
      <c r="A739" s="5">
        <v>678</v>
      </c>
      <c r="B739" s="138">
        <f>'Expenditures 15-22'!C60</f>
        <v>121013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250292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475498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171302</v>
      </c>
      <c r="D748" s="2" t="str">
        <f t="shared" si="10"/>
        <v>Error?</v>
      </c>
    </row>
    <row r="749" spans="1:4" x14ac:dyDescent="0.2">
      <c r="A749" s="5">
        <v>688</v>
      </c>
      <c r="B749" s="138">
        <f>'Expenditures 15-22'!C70</f>
        <v>61368</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232670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3753211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13173224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1754300</v>
      </c>
      <c r="D763" s="2" t="str">
        <f t="shared" si="10"/>
        <v>Error?</v>
      </c>
    </row>
    <row r="764" spans="1:4" x14ac:dyDescent="0.2">
      <c r="A764" s="5">
        <v>703</v>
      </c>
      <c r="B764" s="138">
        <f>'Expenditures 15-22'!D16</f>
        <v>16953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32967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81925</v>
      </c>
      <c r="D775" s="2" t="str">
        <f t="shared" si="11"/>
        <v>Error?</v>
      </c>
    </row>
    <row r="776" spans="1:4" x14ac:dyDescent="0.2">
      <c r="A776" s="5">
        <v>715</v>
      </c>
      <c r="B776" s="138">
        <f>'Expenditures 15-22'!D14</f>
        <v>42848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2520945</v>
      </c>
      <c r="C778" s="2" t="s">
        <v>572</v>
      </c>
      <c r="D778" s="2" t="str">
        <f t="shared" si="11"/>
        <v>Error?</v>
      </c>
    </row>
    <row r="779" spans="1:4" x14ac:dyDescent="0.2">
      <c r="A779" s="5">
        <v>718</v>
      </c>
      <c r="B779" s="138">
        <f>'Expenditures 15-22'!D36</f>
        <v>107814</v>
      </c>
      <c r="D779" s="2" t="str">
        <f t="shared" si="11"/>
        <v>Error?</v>
      </c>
    </row>
    <row r="780" spans="1:4" x14ac:dyDescent="0.2">
      <c r="A780" s="5">
        <v>719</v>
      </c>
      <c r="B780" s="138">
        <f>'Expenditures 15-22'!D37</f>
        <v>51297</v>
      </c>
      <c r="D780" s="2" t="str">
        <f t="shared" si="11"/>
        <v>Error?</v>
      </c>
    </row>
    <row r="781" spans="1:4" x14ac:dyDescent="0.2">
      <c r="A781" s="5">
        <v>720</v>
      </c>
      <c r="B781" s="138">
        <f>'Expenditures 15-22'!D38</f>
        <v>38942</v>
      </c>
      <c r="D781" s="2" t="str">
        <f t="shared" si="11"/>
        <v>Error?</v>
      </c>
    </row>
    <row r="782" spans="1:4" x14ac:dyDescent="0.2">
      <c r="A782" s="5">
        <v>721</v>
      </c>
      <c r="B782" s="138">
        <f>'Expenditures 15-22'!D39</f>
        <v>37844</v>
      </c>
      <c r="D782" s="2" t="str">
        <f t="shared" si="11"/>
        <v>Error?</v>
      </c>
    </row>
    <row r="783" spans="1:4" x14ac:dyDescent="0.2">
      <c r="A783" s="5">
        <v>722</v>
      </c>
      <c r="B783" s="138">
        <f>'Expenditures 15-22'!D40</f>
        <v>94920</v>
      </c>
      <c r="D783" s="2" t="str">
        <f t="shared" si="11"/>
        <v>Error?</v>
      </c>
    </row>
    <row r="784" spans="1:4" x14ac:dyDescent="0.2">
      <c r="A784" s="5">
        <v>723</v>
      </c>
      <c r="B784" s="138">
        <f>'Expenditures 15-22'!D41</f>
        <v>53514</v>
      </c>
      <c r="D784" s="2" t="str">
        <f t="shared" si="11"/>
        <v>Error?</v>
      </c>
    </row>
    <row r="785" spans="1:4" x14ac:dyDescent="0.2">
      <c r="A785" s="5">
        <v>724</v>
      </c>
      <c r="B785" s="138">
        <f>'Expenditures 15-22'!D42</f>
        <v>384331</v>
      </c>
      <c r="C785" s="2" t="s">
        <v>572</v>
      </c>
      <c r="D785" s="2" t="str">
        <f t="shared" si="11"/>
        <v>Error?</v>
      </c>
    </row>
    <row r="786" spans="1:4" x14ac:dyDescent="0.2">
      <c r="A786" s="5">
        <v>725</v>
      </c>
      <c r="B786" s="138">
        <f>'Expenditures 15-22'!D44</f>
        <v>75425</v>
      </c>
      <c r="D786" s="2" t="str">
        <f t="shared" si="11"/>
        <v>Error?</v>
      </c>
    </row>
    <row r="787" spans="1:4" x14ac:dyDescent="0.2">
      <c r="A787" s="5">
        <v>726</v>
      </c>
      <c r="B787" s="138">
        <f>'Expenditures 15-22'!D45</f>
        <v>47925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123350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44986</v>
      </c>
      <c r="D791" s="2" t="str">
        <f t="shared" si="11"/>
        <v>Error?</v>
      </c>
    </row>
    <row r="792" spans="1:4" x14ac:dyDescent="0.2">
      <c r="A792" s="5">
        <v>731</v>
      </c>
      <c r="B792" s="138">
        <f>'Expenditures 15-22'!D53</f>
        <v>44986</v>
      </c>
      <c r="C792" s="2" t="s">
        <v>572</v>
      </c>
      <c r="D792" s="2" t="str">
        <f t="shared" si="11"/>
        <v>Error?</v>
      </c>
    </row>
    <row r="793" spans="1:4" x14ac:dyDescent="0.2">
      <c r="A793" s="5">
        <v>732</v>
      </c>
      <c r="B793" s="138">
        <f>'Expenditures 15-22'!D55</f>
        <v>198619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198619</v>
      </c>
      <c r="C795" s="2" t="s">
        <v>572</v>
      </c>
      <c r="D795" s="2" t="str">
        <f t="shared" si="11"/>
        <v>Error?</v>
      </c>
    </row>
    <row r="796" spans="1:4" x14ac:dyDescent="0.2">
      <c r="A796" s="5">
        <v>735</v>
      </c>
      <c r="B796" s="138">
        <f>'Expenditures 15-22'!D59</f>
        <v>24071</v>
      </c>
      <c r="D796" s="2" t="str">
        <f t="shared" si="11"/>
        <v>Error?</v>
      </c>
    </row>
    <row r="797" spans="1:4" x14ac:dyDescent="0.2">
      <c r="A797" s="5">
        <v>736</v>
      </c>
      <c r="B797" s="138">
        <f>'Expenditures 15-22'!D60</f>
        <v>24212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29455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77738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20813</v>
      </c>
      <c r="D806" s="2" t="str">
        <f t="shared" si="11"/>
        <v>Error?</v>
      </c>
    </row>
    <row r="807" spans="1:4" x14ac:dyDescent="0.2">
      <c r="A807" s="5">
        <v>746</v>
      </c>
      <c r="B807" s="138">
        <f>'Expenditures 15-22'!D70</f>
        <v>8667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29480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858504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3379449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13682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3334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31504</v>
      </c>
      <c r="D833" s="2" t="str">
        <f t="shared" si="12"/>
        <v>Error?</v>
      </c>
    </row>
    <row r="834" spans="1:4" x14ac:dyDescent="0.2">
      <c r="A834" s="5">
        <v>773</v>
      </c>
      <c r="B834" s="138">
        <f>'Expenditures 15-22'!E14</f>
        <v>101862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164789</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113</v>
      </c>
      <c r="D838" s="2" t="str">
        <f t="shared" si="12"/>
        <v>Error?</v>
      </c>
    </row>
    <row r="839" spans="1:4" x14ac:dyDescent="0.2">
      <c r="A839" s="5">
        <v>778</v>
      </c>
      <c r="B839" s="138">
        <f>'Expenditures 15-22'!E38</f>
        <v>8383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2490</v>
      </c>
      <c r="D841" s="2" t="str">
        <f t="shared" si="12"/>
        <v>Error?</v>
      </c>
    </row>
    <row r="842" spans="1:4" x14ac:dyDescent="0.2">
      <c r="A842" s="5">
        <v>781</v>
      </c>
      <c r="B842" s="138">
        <f>'Expenditures 15-22'!E41</f>
        <v>5081</v>
      </c>
      <c r="D842" s="2" t="str">
        <f t="shared" si="12"/>
        <v>Error?</v>
      </c>
    </row>
    <row r="843" spans="1:4" x14ac:dyDescent="0.2">
      <c r="A843" s="5">
        <v>782</v>
      </c>
      <c r="B843" s="138">
        <f>'Expenditures 15-22'!E42</f>
        <v>16067</v>
      </c>
      <c r="C843" s="2" t="s">
        <v>572</v>
      </c>
      <c r="D843" s="2" t="str">
        <f t="shared" si="12"/>
        <v>Error?</v>
      </c>
    </row>
    <row r="844" spans="1:4" x14ac:dyDescent="0.2">
      <c r="A844" s="5">
        <v>783</v>
      </c>
      <c r="B844" s="138">
        <f>'Expenditures 15-22'!E44</f>
        <v>45221</v>
      </c>
      <c r="D844" s="2" t="str">
        <f t="shared" si="12"/>
        <v>Error?</v>
      </c>
    </row>
    <row r="845" spans="1:4" x14ac:dyDescent="0.2">
      <c r="A845" s="5">
        <v>784</v>
      </c>
      <c r="B845" s="138">
        <f>'Expenditures 15-22'!E45</f>
        <v>200</v>
      </c>
      <c r="D845" s="2" t="str">
        <f t="shared" si="12"/>
        <v>Error?</v>
      </c>
    </row>
    <row r="846" spans="1:4" x14ac:dyDescent="0.2">
      <c r="A846" s="5">
        <v>785</v>
      </c>
      <c r="B846" s="138">
        <f>'Expenditures 15-22'!E46</f>
        <v>50698</v>
      </c>
      <c r="D846" s="2" t="str">
        <f t="shared" si="12"/>
        <v>Error?</v>
      </c>
    </row>
    <row r="847" spans="1:4" x14ac:dyDescent="0.2">
      <c r="A847" s="5">
        <v>786</v>
      </c>
      <c r="B847" s="138">
        <f>'Expenditures 15-22'!E47</f>
        <v>96119</v>
      </c>
      <c r="C847" s="2" t="s">
        <v>572</v>
      </c>
      <c r="D847" s="2" t="str">
        <f t="shared" si="12"/>
        <v>Error?</v>
      </c>
    </row>
    <row r="848" spans="1:4" x14ac:dyDescent="0.2">
      <c r="A848" s="5">
        <v>787</v>
      </c>
      <c r="B848" s="138">
        <f>'Expenditures 15-22'!E49</f>
        <v>336021</v>
      </c>
      <c r="D848" s="2" t="str">
        <f t="shared" si="12"/>
        <v>Error?</v>
      </c>
    </row>
    <row r="849" spans="1:4" x14ac:dyDescent="0.2">
      <c r="A849" s="5">
        <v>788</v>
      </c>
      <c r="B849" s="138">
        <f>'Expenditures 15-22'!E50</f>
        <v>4216</v>
      </c>
      <c r="D849" s="2" t="str">
        <f t="shared" si="12"/>
        <v>Error?</v>
      </c>
    </row>
    <row r="850" spans="1:4" x14ac:dyDescent="0.2">
      <c r="A850" s="5">
        <v>789</v>
      </c>
      <c r="B850" s="138">
        <f>'Expenditures 15-22'!E53</f>
        <v>340237</v>
      </c>
      <c r="C850" s="2" t="s">
        <v>572</v>
      </c>
      <c r="D850" s="2" t="str">
        <f t="shared" si="12"/>
        <v>Error?</v>
      </c>
    </row>
    <row r="851" spans="1:4" x14ac:dyDescent="0.2">
      <c r="A851" s="5">
        <v>790</v>
      </c>
      <c r="B851" s="138">
        <f>'Expenditures 15-22'!E55</f>
        <v>13958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13958</v>
      </c>
      <c r="C853" s="2" t="s">
        <v>572</v>
      </c>
      <c r="D853" s="2" t="str">
        <f t="shared" si="12"/>
        <v>Error?</v>
      </c>
    </row>
    <row r="854" spans="1:4" x14ac:dyDescent="0.2">
      <c r="A854" s="5">
        <v>793</v>
      </c>
      <c r="B854" s="138">
        <f>'Expenditures 15-22'!E59</f>
        <v>1325</v>
      </c>
      <c r="D854" s="2" t="str">
        <f t="shared" si="12"/>
        <v>Error?</v>
      </c>
    </row>
    <row r="855" spans="1:4" x14ac:dyDescent="0.2">
      <c r="A855" s="5">
        <v>794</v>
      </c>
      <c r="B855" s="138">
        <f>'Expenditures 15-22'!E60</f>
        <v>25519</v>
      </c>
      <c r="D855" s="2" t="str">
        <f t="shared" si="12"/>
        <v>Error?</v>
      </c>
    </row>
    <row r="856" spans="1:4" x14ac:dyDescent="0.2">
      <c r="A856" s="5">
        <v>795</v>
      </c>
      <c r="B856" s="138">
        <f>'Expenditures 15-22'!E61</f>
        <v>1561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6701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35106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431661</v>
      </c>
      <c r="D864" s="2" t="str">
        <f t="shared" si="12"/>
        <v>Error?</v>
      </c>
    </row>
    <row r="865" spans="1:4" x14ac:dyDescent="0.2">
      <c r="A865" s="5">
        <v>804</v>
      </c>
      <c r="B865" s="138">
        <f>'Expenditures 15-22'!E70</f>
        <v>2960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434621</v>
      </c>
      <c r="C869" s="2" t="s">
        <v>572</v>
      </c>
      <c r="D869" s="2" t="str">
        <f t="shared" si="12"/>
        <v>Error?</v>
      </c>
    </row>
    <row r="870" spans="1:4" x14ac:dyDescent="0.2">
      <c r="A870" s="5">
        <v>809</v>
      </c>
      <c r="B870" s="138">
        <f>'Expenditures 15-22'!E73</f>
        <v>450</v>
      </c>
      <c r="D870" s="2" t="str">
        <f t="shared" si="12"/>
        <v>Error?</v>
      </c>
    </row>
    <row r="871" spans="1:4" x14ac:dyDescent="0.2">
      <c r="A871" s="5">
        <v>810</v>
      </c>
      <c r="B871" s="138">
        <f>'Expenditures 15-22'!E74</f>
        <v>936558</v>
      </c>
      <c r="C871" s="2" t="s">
        <v>572</v>
      </c>
      <c r="D871" s="2" t="str">
        <f t="shared" si="12"/>
        <v>Error?</v>
      </c>
    </row>
    <row r="872" spans="1:4" x14ac:dyDescent="0.2">
      <c r="A872" s="5">
        <v>811</v>
      </c>
      <c r="B872" s="138">
        <f>'Expenditures 15-22'!E75</f>
        <v>2332</v>
      </c>
      <c r="D872" s="2" t="str">
        <f t="shared" si="12"/>
        <v>Error?</v>
      </c>
    </row>
    <row r="873" spans="1:4" x14ac:dyDescent="0.2">
      <c r="A873" s="5">
        <v>812</v>
      </c>
      <c r="B873" s="138">
        <f>'Expenditures 15-22'!E114</f>
        <v>1128189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201039</v>
      </c>
      <c r="D879" s="2" t="str">
        <f t="shared" si="12"/>
        <v>Error?</v>
      </c>
    </row>
    <row r="880" spans="1:4" x14ac:dyDescent="0.2">
      <c r="A880" s="5">
        <v>819</v>
      </c>
      <c r="B880" s="138">
        <f>'Expenditures 15-22'!F16</f>
        <v>7287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52026</v>
      </c>
      <c r="D891" s="2" t="str">
        <f t="shared" si="12"/>
        <v>Error?</v>
      </c>
    </row>
    <row r="892" spans="1:4" x14ac:dyDescent="0.2">
      <c r="A892" s="5">
        <v>831</v>
      </c>
      <c r="B892" s="138">
        <f>'Expenditures 15-22'!F14</f>
        <v>25600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296119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878</v>
      </c>
      <c r="D896" s="2" t="str">
        <f t="shared" si="13"/>
        <v>Error?</v>
      </c>
    </row>
    <row r="897" spans="1:4" x14ac:dyDescent="0.2">
      <c r="A897" s="5">
        <v>836</v>
      </c>
      <c r="B897" s="138">
        <f>'Expenditures 15-22'!F38</f>
        <v>3433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2822</v>
      </c>
      <c r="D899" s="2" t="str">
        <f t="shared" si="13"/>
        <v>Error?</v>
      </c>
    </row>
    <row r="900" spans="1:4" x14ac:dyDescent="0.2">
      <c r="A900" s="5">
        <v>839</v>
      </c>
      <c r="B900" s="138">
        <f>'Expenditures 15-22'!F41</f>
        <v>4780</v>
      </c>
      <c r="D900" s="2" t="str">
        <f t="shared" si="13"/>
        <v>Error?</v>
      </c>
    </row>
    <row r="901" spans="1:4" x14ac:dyDescent="0.2">
      <c r="A901" s="5">
        <v>840</v>
      </c>
      <c r="B901" s="138">
        <f>'Expenditures 15-22'!F42</f>
        <v>11913</v>
      </c>
      <c r="C901" s="2" t="s">
        <v>572</v>
      </c>
      <c r="D901" s="2" t="str">
        <f t="shared" si="13"/>
        <v>Error?</v>
      </c>
    </row>
    <row r="902" spans="1:4" x14ac:dyDescent="0.2">
      <c r="A902" s="5">
        <v>841</v>
      </c>
      <c r="B902" s="138">
        <f>'Expenditures 15-22'!F44</f>
        <v>2422</v>
      </c>
      <c r="D902" s="2" t="str">
        <f t="shared" si="13"/>
        <v>Error?</v>
      </c>
    </row>
    <row r="903" spans="1:4" x14ac:dyDescent="0.2">
      <c r="A903" s="5">
        <v>842</v>
      </c>
      <c r="B903" s="138">
        <f>'Expenditures 15-22'!F45</f>
        <v>9716</v>
      </c>
      <c r="D903" s="2" t="str">
        <f t="shared" si="13"/>
        <v>Error?</v>
      </c>
    </row>
    <row r="904" spans="1:4" x14ac:dyDescent="0.2">
      <c r="A904" s="5">
        <v>843</v>
      </c>
      <c r="B904" s="138">
        <f>'Expenditures 15-22'!F46</f>
        <v>11637</v>
      </c>
      <c r="D904" s="2" t="str">
        <f t="shared" si="13"/>
        <v>Error?</v>
      </c>
    </row>
    <row r="905" spans="1:4" x14ac:dyDescent="0.2">
      <c r="A905" s="5">
        <v>844</v>
      </c>
      <c r="B905" s="138">
        <f>'Expenditures 15-22'!F47</f>
        <v>23775</v>
      </c>
      <c r="C905" s="2" t="s">
        <v>572</v>
      </c>
      <c r="D905" s="2" t="str">
        <f t="shared" si="13"/>
        <v>Error?</v>
      </c>
    </row>
    <row r="906" spans="1:4" x14ac:dyDescent="0.2">
      <c r="A906" s="5">
        <v>845</v>
      </c>
      <c r="B906" s="138">
        <f>'Expenditures 15-22'!F49</f>
        <v>33445</v>
      </c>
      <c r="D906" s="2" t="str">
        <f t="shared" si="13"/>
        <v>Error?</v>
      </c>
    </row>
    <row r="907" spans="1:4" x14ac:dyDescent="0.2">
      <c r="A907" s="5">
        <v>846</v>
      </c>
      <c r="B907" s="138">
        <f>'Expenditures 15-22'!F50</f>
        <v>370</v>
      </c>
      <c r="D907" s="2" t="str">
        <f t="shared" si="13"/>
        <v>Error?</v>
      </c>
    </row>
    <row r="908" spans="1:4" x14ac:dyDescent="0.2">
      <c r="A908" s="5">
        <v>847</v>
      </c>
      <c r="B908" s="138">
        <f>'Expenditures 15-22'!F53</f>
        <v>33815</v>
      </c>
      <c r="C908" s="2" t="s">
        <v>572</v>
      </c>
      <c r="D908" s="2" t="str">
        <f t="shared" si="13"/>
        <v>Error?</v>
      </c>
    </row>
    <row r="909" spans="1:4" x14ac:dyDescent="0.2">
      <c r="A909" s="5">
        <v>848</v>
      </c>
      <c r="B909" s="138">
        <f>'Expenditures 15-22'!F55</f>
        <v>25766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25766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3677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274002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277679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25898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25898</v>
      </c>
      <c r="C927" s="2" t="s">
        <v>572</v>
      </c>
      <c r="D927" s="2" t="str">
        <f t="shared" si="13"/>
        <v>Error?</v>
      </c>
    </row>
    <row r="928" spans="1:4" x14ac:dyDescent="0.2">
      <c r="A928" s="5">
        <v>867</v>
      </c>
      <c r="B928" s="138">
        <f>'Expenditures 15-22'!F73</f>
        <v>2433</v>
      </c>
      <c r="D928" s="2" t="str">
        <f t="shared" si="13"/>
        <v>Error?</v>
      </c>
    </row>
    <row r="929" spans="1:4" x14ac:dyDescent="0.2">
      <c r="A929" s="5">
        <v>868</v>
      </c>
      <c r="B929" s="138">
        <f>'Expenditures 15-22'!F74</f>
        <v>401279</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697398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16057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16057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23587</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23587</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23587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39644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1100</v>
      </c>
      <c r="D1007" s="2" t="str">
        <f t="shared" si="14"/>
        <v>Error?</v>
      </c>
    </row>
    <row r="1008" spans="1:4" x14ac:dyDescent="0.2">
      <c r="A1008" s="5">
        <v>947</v>
      </c>
      <c r="B1008" s="138">
        <f>'Expenditures 15-22'!H14</f>
        <v>37271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434848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20301</v>
      </c>
      <c r="D1022" s="2" t="str">
        <f t="shared" si="14"/>
        <v>Error?</v>
      </c>
    </row>
    <row r="1023" spans="1:4" x14ac:dyDescent="0.2">
      <c r="A1023" s="5">
        <v>962</v>
      </c>
      <c r="B1023" s="138">
        <f>'Expenditures 15-22'!H50</f>
        <v>267</v>
      </c>
      <c r="D1023" s="2" t="str">
        <f t="shared" ref="D1023:D1086" si="15">IF(ISBLANK(B1023),"OK",IF(A1023-B1023=0,"OK","Error?"))</f>
        <v>Error?</v>
      </c>
    </row>
    <row r="1024" spans="1:4" x14ac:dyDescent="0.2">
      <c r="A1024" s="5">
        <v>963</v>
      </c>
      <c r="B1024" s="138">
        <f>'Expenditures 15-22'!H53</f>
        <v>20568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29771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4178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33949</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300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54817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575617</v>
      </c>
      <c r="C1047" s="2" t="s">
        <v>572</v>
      </c>
      <c r="D1047" s="2" t="str">
        <f t="shared" si="15"/>
        <v>Error?</v>
      </c>
    </row>
    <row r="1048" spans="1:4" x14ac:dyDescent="0.2">
      <c r="A1048" s="5">
        <v>987</v>
      </c>
      <c r="B1048" s="138">
        <f>'Expenditures 15-22'!H105</f>
        <v>33883</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33883</v>
      </c>
      <c r="C1053" s="2" t="s">
        <v>572</v>
      </c>
      <c r="D1053" s="2" t="str">
        <f t="shared" si="15"/>
        <v>Error?</v>
      </c>
    </row>
    <row r="1054" spans="1:4" x14ac:dyDescent="0.2">
      <c r="A1054" s="5">
        <v>993</v>
      </c>
      <c r="B1054" s="138">
        <f>'Expenditures 15-22'!H114</f>
        <v>1117265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7835548</v>
      </c>
      <c r="C1093" s="2" t="s">
        <v>572</v>
      </c>
      <c r="D1093" s="2" t="str">
        <f t="shared" si="16"/>
        <v>Error?</v>
      </c>
    </row>
    <row r="1094" spans="1:4" x14ac:dyDescent="0.2">
      <c r="A1094" s="5">
        <v>1033</v>
      </c>
      <c r="B1094" s="138">
        <f>'Expenditures 15-22'!K16</f>
        <v>75575</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131210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498250</v>
      </c>
      <c r="C1105" s="2" t="s">
        <v>572</v>
      </c>
      <c r="D1105" s="2" t="str">
        <f t="shared" si="16"/>
        <v>Error?</v>
      </c>
    </row>
    <row r="1106" spans="1:4" x14ac:dyDescent="0.2">
      <c r="A1106" s="5">
        <v>1045</v>
      </c>
      <c r="B1106" s="138">
        <f>'Expenditures 15-22'!K14</f>
        <v>673790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12852771</v>
      </c>
      <c r="C1108" s="2" t="s">
        <v>572</v>
      </c>
      <c r="D1108" s="2" t="str">
        <f t="shared" si="16"/>
        <v>Error?</v>
      </c>
    </row>
    <row r="1109" spans="1:4" x14ac:dyDescent="0.2">
      <c r="A1109" s="5">
        <v>1048</v>
      </c>
      <c r="B1109" s="138">
        <f>'Expenditures 15-22'!K36</f>
        <v>467037</v>
      </c>
      <c r="C1109" s="2" t="s">
        <v>572</v>
      </c>
      <c r="D1109" s="2" t="str">
        <f t="shared" si="16"/>
        <v>Error?</v>
      </c>
    </row>
    <row r="1110" spans="1:4" x14ac:dyDescent="0.2">
      <c r="A1110" s="5">
        <v>1049</v>
      </c>
      <c r="B1110" s="138">
        <f>'Expenditures 15-22'!K37</f>
        <v>238287</v>
      </c>
      <c r="C1110" s="2" t="s">
        <v>572</v>
      </c>
      <c r="D1110" s="2" t="str">
        <f t="shared" si="16"/>
        <v>Error?</v>
      </c>
    </row>
    <row r="1111" spans="1:4" x14ac:dyDescent="0.2">
      <c r="A1111" s="5">
        <v>1050</v>
      </c>
      <c r="B1111" s="138">
        <f>'Expenditures 15-22'!K38</f>
        <v>158949</v>
      </c>
      <c r="C1111" s="2" t="s">
        <v>572</v>
      </c>
      <c r="D1111" s="2" t="str">
        <f t="shared" si="16"/>
        <v>Error?</v>
      </c>
    </row>
    <row r="1112" spans="1:4" x14ac:dyDescent="0.2">
      <c r="A1112" s="5">
        <v>1051</v>
      </c>
      <c r="B1112" s="138">
        <f>'Expenditures 15-22'!K39</f>
        <v>170817</v>
      </c>
      <c r="C1112" s="2" t="s">
        <v>572</v>
      </c>
      <c r="D1112" s="2" t="str">
        <f t="shared" si="16"/>
        <v>Error?</v>
      </c>
    </row>
    <row r="1113" spans="1:4" x14ac:dyDescent="0.2">
      <c r="A1113" s="5">
        <v>1052</v>
      </c>
      <c r="B1113" s="138">
        <f>'Expenditures 15-22'!K40</f>
        <v>436593</v>
      </c>
      <c r="C1113" s="2" t="s">
        <v>572</v>
      </c>
      <c r="D1113" s="2" t="str">
        <f t="shared" si="16"/>
        <v>Error?</v>
      </c>
    </row>
    <row r="1114" spans="1:4" x14ac:dyDescent="0.2">
      <c r="A1114" s="5">
        <v>1053</v>
      </c>
      <c r="B1114" s="138">
        <f>'Expenditures 15-22'!K41</f>
        <v>471603</v>
      </c>
      <c r="C1114" s="2" t="s">
        <v>572</v>
      </c>
      <c r="D1114" s="2" t="str">
        <f t="shared" si="16"/>
        <v>Error?</v>
      </c>
    </row>
    <row r="1115" spans="1:4" x14ac:dyDescent="0.2">
      <c r="A1115" s="5">
        <v>1054</v>
      </c>
      <c r="B1115" s="138">
        <f>'Expenditures 15-22'!K42</f>
        <v>1943286</v>
      </c>
      <c r="C1115" s="2" t="s">
        <v>572</v>
      </c>
      <c r="D1115" s="2" t="str">
        <f t="shared" si="16"/>
        <v>Error?</v>
      </c>
    </row>
    <row r="1116" spans="1:4" x14ac:dyDescent="0.2">
      <c r="A1116" s="5">
        <v>1055</v>
      </c>
      <c r="B1116" s="138">
        <f>'Expenditures 15-22'!K44</f>
        <v>300229</v>
      </c>
      <c r="C1116" s="2" t="s">
        <v>572</v>
      </c>
      <c r="D1116" s="2" t="str">
        <f t="shared" si="16"/>
        <v>Error?</v>
      </c>
    </row>
    <row r="1117" spans="1:4" x14ac:dyDescent="0.2">
      <c r="A1117" s="5">
        <v>1056</v>
      </c>
      <c r="B1117" s="138">
        <f>'Expenditures 15-22'!K45</f>
        <v>253968</v>
      </c>
      <c r="C1117" s="2" t="s">
        <v>572</v>
      </c>
      <c r="D1117" s="2" t="str">
        <f t="shared" si="16"/>
        <v>Error?</v>
      </c>
    </row>
    <row r="1118" spans="1:4" x14ac:dyDescent="0.2">
      <c r="A1118" s="5">
        <v>1057</v>
      </c>
      <c r="B1118" s="138">
        <f>'Expenditures 15-22'!K46</f>
        <v>62335</v>
      </c>
      <c r="C1118" s="2" t="s">
        <v>572</v>
      </c>
      <c r="D1118" s="2" t="str">
        <f t="shared" si="16"/>
        <v>Error?</v>
      </c>
    </row>
    <row r="1119" spans="1:4" x14ac:dyDescent="0.2">
      <c r="A1119" s="5">
        <v>1058</v>
      </c>
      <c r="B1119" s="138">
        <f>'Expenditures 15-22'!K47</f>
        <v>616532</v>
      </c>
      <c r="C1119" s="2" t="s">
        <v>572</v>
      </c>
      <c r="D1119" s="2" t="str">
        <f t="shared" si="16"/>
        <v>Error?</v>
      </c>
    </row>
    <row r="1120" spans="1:4" x14ac:dyDescent="0.2">
      <c r="A1120" s="5">
        <v>1059</v>
      </c>
      <c r="B1120" s="138">
        <f>'Expenditures 15-22'!K49</f>
        <v>389767</v>
      </c>
      <c r="C1120" s="2" t="s">
        <v>572</v>
      </c>
      <c r="D1120" s="2" t="str">
        <f t="shared" si="16"/>
        <v>Error?</v>
      </c>
    </row>
    <row r="1121" spans="1:4" x14ac:dyDescent="0.2">
      <c r="A1121" s="5">
        <v>1060</v>
      </c>
      <c r="B1121" s="138">
        <f>'Expenditures 15-22'!K50</f>
        <v>292246</v>
      </c>
      <c r="C1121" s="2" t="s">
        <v>572</v>
      </c>
      <c r="D1121" s="2" t="str">
        <f t="shared" si="16"/>
        <v>Error?</v>
      </c>
    </row>
    <row r="1122" spans="1:4" x14ac:dyDescent="0.2">
      <c r="A1122" s="5">
        <v>1061</v>
      </c>
      <c r="B1122" s="138">
        <f>'Expenditures 15-22'!K53</f>
        <v>682013</v>
      </c>
      <c r="C1122" s="2" t="s">
        <v>572</v>
      </c>
      <c r="D1122" s="2" t="str">
        <f t="shared" si="16"/>
        <v>Error?</v>
      </c>
    </row>
    <row r="1123" spans="1:4" x14ac:dyDescent="0.2">
      <c r="A1123" s="5">
        <v>1062</v>
      </c>
      <c r="B1123" s="138">
        <f>'Expenditures 15-22'!K55</f>
        <v>1136716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1136716</v>
      </c>
      <c r="C1125" s="2" t="s">
        <v>572</v>
      </c>
      <c r="D1125" s="2" t="str">
        <f t="shared" si="16"/>
        <v>Error?</v>
      </c>
    </row>
    <row r="1126" spans="1:4" x14ac:dyDescent="0.2">
      <c r="A1126" s="5">
        <v>1065</v>
      </c>
      <c r="B1126" s="138">
        <f>'Expenditures 15-22'!K59</f>
        <v>129589</v>
      </c>
      <c r="C1126" s="2" t="s">
        <v>572</v>
      </c>
      <c r="D1126" s="2" t="str">
        <f t="shared" si="16"/>
        <v>Error?</v>
      </c>
    </row>
    <row r="1127" spans="1:4" x14ac:dyDescent="0.2">
      <c r="A1127" s="5">
        <v>1066</v>
      </c>
      <c r="B1127" s="138">
        <f>'Expenditures 15-22'!K60</f>
        <v>204192</v>
      </c>
      <c r="C1127" s="2" t="s">
        <v>572</v>
      </c>
      <c r="D1127" s="2" t="str">
        <f t="shared" si="16"/>
        <v>Error?</v>
      </c>
    </row>
    <row r="1128" spans="1:4" x14ac:dyDescent="0.2">
      <c r="A1128" s="5">
        <v>1067</v>
      </c>
      <c r="B1128" s="138">
        <f>'Expenditures 15-22'!K61</f>
        <v>1561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567656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902998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912449</v>
      </c>
      <c r="C1136" s="2" t="s">
        <v>572</v>
      </c>
      <c r="D1136" s="2" t="str">
        <f t="shared" si="16"/>
        <v>Error?</v>
      </c>
    </row>
    <row r="1137" spans="1:4" x14ac:dyDescent="0.2">
      <c r="A1137" s="5">
        <v>1076</v>
      </c>
      <c r="B1137" s="138">
        <f>'Expenditures 15-22'!K70</f>
        <v>72995</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985444</v>
      </c>
      <c r="C1141" s="2" t="s">
        <v>572</v>
      </c>
      <c r="D1141" s="2" t="str">
        <f t="shared" si="16"/>
        <v>Error?</v>
      </c>
    </row>
    <row r="1142" spans="1:4" x14ac:dyDescent="0.2">
      <c r="A1142" s="5">
        <v>1081</v>
      </c>
      <c r="B1142" s="138">
        <f>'Expenditures 15-22'!K73</f>
        <v>2883</v>
      </c>
      <c r="C1142" s="2" t="s">
        <v>572</v>
      </c>
      <c r="D1142" s="2" t="str">
        <f t="shared" si="16"/>
        <v>Error?</v>
      </c>
    </row>
    <row r="1143" spans="1:4" x14ac:dyDescent="0.2">
      <c r="A1143" s="5">
        <v>1082</v>
      </c>
      <c r="B1143" s="138">
        <f>'Expenditures 15-22'!K74</f>
        <v>6269872</v>
      </c>
      <c r="C1143" s="2" t="s">
        <v>572</v>
      </c>
      <c r="D1143" s="2" t="str">
        <f t="shared" si="16"/>
        <v>Error?</v>
      </c>
    </row>
    <row r="1144" spans="1:4" x14ac:dyDescent="0.2">
      <c r="A1144" s="5">
        <v>1083</v>
      </c>
      <c r="B1144" s="138">
        <f>'Expenditures 15-22'!K75</f>
        <v>2332</v>
      </c>
      <c r="C1144" s="2" t="s">
        <v>572</v>
      </c>
      <c r="D1144" s="2" t="str">
        <f t="shared" si="16"/>
        <v>Error?</v>
      </c>
    </row>
    <row r="1145" spans="1:4" x14ac:dyDescent="0.2">
      <c r="A1145" s="5">
        <v>1084</v>
      </c>
      <c r="B1145" s="138">
        <f>'Expenditures 15-22'!K102</f>
        <v>600127</v>
      </c>
      <c r="C1145" s="2" t="s">
        <v>572</v>
      </c>
      <c r="D1145" s="2" t="str">
        <f t="shared" si="16"/>
        <v>Error?</v>
      </c>
    </row>
    <row r="1146" spans="1:4" x14ac:dyDescent="0.2">
      <c r="A1146" s="5">
        <v>1085</v>
      </c>
      <c r="B1146" s="138">
        <f>'Expenditures 15-22'!K105</f>
        <v>33883</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33883</v>
      </c>
      <c r="C1151" s="2" t="s">
        <v>572</v>
      </c>
      <c r="D1151" s="2" t="str">
        <f t="shared" ref="D1151:D1214" si="17">IF(ISBLANK(B1151),"OK",IF(A1151-B1151=0,"OK","Error?"))</f>
        <v>Error?</v>
      </c>
    </row>
    <row r="1152" spans="1:4" x14ac:dyDescent="0.2">
      <c r="A1152" s="5">
        <v>1091</v>
      </c>
      <c r="B1152" s="138">
        <f>'Expenditures 15-22'!K114</f>
        <v>19777085</v>
      </c>
      <c r="C1152" s="2" t="s">
        <v>572</v>
      </c>
      <c r="D1152" s="2" t="str">
        <f t="shared" si="17"/>
        <v>Error?</v>
      </c>
    </row>
    <row r="1153" spans="1:4" x14ac:dyDescent="0.2">
      <c r="A1153" s="5">
        <v>1092</v>
      </c>
      <c r="B1153" s="138">
        <f>'Expenditures 15-22'!K115</f>
        <v>1323821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658860</v>
      </c>
      <c r="D1221" s="2" t="str">
        <f t="shared" si="18"/>
        <v>Error?</v>
      </c>
    </row>
    <row r="1222" spans="1:4" x14ac:dyDescent="0.2">
      <c r="A1222" s="10">
        <v>1161</v>
      </c>
      <c r="D1222" s="2" t="str">
        <f t="shared" si="18"/>
        <v>OK</v>
      </c>
    </row>
    <row r="1223" spans="1:4" x14ac:dyDescent="0.2">
      <c r="A1223" s="5">
        <v>1162</v>
      </c>
      <c r="B1223" s="138">
        <f>'Expenditures 15-22'!C127</f>
        <v>658860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658860</v>
      </c>
      <c r="C1225" s="2" t="s">
        <v>572</v>
      </c>
      <c r="D1225" s="2" t="str">
        <f t="shared" si="18"/>
        <v>Error?</v>
      </c>
    </row>
    <row r="1226" spans="1:4" x14ac:dyDescent="0.2">
      <c r="A1226" s="5">
        <v>1165</v>
      </c>
      <c r="B1226" s="138">
        <f>'Expenditures 15-22'!C151</f>
        <v>658860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190807</v>
      </c>
      <c r="D1229" s="2" t="str">
        <f t="shared" si="18"/>
        <v>Error?</v>
      </c>
    </row>
    <row r="1230" spans="1:4" x14ac:dyDescent="0.2">
      <c r="A1230" s="10">
        <v>1169</v>
      </c>
      <c r="D1230" s="2" t="str">
        <f t="shared" si="18"/>
        <v>OK</v>
      </c>
    </row>
    <row r="1231" spans="1:4" x14ac:dyDescent="0.2">
      <c r="A1231" s="5">
        <v>1170</v>
      </c>
      <c r="B1231" s="138">
        <f>'Expenditures 15-22'!D127</f>
        <v>190807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190807</v>
      </c>
      <c r="C1233" s="2" t="s">
        <v>572</v>
      </c>
      <c r="D1233" s="2" t="str">
        <f t="shared" si="18"/>
        <v>Error?</v>
      </c>
    </row>
    <row r="1234" spans="1:4" x14ac:dyDescent="0.2">
      <c r="A1234" s="5">
        <v>1173</v>
      </c>
      <c r="B1234" s="138">
        <f>'Expenditures 15-22'!D151</f>
        <v>190807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306844</v>
      </c>
      <c r="D1237" s="2" t="str">
        <f t="shared" si="18"/>
        <v>Error?</v>
      </c>
    </row>
    <row r="1238" spans="1:4" x14ac:dyDescent="0.2">
      <c r="A1238" s="10">
        <v>1177</v>
      </c>
      <c r="D1238" s="2" t="str">
        <f t="shared" si="18"/>
        <v>OK</v>
      </c>
    </row>
    <row r="1239" spans="1:4" x14ac:dyDescent="0.2">
      <c r="A1239" s="5">
        <v>1178</v>
      </c>
      <c r="B1239" s="138">
        <f>'Expenditures 15-22'!E127</f>
        <v>306844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306844</v>
      </c>
      <c r="C1241" s="2" t="s">
        <v>572</v>
      </c>
      <c r="D1241" s="2" t="str">
        <f t="shared" si="18"/>
        <v>Error?</v>
      </c>
    </row>
    <row r="1242" spans="1:4" x14ac:dyDescent="0.2">
      <c r="A1242" s="5">
        <v>1181</v>
      </c>
      <c r="B1242" s="138">
        <f>'Expenditures 15-22'!E151</f>
        <v>306844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706255</v>
      </c>
      <c r="D1245" s="2" t="str">
        <f t="shared" si="18"/>
        <v>Error?</v>
      </c>
    </row>
    <row r="1246" spans="1:4" x14ac:dyDescent="0.2">
      <c r="A1246" s="10">
        <v>1185</v>
      </c>
      <c r="D1246" s="2" t="str">
        <f t="shared" si="18"/>
        <v>OK</v>
      </c>
    </row>
    <row r="1247" spans="1:4" x14ac:dyDescent="0.2">
      <c r="A1247" s="5">
        <v>1186</v>
      </c>
      <c r="B1247" s="138">
        <f>'Expenditures 15-22'!F127</f>
        <v>706255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706255</v>
      </c>
      <c r="C1249" s="2" t="s">
        <v>572</v>
      </c>
      <c r="D1249" s="2" t="str">
        <f t="shared" si="18"/>
        <v>Error?</v>
      </c>
    </row>
    <row r="1250" spans="1:4" x14ac:dyDescent="0.2">
      <c r="A1250" s="5">
        <v>1189</v>
      </c>
      <c r="B1250" s="138">
        <f>'Expenditures 15-22'!F151</f>
        <v>706255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92238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92238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92238</v>
      </c>
      <c r="C1258" s="2" t="s">
        <v>572</v>
      </c>
      <c r="D1258" s="2" t="str">
        <f t="shared" si="18"/>
        <v>Error?</v>
      </c>
    </row>
    <row r="1259" spans="1:4" x14ac:dyDescent="0.2">
      <c r="A1259" s="5">
        <v>1198</v>
      </c>
      <c r="B1259" s="138">
        <f>'Expenditures 15-22'!G151</f>
        <v>92238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2026742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2026742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2026742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2026742</v>
      </c>
      <c r="C1288" s="2" t="s">
        <v>572</v>
      </c>
      <c r="D1288" s="2" t="str">
        <f t="shared" si="19"/>
        <v>Error?</v>
      </c>
    </row>
    <row r="1289" spans="1:4" x14ac:dyDescent="0.2">
      <c r="A1289" s="5">
        <v>1228</v>
      </c>
      <c r="B1289" s="138">
        <f>'Expenditures 15-22'!K152</f>
        <v>461545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1997171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1346470</v>
      </c>
      <c r="D1315" s="2" t="str">
        <f t="shared" si="19"/>
        <v>Error?</v>
      </c>
    </row>
    <row r="1316" spans="1:4" x14ac:dyDescent="0.2">
      <c r="A1316" s="5">
        <v>1255</v>
      </c>
      <c r="B1316" s="138">
        <f>'Expenditures 15-22'!H171</f>
        <v>1350</v>
      </c>
      <c r="D1316" s="2" t="str">
        <f t="shared" si="19"/>
        <v>Error?</v>
      </c>
    </row>
    <row r="1317" spans="1:4" x14ac:dyDescent="0.2">
      <c r="A1317" s="5">
        <v>1256</v>
      </c>
      <c r="B1317" s="138">
        <f>'Expenditures 15-22'!H172</f>
        <v>3344991</v>
      </c>
      <c r="C1317" s="2" t="s">
        <v>572</v>
      </c>
      <c r="D1317" s="2" t="str">
        <f t="shared" si="19"/>
        <v>Error?</v>
      </c>
    </row>
    <row r="1318" spans="1:4" x14ac:dyDescent="0.2">
      <c r="A1318" s="5">
        <v>1257</v>
      </c>
      <c r="B1318" s="138">
        <f>'Expenditures 15-22'!H174</f>
        <v>3344991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1997171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1346470</v>
      </c>
      <c r="C1329" s="2" t="s">
        <v>572</v>
      </c>
      <c r="D1329" s="2" t="str">
        <f t="shared" si="19"/>
        <v>Error?</v>
      </c>
    </row>
    <row r="1330" spans="1:4" x14ac:dyDescent="0.2">
      <c r="A1330" s="5">
        <v>1269</v>
      </c>
      <c r="B1330" s="138">
        <f>'Expenditures 15-22'!K171</f>
        <v>1350</v>
      </c>
      <c r="C1330" s="2" t="s">
        <v>572</v>
      </c>
      <c r="D1330" s="2" t="str">
        <f t="shared" si="19"/>
        <v>Error?</v>
      </c>
    </row>
    <row r="1331" spans="1:4" x14ac:dyDescent="0.2">
      <c r="A1331" s="5">
        <v>1270</v>
      </c>
      <c r="B1331" s="138">
        <f>'Expenditures 15-22'!K172</f>
        <v>3344991</v>
      </c>
      <c r="C1331" s="2" t="s">
        <v>572</v>
      </c>
      <c r="D1331" s="2" t="str">
        <f t="shared" si="19"/>
        <v>Error?</v>
      </c>
    </row>
    <row r="1332" spans="1:4" x14ac:dyDescent="0.2">
      <c r="A1332" s="5">
        <v>1271</v>
      </c>
      <c r="B1332" s="138">
        <f>'Expenditures 15-22'!K174</f>
        <v>3344991</v>
      </c>
      <c r="C1332" s="2" t="s">
        <v>572</v>
      </c>
      <c r="D1332" s="2" t="str">
        <f t="shared" si="19"/>
        <v>Error?</v>
      </c>
    </row>
    <row r="1333" spans="1:4" x14ac:dyDescent="0.2">
      <c r="A1333" s="5">
        <v>1272</v>
      </c>
      <c r="B1333" s="138">
        <f>'Expenditures 15-22'!K175</f>
        <v>-309576</v>
      </c>
      <c r="C1333" s="2" t="s">
        <v>572</v>
      </c>
      <c r="D1333" s="2" t="str">
        <f t="shared" si="19"/>
        <v>Error?</v>
      </c>
    </row>
    <row r="1334" spans="1:4" x14ac:dyDescent="0.2">
      <c r="A1334" s="10">
        <v>1273</v>
      </c>
      <c r="D1334" s="2" t="str">
        <f t="shared" si="19"/>
        <v>OK</v>
      </c>
    </row>
    <row r="1335" spans="1:4" x14ac:dyDescent="0.2">
      <c r="A1335" s="5">
        <v>1274</v>
      </c>
      <c r="B1335" s="138">
        <f>'Expenditures 15-22'!C182</f>
        <v>677307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677307</v>
      </c>
      <c r="C1339" s="2" t="s">
        <v>572</v>
      </c>
      <c r="D1339" s="2" t="str">
        <f t="shared" si="19"/>
        <v>Error?</v>
      </c>
    </row>
    <row r="1340" spans="1:4" x14ac:dyDescent="0.2">
      <c r="A1340" s="5">
        <v>1279</v>
      </c>
      <c r="B1340" s="138">
        <f>'Expenditures 15-22'!C210</f>
        <v>677307</v>
      </c>
      <c r="C1340" s="2" t="s">
        <v>572</v>
      </c>
      <c r="D1340" s="2" t="str">
        <f t="shared" si="19"/>
        <v>Error?</v>
      </c>
    </row>
    <row r="1341" spans="1:4" x14ac:dyDescent="0.2">
      <c r="A1341" s="5">
        <v>1280</v>
      </c>
      <c r="B1341" s="138">
        <f>'Expenditures 15-22'!D182</f>
        <v>42234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42234</v>
      </c>
      <c r="C1345" s="2" t="s">
        <v>572</v>
      </c>
      <c r="D1345" s="2" t="str">
        <f t="shared" si="20"/>
        <v>Error?</v>
      </c>
    </row>
    <row r="1346" spans="1:4" x14ac:dyDescent="0.2">
      <c r="A1346" s="5">
        <v>1285</v>
      </c>
      <c r="B1346" s="138">
        <f>'Expenditures 15-22'!D210</f>
        <v>42234</v>
      </c>
      <c r="C1346" s="2" t="s">
        <v>572</v>
      </c>
      <c r="D1346" s="2" t="str">
        <f t="shared" si="20"/>
        <v>Error?</v>
      </c>
    </row>
    <row r="1347" spans="1:4" x14ac:dyDescent="0.2">
      <c r="A1347" s="5">
        <v>1286</v>
      </c>
      <c r="B1347" s="138">
        <f>'Expenditures 15-22'!E182</f>
        <v>307546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307546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307546</v>
      </c>
      <c r="C1353" s="2" t="s">
        <v>572</v>
      </c>
      <c r="D1353" s="2" t="str">
        <f t="shared" si="20"/>
        <v>Error?</v>
      </c>
    </row>
    <row r="1354" spans="1:4" x14ac:dyDescent="0.2">
      <c r="A1354" s="5">
        <v>1293</v>
      </c>
      <c r="B1354" s="138">
        <f>'Expenditures 15-22'!F182</f>
        <v>139247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139247</v>
      </c>
      <c r="C1358" s="2" t="s">
        <v>572</v>
      </c>
      <c r="D1358" s="2" t="str">
        <f t="shared" si="20"/>
        <v>Error?</v>
      </c>
    </row>
    <row r="1359" spans="1:4" x14ac:dyDescent="0.2">
      <c r="A1359" s="5">
        <v>1298</v>
      </c>
      <c r="B1359" s="138">
        <f>'Expenditures 15-22'!F210</f>
        <v>139247</v>
      </c>
      <c r="C1359" s="2" t="s">
        <v>572</v>
      </c>
      <c r="D1359" s="2" t="str">
        <f t="shared" si="20"/>
        <v>Error?</v>
      </c>
    </row>
    <row r="1360" spans="1:4" x14ac:dyDescent="0.2">
      <c r="A1360" s="5">
        <v>1299</v>
      </c>
      <c r="B1360" s="138">
        <f>'Expenditures 15-22'!G182</f>
        <v>1559758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1559758</v>
      </c>
      <c r="C1364" s="2" t="s">
        <v>572</v>
      </c>
      <c r="D1364" s="2" t="str">
        <f t="shared" si="20"/>
        <v>Error?</v>
      </c>
    </row>
    <row r="1365" spans="1:4" x14ac:dyDescent="0.2">
      <c r="A1365" s="5">
        <v>1304</v>
      </c>
      <c r="B1365" s="138">
        <f>'Expenditures 15-22'!G210</f>
        <v>1559758</v>
      </c>
      <c r="C1365" s="2" t="s">
        <v>572</v>
      </c>
      <c r="D1365" s="2" t="str">
        <f t="shared" si="20"/>
        <v>Error?</v>
      </c>
    </row>
    <row r="1366" spans="1:4" x14ac:dyDescent="0.2">
      <c r="A1366" s="5">
        <v>1305</v>
      </c>
      <c r="B1366" s="138">
        <f>'Expenditures 15-22'!H182</f>
        <v>819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819</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339791</v>
      </c>
      <c r="C1375" s="2" t="s">
        <v>572</v>
      </c>
      <c r="D1375" s="2" t="str">
        <f t="shared" si="20"/>
        <v>Error?</v>
      </c>
    </row>
    <row r="1376" spans="1:4" x14ac:dyDescent="0.2">
      <c r="A1376" s="5">
        <v>1315</v>
      </c>
      <c r="B1376" s="138">
        <f>'Expenditures 15-22'!H210</f>
        <v>340610</v>
      </c>
      <c r="C1376" s="2" t="s">
        <v>572</v>
      </c>
      <c r="D1376" s="2" t="str">
        <f t="shared" si="20"/>
        <v>Error?</v>
      </c>
    </row>
    <row r="1377" spans="1:4" x14ac:dyDescent="0.2">
      <c r="A1377" s="5">
        <v>1316</v>
      </c>
      <c r="B1377" s="138">
        <f>'Expenditures 15-22'!K182</f>
        <v>2726911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2726911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339791</v>
      </c>
      <c r="C1387" s="2" t="s">
        <v>572</v>
      </c>
      <c r="D1387" s="2" t="str">
        <f t="shared" si="20"/>
        <v>Error?</v>
      </c>
    </row>
    <row r="1388" spans="1:4" x14ac:dyDescent="0.2">
      <c r="A1388" s="5">
        <v>1327</v>
      </c>
      <c r="B1388" s="138">
        <f>'Expenditures 15-22'!K210</f>
        <v>3066702</v>
      </c>
      <c r="C1388" s="2" t="s">
        <v>572</v>
      </c>
      <c r="D1388" s="2" t="str">
        <f t="shared" si="20"/>
        <v>Error?</v>
      </c>
    </row>
    <row r="1389" spans="1:4" x14ac:dyDescent="0.2">
      <c r="A1389" s="5">
        <v>1328</v>
      </c>
      <c r="B1389" s="138">
        <f>'Expenditures 15-22'!K211</f>
        <v>-1483088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744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1376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4577</v>
      </c>
      <c r="D1407" s="2" t="str">
        <f t="shared" ref="D1407:D1470" si="21">IF(ISBLANK(B1407),"OK",IF(A1407-B1407=0,"OK","Error?"))</f>
        <v>Error?</v>
      </c>
    </row>
    <row r="1408" spans="1:4" x14ac:dyDescent="0.2">
      <c r="A1408" s="5">
        <v>1347</v>
      </c>
      <c r="B1408" s="138">
        <f>'Expenditures 15-22'!D223</f>
        <v>25992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260331</v>
      </c>
      <c r="C1410" s="2" t="s">
        <v>572</v>
      </c>
      <c r="D1410" s="2" t="str">
        <f t="shared" si="21"/>
        <v>Error?</v>
      </c>
    </row>
    <row r="1411" spans="1:4" x14ac:dyDescent="0.2">
      <c r="A1411" s="5">
        <v>1350</v>
      </c>
      <c r="B1411" s="138">
        <f>'Expenditures 15-22'!D232</f>
        <v>5426</v>
      </c>
      <c r="D1411" s="2" t="str">
        <f t="shared" si="21"/>
        <v>Error?</v>
      </c>
    </row>
    <row r="1412" spans="1:4" x14ac:dyDescent="0.2">
      <c r="A1412" s="5">
        <v>1351</v>
      </c>
      <c r="B1412" s="138">
        <f>'Expenditures 15-22'!D233</f>
        <v>5123</v>
      </c>
      <c r="D1412" s="2" t="str">
        <f t="shared" si="21"/>
        <v>Error?</v>
      </c>
    </row>
    <row r="1413" spans="1:4" x14ac:dyDescent="0.2">
      <c r="A1413" s="5">
        <v>1352</v>
      </c>
      <c r="B1413" s="138">
        <f>'Expenditures 15-22'!D234</f>
        <v>18435</v>
      </c>
      <c r="D1413" s="2" t="str">
        <f t="shared" si="21"/>
        <v>Error?</v>
      </c>
    </row>
    <row r="1414" spans="1:4" x14ac:dyDescent="0.2">
      <c r="A1414" s="5">
        <v>1353</v>
      </c>
      <c r="B1414" s="138">
        <f>'Expenditures 15-22'!D235</f>
        <v>1928</v>
      </c>
      <c r="D1414" s="2" t="str">
        <f t="shared" si="21"/>
        <v>Error?</v>
      </c>
    </row>
    <row r="1415" spans="1:4" x14ac:dyDescent="0.2">
      <c r="A1415" s="5">
        <v>1354</v>
      </c>
      <c r="B1415" s="138">
        <f>'Expenditures 15-22'!D236</f>
        <v>4877</v>
      </c>
      <c r="D1415" s="2" t="str">
        <f t="shared" si="21"/>
        <v>Error?</v>
      </c>
    </row>
    <row r="1416" spans="1:4" x14ac:dyDescent="0.2">
      <c r="A1416" s="5">
        <v>1355</v>
      </c>
      <c r="B1416" s="138">
        <f>'Expenditures 15-22'!D237</f>
        <v>42800</v>
      </c>
      <c r="D1416" s="2" t="str">
        <f t="shared" si="21"/>
        <v>Error?</v>
      </c>
    </row>
    <row r="1417" spans="1:4" x14ac:dyDescent="0.2">
      <c r="A1417" s="5">
        <v>1356</v>
      </c>
      <c r="B1417" s="138">
        <f>'Expenditures 15-22'!D238</f>
        <v>78589</v>
      </c>
      <c r="C1417" s="2" t="s">
        <v>572</v>
      </c>
      <c r="D1417" s="2" t="str">
        <f t="shared" si="21"/>
        <v>Error?</v>
      </c>
    </row>
    <row r="1418" spans="1:4" x14ac:dyDescent="0.2">
      <c r="A1418" s="5">
        <v>1357</v>
      </c>
      <c r="B1418" s="138">
        <f>'Expenditures 15-22'!D240</f>
        <v>11494</v>
      </c>
      <c r="D1418" s="2" t="str">
        <f t="shared" si="21"/>
        <v>Error?</v>
      </c>
    </row>
    <row r="1419" spans="1:4" x14ac:dyDescent="0.2">
      <c r="A1419" s="5">
        <v>1358</v>
      </c>
      <c r="B1419" s="138">
        <f>'Expenditures 15-22'!D241</f>
        <v>13206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24700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12615</v>
      </c>
      <c r="D1423" s="2" t="str">
        <f t="shared" si="21"/>
        <v>Error?</v>
      </c>
    </row>
    <row r="1424" spans="1:4" x14ac:dyDescent="0.2">
      <c r="A1424" s="5">
        <v>1363</v>
      </c>
      <c r="B1424" s="138">
        <f>'Expenditures 15-22'!D257</f>
        <v>12615</v>
      </c>
      <c r="C1424" s="2" t="s">
        <v>572</v>
      </c>
      <c r="D1424" s="2" t="str">
        <f t="shared" si="21"/>
        <v>Error?</v>
      </c>
    </row>
    <row r="1425" spans="1:4" x14ac:dyDescent="0.2">
      <c r="A1425" s="5">
        <v>1364</v>
      </c>
      <c r="B1425" s="138">
        <f>'Expenditures 15-22'!D259</f>
        <v>53241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53241</v>
      </c>
      <c r="C1427" s="2" t="s">
        <v>572</v>
      </c>
      <c r="D1427" s="2" t="str">
        <f t="shared" si="21"/>
        <v>Error?</v>
      </c>
    </row>
    <row r="1428" spans="1:4" x14ac:dyDescent="0.2">
      <c r="A1428" s="5">
        <v>1367</v>
      </c>
      <c r="B1428" s="138">
        <f>'Expenditures 15-22'!D263</f>
        <v>1512</v>
      </c>
      <c r="D1428" s="2" t="str">
        <f t="shared" si="21"/>
        <v>Error?</v>
      </c>
    </row>
    <row r="1429" spans="1:4" x14ac:dyDescent="0.2">
      <c r="A1429" s="5">
        <v>1368</v>
      </c>
      <c r="B1429" s="138">
        <f>'Expenditures 15-22'!D264</f>
        <v>20940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110725</v>
      </c>
      <c r="D1431" s="2" t="str">
        <f t="shared" si="21"/>
        <v>Error?</v>
      </c>
    </row>
    <row r="1432" spans="1:4" x14ac:dyDescent="0.2">
      <c r="A1432" s="5">
        <v>1371</v>
      </c>
      <c r="B1432" s="138">
        <f>'Expenditures 15-22'!D267</f>
        <v>113349</v>
      </c>
      <c r="D1432" s="2" t="str">
        <f t="shared" si="21"/>
        <v>Error?</v>
      </c>
    </row>
    <row r="1433" spans="1:4" x14ac:dyDescent="0.2">
      <c r="A1433" s="5">
        <v>1372</v>
      </c>
      <c r="B1433" s="138">
        <f>'Expenditures 15-22'!D268</f>
        <v>42224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288750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29378</v>
      </c>
      <c r="D1439" s="2" t="str">
        <f t="shared" si="21"/>
        <v>Error?</v>
      </c>
    </row>
    <row r="1440" spans="1:4" x14ac:dyDescent="0.2">
      <c r="A1440" s="5">
        <v>1379</v>
      </c>
      <c r="B1440" s="138">
        <f>'Expenditures 15-22'!D275</f>
        <v>10406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39784</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497679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758010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744</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1376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4577</v>
      </c>
      <c r="C1471" s="2" t="s">
        <v>572</v>
      </c>
      <c r="D1471" s="2" t="str">
        <f t="shared" ref="D1471:D1534" si="22">IF(ISBLANK(B1471),"OK",IF(A1471-B1471=0,"OK","Error?"))</f>
        <v>Error?</v>
      </c>
    </row>
    <row r="1472" spans="1:4" x14ac:dyDescent="0.2">
      <c r="A1472" s="5">
        <v>1411</v>
      </c>
      <c r="B1472" s="138">
        <f>'Expenditures 15-22'!K223</f>
        <v>25992</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260331</v>
      </c>
      <c r="C1474" s="2" t="s">
        <v>572</v>
      </c>
      <c r="D1474" s="2" t="str">
        <f t="shared" si="22"/>
        <v>Error?</v>
      </c>
    </row>
    <row r="1475" spans="1:4" x14ac:dyDescent="0.2">
      <c r="A1475" s="5">
        <v>1414</v>
      </c>
      <c r="B1475" s="138">
        <f>'Expenditures 15-22'!K232</f>
        <v>5426</v>
      </c>
      <c r="C1475" s="2" t="s">
        <v>572</v>
      </c>
      <c r="D1475" s="2" t="str">
        <f t="shared" si="22"/>
        <v>Error?</v>
      </c>
    </row>
    <row r="1476" spans="1:4" x14ac:dyDescent="0.2">
      <c r="A1476" s="5">
        <v>1415</v>
      </c>
      <c r="B1476" s="138">
        <f>'Expenditures 15-22'!K233</f>
        <v>5123</v>
      </c>
      <c r="C1476" s="2" t="s">
        <v>572</v>
      </c>
      <c r="D1476" s="2" t="str">
        <f t="shared" si="22"/>
        <v>Error?</v>
      </c>
    </row>
    <row r="1477" spans="1:4" x14ac:dyDescent="0.2">
      <c r="A1477" s="5">
        <v>1416</v>
      </c>
      <c r="B1477" s="138">
        <f>'Expenditures 15-22'!K234</f>
        <v>18435</v>
      </c>
      <c r="C1477" s="2" t="s">
        <v>572</v>
      </c>
      <c r="D1477" s="2" t="str">
        <f t="shared" si="22"/>
        <v>Error?</v>
      </c>
    </row>
    <row r="1478" spans="1:4" x14ac:dyDescent="0.2">
      <c r="A1478" s="5">
        <v>1417</v>
      </c>
      <c r="B1478" s="138">
        <f>'Expenditures 15-22'!K235</f>
        <v>1928</v>
      </c>
      <c r="C1478" s="2" t="s">
        <v>572</v>
      </c>
      <c r="D1478" s="2" t="str">
        <f t="shared" si="22"/>
        <v>Error?</v>
      </c>
    </row>
    <row r="1479" spans="1:4" x14ac:dyDescent="0.2">
      <c r="A1479" s="5">
        <v>1418</v>
      </c>
      <c r="B1479" s="138">
        <f>'Expenditures 15-22'!K236</f>
        <v>4877</v>
      </c>
      <c r="C1479" s="2" t="s">
        <v>572</v>
      </c>
      <c r="D1479" s="2" t="str">
        <f t="shared" si="22"/>
        <v>Error?</v>
      </c>
    </row>
    <row r="1480" spans="1:4" x14ac:dyDescent="0.2">
      <c r="A1480" s="5">
        <v>1419</v>
      </c>
      <c r="B1480" s="138">
        <f>'Expenditures 15-22'!K237</f>
        <v>42800</v>
      </c>
      <c r="C1480" s="2" t="s">
        <v>572</v>
      </c>
      <c r="D1480" s="2" t="str">
        <f t="shared" si="22"/>
        <v>Error?</v>
      </c>
    </row>
    <row r="1481" spans="1:4" x14ac:dyDescent="0.2">
      <c r="A1481" s="5">
        <v>1420</v>
      </c>
      <c r="B1481" s="138">
        <f>'Expenditures 15-22'!K238</f>
        <v>78589</v>
      </c>
      <c r="C1481" s="2" t="s">
        <v>572</v>
      </c>
      <c r="D1481" s="2" t="str">
        <f t="shared" si="22"/>
        <v>Error?</v>
      </c>
    </row>
    <row r="1482" spans="1:4" x14ac:dyDescent="0.2">
      <c r="A1482" s="5">
        <v>1421</v>
      </c>
      <c r="B1482" s="138">
        <f>'Expenditures 15-22'!K240</f>
        <v>11494</v>
      </c>
      <c r="C1482" s="2" t="s">
        <v>572</v>
      </c>
      <c r="D1482" s="2" t="str">
        <f t="shared" si="22"/>
        <v>Error?</v>
      </c>
    </row>
    <row r="1483" spans="1:4" x14ac:dyDescent="0.2">
      <c r="A1483" s="5">
        <v>1422</v>
      </c>
      <c r="B1483" s="138">
        <f>'Expenditures 15-22'!K241</f>
        <v>13206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24700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12615</v>
      </c>
      <c r="C1487" s="2" t="s">
        <v>572</v>
      </c>
      <c r="D1487" s="2" t="str">
        <f t="shared" si="22"/>
        <v>Error?</v>
      </c>
    </row>
    <row r="1488" spans="1:4" x14ac:dyDescent="0.2">
      <c r="A1488" s="5">
        <v>1427</v>
      </c>
      <c r="B1488" s="138">
        <f>'Expenditures 15-22'!K257</f>
        <v>12615</v>
      </c>
      <c r="C1488" s="2" t="s">
        <v>572</v>
      </c>
      <c r="D1488" s="2" t="str">
        <f t="shared" si="22"/>
        <v>Error?</v>
      </c>
    </row>
    <row r="1489" spans="1:4" x14ac:dyDescent="0.2">
      <c r="A1489" s="5">
        <v>1428</v>
      </c>
      <c r="B1489" s="138">
        <f>'Expenditures 15-22'!K259</f>
        <v>53241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53241</v>
      </c>
      <c r="C1491" s="2" t="s">
        <v>572</v>
      </c>
      <c r="D1491" s="2" t="str">
        <f t="shared" si="22"/>
        <v>Error?</v>
      </c>
    </row>
    <row r="1492" spans="1:4" x14ac:dyDescent="0.2">
      <c r="A1492" s="5">
        <v>1431</v>
      </c>
      <c r="B1492" s="138">
        <f>'Expenditures 15-22'!K263</f>
        <v>1512</v>
      </c>
      <c r="C1492" s="2" t="s">
        <v>572</v>
      </c>
      <c r="D1492" s="2" t="str">
        <f t="shared" si="22"/>
        <v>Error?</v>
      </c>
    </row>
    <row r="1493" spans="1:4" x14ac:dyDescent="0.2">
      <c r="A1493" s="5">
        <v>1432</v>
      </c>
      <c r="B1493" s="138">
        <f>'Expenditures 15-22'!K264</f>
        <v>20940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110725</v>
      </c>
      <c r="C1495" s="2" t="s">
        <v>572</v>
      </c>
      <c r="D1495" s="2" t="str">
        <f t="shared" si="22"/>
        <v>Error?</v>
      </c>
    </row>
    <row r="1496" spans="1:4" x14ac:dyDescent="0.2">
      <c r="A1496" s="5">
        <v>1435</v>
      </c>
      <c r="B1496" s="138">
        <f>'Expenditures 15-22'!K267</f>
        <v>113349</v>
      </c>
      <c r="C1496" s="2" t="s">
        <v>572</v>
      </c>
      <c r="D1496" s="2" t="str">
        <f t="shared" si="22"/>
        <v>Error?</v>
      </c>
    </row>
    <row r="1497" spans="1:4" x14ac:dyDescent="0.2">
      <c r="A1497" s="5">
        <v>1436</v>
      </c>
      <c r="B1497" s="138">
        <f>'Expenditures 15-22'!K268</f>
        <v>42224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288750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29378</v>
      </c>
      <c r="C1503" s="2" t="s">
        <v>572</v>
      </c>
      <c r="D1503" s="2" t="str">
        <f t="shared" si="22"/>
        <v>Error?</v>
      </c>
    </row>
    <row r="1504" spans="1:4" x14ac:dyDescent="0.2">
      <c r="A1504" s="5">
        <v>1443</v>
      </c>
      <c r="B1504" s="138">
        <f>'Expenditures 15-22'!K275</f>
        <v>10406</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39784</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497679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758010</v>
      </c>
      <c r="C1517" s="2" t="s">
        <v>572</v>
      </c>
      <c r="D1517" s="2" t="str">
        <f t="shared" si="22"/>
        <v>Error?</v>
      </c>
    </row>
    <row r="1518" spans="1:4" x14ac:dyDescent="0.2">
      <c r="A1518" s="5">
        <v>1457</v>
      </c>
      <c r="B1518" s="138">
        <f>'Expenditures 15-22'!K296</f>
        <v>36368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116356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116356</v>
      </c>
      <c r="C1547" s="2" t="s">
        <v>572</v>
      </c>
      <c r="D1547" s="2" t="str">
        <f t="shared" si="23"/>
        <v>Error?</v>
      </c>
    </row>
    <row r="1548" spans="1:4" x14ac:dyDescent="0.2">
      <c r="A1548" s="5">
        <v>1487</v>
      </c>
      <c r="B1548" s="138">
        <f>'Expenditures 15-22'!G312</f>
        <v>116356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116356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116356</v>
      </c>
      <c r="C1559" s="2" t="s">
        <v>572</v>
      </c>
      <c r="D1559" s="2" t="str">
        <f t="shared" si="23"/>
        <v>Error?</v>
      </c>
    </row>
    <row r="1560" spans="1:4" x14ac:dyDescent="0.2">
      <c r="A1560" s="5">
        <v>1499</v>
      </c>
      <c r="B1560" s="138">
        <f>'Expenditures 15-22'!K312</f>
        <v>116356</v>
      </c>
      <c r="C1560" s="2" t="s">
        <v>572</v>
      </c>
      <c r="D1560" s="2" t="str">
        <f t="shared" si="23"/>
        <v>Error?</v>
      </c>
    </row>
    <row r="1561" spans="1:4" x14ac:dyDescent="0.2">
      <c r="A1561" s="5">
        <v>1500</v>
      </c>
      <c r="B1561" s="138">
        <f>'Expenditures 15-22'!K313</f>
        <v>-115884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-2108160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-821230</v>
      </c>
      <c r="C1630" s="2" t="s">
        <v>572</v>
      </c>
      <c r="D1630" s="2" t="str">
        <f t="shared" si="24"/>
        <v>Error?</v>
      </c>
    </row>
    <row r="1631" spans="1:4" x14ac:dyDescent="0.2">
      <c r="A1631" s="5">
        <v>1570</v>
      </c>
      <c r="B1631" s="138">
        <f>'Acct Summary 7-8'!D79</f>
        <v>-311381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-157936</v>
      </c>
      <c r="C1644" s="2" t="s">
        <v>572</v>
      </c>
      <c r="D1644" s="2" t="str">
        <f t="shared" si="24"/>
        <v>Error?</v>
      </c>
    </row>
    <row r="1645" spans="1:4" x14ac:dyDescent="0.2">
      <c r="A1645" s="5">
        <v>1584</v>
      </c>
      <c r="B1645" s="138">
        <f>'Acct Summary 7-8'!E79</f>
        <v>1434863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1470278</v>
      </c>
      <c r="C1658" s="2" t="s">
        <v>572</v>
      </c>
      <c r="D1658" s="2" t="str">
        <f t="shared" si="24"/>
        <v>Error?</v>
      </c>
    </row>
    <row r="1659" spans="1:4" x14ac:dyDescent="0.2">
      <c r="A1659" s="5">
        <v>1598</v>
      </c>
      <c r="B1659" s="138">
        <f>'Acct Summary 7-8'!F79</f>
        <v>482701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548426</v>
      </c>
      <c r="C1672" s="2" t="s">
        <v>572</v>
      </c>
      <c r="D1672" s="2" t="str">
        <f t="shared" si="25"/>
        <v>Error?</v>
      </c>
    </row>
    <row r="1673" spans="1:4" x14ac:dyDescent="0.2">
      <c r="A1673" s="5">
        <v>1612</v>
      </c>
      <c r="B1673" s="138">
        <f>'Acct Summary 7-8'!G79</f>
        <v>84917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121285</v>
      </c>
      <c r="C1686" s="2" t="s">
        <v>572</v>
      </c>
      <c r="D1686" s="2" t="str">
        <f t="shared" si="25"/>
        <v>Error?</v>
      </c>
    </row>
    <row r="1687" spans="1:4" x14ac:dyDescent="0.2">
      <c r="A1687" s="5">
        <v>1626</v>
      </c>
      <c r="B1687" s="138">
        <f>'Acct Summary 7-8'!H79</f>
        <v>116292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14901604</v>
      </c>
      <c r="C1744" s="2" t="s">
        <v>572</v>
      </c>
      <c r="D1744" s="2" t="str">
        <f t="shared" si="26"/>
        <v>Error?</v>
      </c>
    </row>
    <row r="1745" spans="1:5" x14ac:dyDescent="0.2">
      <c r="A1745" s="5">
        <v>1684</v>
      </c>
      <c r="B1745" s="138">
        <f>'Tax Sched 23'!B5</f>
        <v>2349026</v>
      </c>
      <c r="C1745" s="2" t="s">
        <v>572</v>
      </c>
      <c r="D1745" s="2" t="str">
        <f t="shared" si="26"/>
        <v>Error?</v>
      </c>
    </row>
    <row r="1746" spans="1:5" x14ac:dyDescent="0.2">
      <c r="A1746" s="5">
        <v>1685</v>
      </c>
      <c r="B1746" s="138">
        <f>'Tax Sched 23'!B6</f>
        <v>2992528</v>
      </c>
      <c r="C1746" s="2" t="s">
        <v>572</v>
      </c>
      <c r="D1746" s="2" t="str">
        <f t="shared" si="26"/>
        <v>Error?</v>
      </c>
    </row>
    <row r="1747" spans="1:5" x14ac:dyDescent="0.2">
      <c r="A1747" s="5">
        <v>1686</v>
      </c>
      <c r="B1747" s="138">
        <f>'Tax Sched 23'!B7</f>
        <v>716685</v>
      </c>
      <c r="C1747" s="2" t="s">
        <v>572</v>
      </c>
      <c r="D1747" s="2" t="str">
        <f t="shared" si="26"/>
        <v>Error?</v>
      </c>
    </row>
    <row r="1748" spans="1:5" x14ac:dyDescent="0.2">
      <c r="A1748" s="5">
        <v>1687</v>
      </c>
      <c r="B1748" s="138">
        <f>'Tax Sched 23'!B8</f>
        <v>367351</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228759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21923304</v>
      </c>
      <c r="C1759" s="2" t="s">
        <v>572</v>
      </c>
      <c r="D1759" s="2" t="str">
        <f t="shared" si="26"/>
        <v>Error?</v>
      </c>
    </row>
    <row r="1760" spans="1:5" x14ac:dyDescent="0.2">
      <c r="A1760" s="5">
        <v>1699</v>
      </c>
      <c r="B1760" s="138">
        <f>'Tax Sched 23'!D4</f>
        <v>6871390</v>
      </c>
      <c r="C1760" s="2" t="s">
        <v>572</v>
      </c>
      <c r="D1760" s="2" t="str">
        <f t="shared" si="26"/>
        <v>Error?</v>
      </c>
    </row>
    <row r="1761" spans="1:5" x14ac:dyDescent="0.2">
      <c r="A1761" s="5">
        <v>1700</v>
      </c>
      <c r="B1761" s="138">
        <f>'Tax Sched 23'!D5</f>
        <v>1169975</v>
      </c>
      <c r="C1761" s="2" t="s">
        <v>572</v>
      </c>
      <c r="D1761" s="2" t="str">
        <f t="shared" si="26"/>
        <v>Error?</v>
      </c>
    </row>
    <row r="1762" spans="1:5" s="8" customFormat="1" x14ac:dyDescent="0.2">
      <c r="A1762" s="5">
        <v>1701</v>
      </c>
      <c r="B1762" s="138">
        <f>'Tax Sched 23'!D6</f>
        <v>1403068</v>
      </c>
      <c r="C1762" s="2" t="s">
        <v>572</v>
      </c>
      <c r="D1762" s="2" t="str">
        <f t="shared" si="26"/>
        <v>Error?</v>
      </c>
      <c r="E1762" s="9"/>
    </row>
    <row r="1763" spans="1:5" x14ac:dyDescent="0.2">
      <c r="A1763" s="5">
        <v>1702</v>
      </c>
      <c r="B1763" s="138">
        <f>'Tax Sched 23'!D7</f>
        <v>298664</v>
      </c>
      <c r="C1763" s="2" t="s">
        <v>572</v>
      </c>
      <c r="D1763" s="2" t="str">
        <f t="shared" si="26"/>
        <v>Error?</v>
      </c>
    </row>
    <row r="1764" spans="1:5" x14ac:dyDescent="0.2">
      <c r="A1764" s="5">
        <v>1703</v>
      </c>
      <c r="B1764" s="138">
        <f>'Tax Sched 23'!D8</f>
        <v>197323.69</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108662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10246406.689999999</v>
      </c>
      <c r="C1775" s="2" t="s">
        <v>572</v>
      </c>
      <c r="D1775" s="2" t="str">
        <f t="shared" si="26"/>
        <v>Error?</v>
      </c>
    </row>
    <row r="1776" spans="1:5" x14ac:dyDescent="0.2">
      <c r="A1776" s="5">
        <v>1715</v>
      </c>
      <c r="B1776" s="138">
        <f>'Tax Sched 23'!C4</f>
        <v>8030214</v>
      </c>
      <c r="D1776" s="2" t="str">
        <f t="shared" si="26"/>
        <v>Error?</v>
      </c>
    </row>
    <row r="1777" spans="1:4" x14ac:dyDescent="0.2">
      <c r="A1777" s="5">
        <v>1716</v>
      </c>
      <c r="B1777" s="138">
        <f>'Tax Sched 23'!C5</f>
        <v>1179051</v>
      </c>
      <c r="D1777" s="2" t="str">
        <f t="shared" si="26"/>
        <v>Error?</v>
      </c>
    </row>
    <row r="1778" spans="1:4" x14ac:dyDescent="0.2">
      <c r="A1778" s="5">
        <v>1717</v>
      </c>
      <c r="B1778" s="138">
        <f>'Tax Sched 23'!C6</f>
        <v>1589460</v>
      </c>
      <c r="D1778" s="2" t="str">
        <f t="shared" si="26"/>
        <v>Error?</v>
      </c>
    </row>
    <row r="1779" spans="1:4" x14ac:dyDescent="0.2">
      <c r="A1779" s="5">
        <v>1718</v>
      </c>
      <c r="B1779" s="138">
        <f>'Tax Sched 23'!C7</f>
        <v>418021</v>
      </c>
      <c r="D1779" s="2" t="str">
        <f t="shared" si="26"/>
        <v>Error?</v>
      </c>
    </row>
    <row r="1780" spans="1:4" x14ac:dyDescent="0.2">
      <c r="A1780" s="5">
        <v>1719</v>
      </c>
      <c r="B1780" s="138">
        <f>'Tax Sched 23'!C8</f>
        <v>170027.31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120097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11676897.310000001</v>
      </c>
      <c r="C1791" s="2" t="s">
        <v>572</v>
      </c>
      <c r="D1791" s="2" t="str">
        <f t="shared" ref="D1791:D1854" si="27">IF(ISBLANK(B1791),"OK",IF(A1791-B1791=0,"OK","Error?"))</f>
        <v>Error?</v>
      </c>
    </row>
    <row r="1792" spans="1:4" x14ac:dyDescent="0.2">
      <c r="A1792" s="5">
        <v>1731</v>
      </c>
      <c r="B1792" s="138">
        <f>'Tax Sched 23'!F4</f>
        <v>7319009</v>
      </c>
      <c r="C1792" s="2" t="s">
        <v>572</v>
      </c>
      <c r="D1792" s="2" t="str">
        <f t="shared" si="27"/>
        <v>Error?</v>
      </c>
    </row>
    <row r="1793" spans="1:4" x14ac:dyDescent="0.2">
      <c r="A1793" s="5">
        <v>1732</v>
      </c>
      <c r="B1793" s="138">
        <f>'Tax Sched 23'!F5</f>
        <v>1074633</v>
      </c>
      <c r="C1793" s="2" t="s">
        <v>572</v>
      </c>
      <c r="D1793" s="2" t="str">
        <f t="shared" si="27"/>
        <v>Error?</v>
      </c>
    </row>
    <row r="1794" spans="1:4" x14ac:dyDescent="0.2">
      <c r="A1794" s="5">
        <v>1733</v>
      </c>
      <c r="B1794" s="138">
        <f>'Tax Sched 23'!F6</f>
        <v>1448691</v>
      </c>
      <c r="C1794" s="2" t="s">
        <v>572</v>
      </c>
      <c r="D1794" s="2" t="str">
        <f t="shared" si="27"/>
        <v>Error?</v>
      </c>
    </row>
    <row r="1795" spans="1:4" x14ac:dyDescent="0.2">
      <c r="A1795" s="5">
        <v>1734</v>
      </c>
      <c r="B1795" s="138">
        <f>'Tax Sched 23'!F7</f>
        <v>381001</v>
      </c>
      <c r="C1795" s="2" t="s">
        <v>572</v>
      </c>
      <c r="D1795" s="2" t="str">
        <f t="shared" si="27"/>
        <v>Error?</v>
      </c>
    </row>
    <row r="1796" spans="1:4" x14ac:dyDescent="0.2">
      <c r="A1796" s="5">
        <v>1735</v>
      </c>
      <c r="B1796" s="138">
        <f>'Tax Sched 23'!F8</f>
        <v>154973.69</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109469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10642750.689999999</v>
      </c>
      <c r="C1807" s="2" t="s">
        <v>572</v>
      </c>
      <c r="D1807" s="2" t="str">
        <f t="shared" si="27"/>
        <v>Error?</v>
      </c>
    </row>
    <row r="1808" spans="1:4" x14ac:dyDescent="0.2">
      <c r="A1808" s="5">
        <v>1747</v>
      </c>
      <c r="B1808" s="138">
        <f>'Tax Sched 23'!E4</f>
        <v>15349223</v>
      </c>
      <c r="D1808" s="2" t="str">
        <f t="shared" si="27"/>
        <v>Error?</v>
      </c>
    </row>
    <row r="1809" spans="1:4" x14ac:dyDescent="0.2">
      <c r="A1809" s="5">
        <v>1748</v>
      </c>
      <c r="B1809" s="138">
        <f>'Tax Sched 23'!E5</f>
        <v>2253684</v>
      </c>
      <c r="D1809" s="2" t="str">
        <f t="shared" si="27"/>
        <v>Error?</v>
      </c>
    </row>
    <row r="1810" spans="1:4" x14ac:dyDescent="0.2">
      <c r="A1810" s="5">
        <v>1749</v>
      </c>
      <c r="B1810" s="138">
        <f>'Tax Sched 23'!E6</f>
        <v>3038151</v>
      </c>
      <c r="D1810" s="2" t="str">
        <f t="shared" si="27"/>
        <v>Error?</v>
      </c>
    </row>
    <row r="1811" spans="1:4" x14ac:dyDescent="0.2">
      <c r="A1811" s="5">
        <v>1750</v>
      </c>
      <c r="B1811" s="138">
        <f>'Tax Sched 23'!E7</f>
        <v>799022</v>
      </c>
      <c r="D1811" s="2" t="str">
        <f t="shared" si="27"/>
        <v>Error?</v>
      </c>
    </row>
    <row r="1812" spans="1:4" x14ac:dyDescent="0.2">
      <c r="A1812" s="5">
        <v>1751</v>
      </c>
      <c r="B1812" s="138">
        <f>'Tax Sched 23'!E8</f>
        <v>325001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229566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22319648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4000000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4000000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4000000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4000000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41301205</v>
      </c>
      <c r="C1939" s="2" t="s">
        <v>572</v>
      </c>
      <c r="D1939" s="2" t="str">
        <f t="shared" si="29"/>
        <v>Error?</v>
      </c>
    </row>
    <row r="1940" spans="1:5" x14ac:dyDescent="0.2">
      <c r="A1940" s="5">
        <v>1879</v>
      </c>
      <c r="B1940" s="138">
        <f>'Short-Term Long-Term Debt 24'!F49</f>
        <v>1548813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229588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229588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229588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2677288</v>
      </c>
      <c r="D2008" s="2" t="str">
        <f t="shared" si="30"/>
        <v>Error?</v>
      </c>
    </row>
    <row r="2009" spans="1:4" x14ac:dyDescent="0.2">
      <c r="A2009" s="5">
        <v>1948</v>
      </c>
      <c r="B2009" s="138">
        <f>'Cap Outlay Deprec 26'!C8</f>
        <v>61674505</v>
      </c>
      <c r="D2009" s="2" t="str">
        <f t="shared" si="30"/>
        <v>Error?</v>
      </c>
    </row>
    <row r="2010" spans="1:4" x14ac:dyDescent="0.2">
      <c r="A2010" s="5">
        <v>1949</v>
      </c>
      <c r="B2010" s="138">
        <f>'Cap Outlay Deprec 26'!C10</f>
        <v>1189575</v>
      </c>
      <c r="D2010" s="2" t="str">
        <f t="shared" si="30"/>
        <v>Error?</v>
      </c>
    </row>
    <row r="2011" spans="1:4" x14ac:dyDescent="0.2">
      <c r="A2011" s="5">
        <v>1950</v>
      </c>
      <c r="B2011" s="138">
        <f>'Cap Outlay Deprec 26'!C12</f>
        <v>1739455</v>
      </c>
      <c r="D2011" s="2" t="str">
        <f t="shared" si="30"/>
        <v>Error?</v>
      </c>
    </row>
    <row r="2012" spans="1:4" x14ac:dyDescent="0.2">
      <c r="A2012" s="5">
        <v>1951</v>
      </c>
      <c r="B2012" s="138">
        <f>'Cap Outlay Deprec 26'!C13</f>
        <v>5387855</v>
      </c>
      <c r="D2012" s="2" t="str">
        <f t="shared" si="30"/>
        <v>Error?</v>
      </c>
    </row>
    <row r="2013" spans="1:4" x14ac:dyDescent="0.2">
      <c r="A2013" s="5">
        <v>1952</v>
      </c>
      <c r="B2013" s="138">
        <f>'Cap Outlay Deprec 26'!C16</f>
        <v>72984005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441183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10945</v>
      </c>
      <c r="D2017" s="2" t="str">
        <f t="shared" si="30"/>
        <v>Error?</v>
      </c>
    </row>
    <row r="2018" spans="1:4" x14ac:dyDescent="0.2">
      <c r="A2018" s="5">
        <v>1957</v>
      </c>
      <c r="B2018" s="138">
        <f>'Cap Outlay Deprec 26'!D13</f>
        <v>1607267</v>
      </c>
      <c r="D2018" s="2" t="str">
        <f t="shared" si="30"/>
        <v>Error?</v>
      </c>
    </row>
    <row r="2019" spans="1:4" x14ac:dyDescent="0.2">
      <c r="A2019" s="5">
        <v>1958</v>
      </c>
      <c r="B2019" s="138">
        <f>'Cap Outlay Deprec 26'!D16</f>
        <v>2123323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1127492</v>
      </c>
      <c r="D2024" s="2" t="str">
        <f t="shared" si="30"/>
        <v>Error?</v>
      </c>
    </row>
    <row r="2025" spans="1:4" x14ac:dyDescent="0.2">
      <c r="A2025" s="5">
        <v>1964</v>
      </c>
      <c r="B2025" s="138">
        <f>'Cap Outlay Deprec 26'!E16</f>
        <v>1442819</v>
      </c>
      <c r="C2025" s="2" t="s">
        <v>572</v>
      </c>
      <c r="D2025" s="2" t="str">
        <f t="shared" si="30"/>
        <v>Error?</v>
      </c>
    </row>
    <row r="2026" spans="1:4" x14ac:dyDescent="0.2">
      <c r="A2026" s="5">
        <v>1965</v>
      </c>
      <c r="B2026" s="138">
        <f>'Cap Outlay Deprec 26'!F5</f>
        <v>2677288</v>
      </c>
      <c r="C2026" s="2" t="s">
        <v>572</v>
      </c>
      <c r="D2026" s="2" t="str">
        <f t="shared" si="30"/>
        <v>Error?</v>
      </c>
    </row>
    <row r="2027" spans="1:4" x14ac:dyDescent="0.2">
      <c r="A2027" s="5">
        <v>1966</v>
      </c>
      <c r="B2027" s="138">
        <f>'Cap Outlay Deprec 26'!F8</f>
        <v>62115688</v>
      </c>
      <c r="C2027" s="2" t="s">
        <v>572</v>
      </c>
      <c r="D2027" s="2" t="str">
        <f t="shared" si="30"/>
        <v>Error?</v>
      </c>
    </row>
    <row r="2028" spans="1:4" x14ac:dyDescent="0.2">
      <c r="A2028" s="5">
        <v>1967</v>
      </c>
      <c r="B2028" s="138">
        <f>'Cap Outlay Deprec 26'!F10</f>
        <v>1189575</v>
      </c>
      <c r="C2028" s="2" t="s">
        <v>572</v>
      </c>
      <c r="D2028" s="2" t="str">
        <f t="shared" si="30"/>
        <v>Error?</v>
      </c>
    </row>
    <row r="2029" spans="1:4" x14ac:dyDescent="0.2">
      <c r="A2029" s="5">
        <v>1968</v>
      </c>
      <c r="B2029" s="138">
        <f>'Cap Outlay Deprec 26'!F12</f>
        <v>1750400</v>
      </c>
      <c r="C2029" s="2" t="s">
        <v>572</v>
      </c>
      <c r="D2029" s="2" t="str">
        <f t="shared" si="30"/>
        <v>Error?</v>
      </c>
    </row>
    <row r="2030" spans="1:4" x14ac:dyDescent="0.2">
      <c r="A2030" s="5">
        <v>1969</v>
      </c>
      <c r="B2030" s="138">
        <f>'Cap Outlay Deprec 26'!F13</f>
        <v>5867630</v>
      </c>
      <c r="C2030" s="2" t="s">
        <v>572</v>
      </c>
      <c r="D2030" s="2" t="str">
        <f t="shared" si="30"/>
        <v>Error?</v>
      </c>
    </row>
    <row r="2031" spans="1:4" x14ac:dyDescent="0.2">
      <c r="A2031" s="5">
        <v>1970</v>
      </c>
      <c r="B2031" s="138">
        <f>'Cap Outlay Deprec 26'!F16</f>
        <v>73664509</v>
      </c>
      <c r="C2031" s="2" t="s">
        <v>572</v>
      </c>
      <c r="D2031" s="2" t="str">
        <f t="shared" si="30"/>
        <v>Error?</v>
      </c>
    </row>
    <row r="2032" spans="1:4" x14ac:dyDescent="0.2">
      <c r="A2032" s="10">
        <v>1971</v>
      </c>
      <c r="D2032" s="2" t="str">
        <f t="shared" si="30"/>
        <v>OK</v>
      </c>
    </row>
    <row r="2033" spans="1:4" x14ac:dyDescent="0.2">
      <c r="A2033" s="5">
        <v>1972</v>
      </c>
      <c r="B2033" s="138">
        <f>'Cap Outlay Deprec 26'!H8</f>
        <v>16007566</v>
      </c>
      <c r="D2033" s="2" t="str">
        <f t="shared" si="30"/>
        <v>Error?</v>
      </c>
    </row>
    <row r="2034" spans="1:4" x14ac:dyDescent="0.2">
      <c r="A2034" s="5">
        <v>1973</v>
      </c>
      <c r="B2034" s="138">
        <f>'Cap Outlay Deprec 26'!H10</f>
        <v>1183621</v>
      </c>
      <c r="D2034" s="2" t="str">
        <f t="shared" si="30"/>
        <v>Error?</v>
      </c>
    </row>
    <row r="2035" spans="1:4" x14ac:dyDescent="0.2">
      <c r="A2035" s="5">
        <v>1974</v>
      </c>
      <c r="B2035" s="138">
        <f>'Cap Outlay Deprec 26'!H12</f>
        <v>1526472</v>
      </c>
      <c r="D2035" s="2" t="str">
        <f t="shared" si="30"/>
        <v>Error?</v>
      </c>
    </row>
    <row r="2036" spans="1:4" x14ac:dyDescent="0.2">
      <c r="A2036" s="5">
        <v>1975</v>
      </c>
      <c r="B2036" s="138">
        <f>'Cap Outlay Deprec 26'!H13</f>
        <v>4401116</v>
      </c>
      <c r="D2036" s="2" t="str">
        <f t="shared" si="30"/>
        <v>Error?</v>
      </c>
    </row>
    <row r="2037" spans="1:4" x14ac:dyDescent="0.2">
      <c r="A2037" s="5">
        <v>1976</v>
      </c>
      <c r="B2037" s="138">
        <f>'Cap Outlay Deprec 26'!H16</f>
        <v>23118775</v>
      </c>
      <c r="C2037" s="2" t="s">
        <v>572</v>
      </c>
      <c r="D2037" s="2" t="str">
        <f t="shared" si="30"/>
        <v>Error?</v>
      </c>
    </row>
    <row r="2038" spans="1:4" x14ac:dyDescent="0.2">
      <c r="A2038" s="10">
        <v>1977</v>
      </c>
      <c r="D2038" s="2" t="str">
        <f t="shared" si="30"/>
        <v>OK</v>
      </c>
    </row>
    <row r="2039" spans="1:4" x14ac:dyDescent="0.2">
      <c r="A2039" s="5">
        <v>1978</v>
      </c>
      <c r="B2039" s="138">
        <f>'Cap Outlay Deprec 26'!I8</f>
        <v>1353348</v>
      </c>
      <c r="D2039" s="2" t="str">
        <f t="shared" si="30"/>
        <v>Error?</v>
      </c>
    </row>
    <row r="2040" spans="1:4" x14ac:dyDescent="0.2">
      <c r="A2040" s="5">
        <v>1979</v>
      </c>
      <c r="B2040" s="138">
        <f>'Cap Outlay Deprec 26'!I10</f>
        <v>2577</v>
      </c>
      <c r="D2040" s="2" t="str">
        <f t="shared" si="30"/>
        <v>Error?</v>
      </c>
    </row>
    <row r="2041" spans="1:4" x14ac:dyDescent="0.2">
      <c r="A2041" s="5">
        <v>1980</v>
      </c>
      <c r="B2041" s="138">
        <f>'Cap Outlay Deprec 26'!I12</f>
        <v>167604</v>
      </c>
      <c r="D2041" s="2" t="str">
        <f t="shared" si="30"/>
        <v>Error?</v>
      </c>
    </row>
    <row r="2042" spans="1:4" x14ac:dyDescent="0.2">
      <c r="A2042" s="5">
        <v>1981</v>
      </c>
      <c r="B2042" s="138">
        <f>'Cap Outlay Deprec 26'!I13</f>
        <v>246496</v>
      </c>
      <c r="D2042" s="2" t="str">
        <f t="shared" si="30"/>
        <v>Error?</v>
      </c>
    </row>
    <row r="2043" spans="1:4" x14ac:dyDescent="0.2">
      <c r="A2043" s="5">
        <v>1982</v>
      </c>
      <c r="B2043" s="138">
        <f>'Cap Outlay Deprec 26'!I16</f>
        <v>1770025</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1127492</v>
      </c>
      <c r="D2048" s="2" t="str">
        <f t="shared" si="31"/>
        <v>Error?</v>
      </c>
    </row>
    <row r="2049" spans="1:4" x14ac:dyDescent="0.2">
      <c r="A2049" s="5">
        <v>1988</v>
      </c>
      <c r="B2049" s="138">
        <f>'Cap Outlay Deprec 26'!J16</f>
        <v>1127492</v>
      </c>
      <c r="C2049" s="2" t="s">
        <v>572</v>
      </c>
      <c r="D2049" s="2" t="str">
        <f t="shared" si="31"/>
        <v>Error?</v>
      </c>
    </row>
    <row r="2050" spans="1:4" x14ac:dyDescent="0.2">
      <c r="A2050" s="10">
        <v>1989</v>
      </c>
      <c r="D2050" s="2" t="str">
        <f t="shared" si="31"/>
        <v>OK</v>
      </c>
    </row>
    <row r="2051" spans="1:4" x14ac:dyDescent="0.2">
      <c r="A2051" s="5">
        <v>1990</v>
      </c>
      <c r="B2051" s="138">
        <f>'Cap Outlay Deprec 26'!K8</f>
        <v>17360914</v>
      </c>
      <c r="C2051" s="2" t="s">
        <v>572</v>
      </c>
      <c r="D2051" s="2" t="str">
        <f t="shared" si="31"/>
        <v>Error?</v>
      </c>
    </row>
    <row r="2052" spans="1:4" x14ac:dyDescent="0.2">
      <c r="A2052" s="5">
        <v>1991</v>
      </c>
      <c r="B2052" s="138">
        <f>'Cap Outlay Deprec 26'!K10</f>
        <v>1186198</v>
      </c>
      <c r="C2052" s="2" t="s">
        <v>572</v>
      </c>
      <c r="D2052" s="2" t="str">
        <f t="shared" si="31"/>
        <v>Error?</v>
      </c>
    </row>
    <row r="2053" spans="1:4" x14ac:dyDescent="0.2">
      <c r="A2053" s="5">
        <v>1992</v>
      </c>
      <c r="B2053" s="138">
        <f>'Cap Outlay Deprec 26'!K12</f>
        <v>1694076</v>
      </c>
      <c r="C2053" s="2" t="s">
        <v>572</v>
      </c>
      <c r="D2053" s="2" t="str">
        <f t="shared" si="31"/>
        <v>Error?</v>
      </c>
    </row>
    <row r="2054" spans="1:4" x14ac:dyDescent="0.2">
      <c r="A2054" s="5">
        <v>1993</v>
      </c>
      <c r="B2054" s="138">
        <f>'Cap Outlay Deprec 26'!K13</f>
        <v>3520120</v>
      </c>
      <c r="C2054" s="2" t="s">
        <v>572</v>
      </c>
      <c r="D2054" s="2" t="str">
        <f t="shared" si="31"/>
        <v>Error?</v>
      </c>
    </row>
    <row r="2055" spans="1:4" x14ac:dyDescent="0.2">
      <c r="A2055" s="5">
        <v>1994</v>
      </c>
      <c r="B2055" s="138">
        <f>'Cap Outlay Deprec 26'!K16</f>
        <v>23761308</v>
      </c>
      <c r="C2055" s="2" t="s">
        <v>572</v>
      </c>
      <c r="D2055" s="2" t="str">
        <f t="shared" si="31"/>
        <v>Error?</v>
      </c>
    </row>
    <row r="2056" spans="1:4" x14ac:dyDescent="0.2">
      <c r="A2056" s="5">
        <v>1995</v>
      </c>
      <c r="B2056" s="138">
        <f>'Cap Outlay Deprec 26'!L5</f>
        <v>2677288</v>
      </c>
      <c r="C2056" s="2" t="s">
        <v>572</v>
      </c>
      <c r="D2056" s="2" t="str">
        <f t="shared" si="31"/>
        <v>Error?</v>
      </c>
    </row>
    <row r="2057" spans="1:4" x14ac:dyDescent="0.2">
      <c r="A2057" s="5">
        <v>1996</v>
      </c>
      <c r="B2057" s="138">
        <f>'Cap Outlay Deprec 26'!L8</f>
        <v>44754774</v>
      </c>
      <c r="C2057" s="2" t="s">
        <v>572</v>
      </c>
      <c r="D2057" s="2" t="str">
        <f t="shared" si="31"/>
        <v>Error?</v>
      </c>
    </row>
    <row r="2058" spans="1:4" x14ac:dyDescent="0.2">
      <c r="A2058" s="5">
        <v>1997</v>
      </c>
      <c r="B2058" s="138">
        <f>'Cap Outlay Deprec 26'!L10</f>
        <v>3377</v>
      </c>
      <c r="C2058" s="2" t="s">
        <v>572</v>
      </c>
      <c r="D2058" s="2" t="str">
        <f t="shared" si="31"/>
        <v>Error?</v>
      </c>
    </row>
    <row r="2059" spans="1:4" x14ac:dyDescent="0.2">
      <c r="A2059" s="5">
        <v>1998</v>
      </c>
      <c r="B2059" s="138">
        <f>'Cap Outlay Deprec 26'!L12</f>
        <v>56324</v>
      </c>
      <c r="C2059" s="2" t="s">
        <v>572</v>
      </c>
      <c r="D2059" s="2" t="str">
        <f t="shared" si="31"/>
        <v>Error?</v>
      </c>
    </row>
    <row r="2060" spans="1:4" x14ac:dyDescent="0.2">
      <c r="A2060" s="5">
        <v>1999</v>
      </c>
      <c r="B2060" s="138">
        <f>'Cap Outlay Deprec 26'!L13</f>
        <v>2347510</v>
      </c>
      <c r="C2060" s="2" t="s">
        <v>572</v>
      </c>
      <c r="D2060" s="2" t="str">
        <f t="shared" si="31"/>
        <v>Error?</v>
      </c>
    </row>
    <row r="2061" spans="1:4" x14ac:dyDescent="0.2">
      <c r="A2061" s="5">
        <v>2000</v>
      </c>
      <c r="B2061" s="138">
        <f>'Cap Outlay Deprec 26'!L16</f>
        <v>49903201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3680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28190</v>
      </c>
      <c r="C2088" s="2" t="s">
        <v>572</v>
      </c>
      <c r="D2088" s="2" t="str">
        <f t="shared" si="31"/>
        <v>Error?</v>
      </c>
    </row>
    <row r="2089" spans="1:4" x14ac:dyDescent="0.2">
      <c r="A2089" s="5">
        <v>2028</v>
      </c>
      <c r="B2089" s="138">
        <f>'Expenditures 15-22'!K92</f>
        <v>571937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16469259</v>
      </c>
      <c r="C2551" s="2" t="s">
        <v>572</v>
      </c>
      <c r="D2551" s="2" t="str">
        <f t="shared" si="38"/>
        <v>Error?</v>
      </c>
    </row>
    <row r="2552" spans="1:4" x14ac:dyDescent="0.2">
      <c r="A2552" s="10">
        <v>2491</v>
      </c>
      <c r="D2552" s="2" t="str">
        <f t="shared" si="38"/>
        <v>OK</v>
      </c>
    </row>
    <row r="2553" spans="1:4" x14ac:dyDescent="0.2">
      <c r="A2553" s="5">
        <v>2492</v>
      </c>
      <c r="B2553" s="138">
        <f>'Acct Summary 7-8'!C6</f>
        <v>3667455</v>
      </c>
      <c r="C2553" s="2" t="s">
        <v>572</v>
      </c>
      <c r="D2553" s="2" t="str">
        <f t="shared" si="38"/>
        <v>Error?</v>
      </c>
    </row>
    <row r="2554" spans="1:4" x14ac:dyDescent="0.2">
      <c r="A2554" s="5">
        <v>2493</v>
      </c>
      <c r="B2554" s="138">
        <f>'Acct Summary 7-8'!C7</f>
        <v>964192</v>
      </c>
      <c r="C2554" s="2" t="s">
        <v>572</v>
      </c>
      <c r="D2554" s="2" t="str">
        <f t="shared" si="38"/>
        <v>Error?</v>
      </c>
    </row>
    <row r="2555" spans="1:4" x14ac:dyDescent="0.2">
      <c r="A2555" s="5">
        <v>2494</v>
      </c>
      <c r="B2555" s="138">
        <f>'Acct Summary 7-8'!C8</f>
        <v>21100906</v>
      </c>
      <c r="C2555" s="2" t="s">
        <v>572</v>
      </c>
      <c r="D2555" s="2" t="str">
        <f t="shared" si="38"/>
        <v>Error?</v>
      </c>
    </row>
    <row r="2556" spans="1:4" x14ac:dyDescent="0.2">
      <c r="A2556" s="5">
        <v>2495</v>
      </c>
      <c r="B2556" s="138">
        <f>'Acct Summary 7-8'!C12</f>
        <v>12852771</v>
      </c>
      <c r="C2556" s="2" t="s">
        <v>572</v>
      </c>
      <c r="D2556" s="2" t="str">
        <f t="shared" si="38"/>
        <v>Error?</v>
      </c>
    </row>
    <row r="2557" spans="1:4" x14ac:dyDescent="0.2">
      <c r="A2557" s="5">
        <v>2496</v>
      </c>
      <c r="B2557" s="138">
        <f>'Acct Summary 7-8'!C13</f>
        <v>6269872</v>
      </c>
      <c r="C2557" s="2" t="s">
        <v>572</v>
      </c>
      <c r="D2557" s="2" t="str">
        <f t="shared" si="38"/>
        <v>Error?</v>
      </c>
    </row>
    <row r="2558" spans="1:4" x14ac:dyDescent="0.2">
      <c r="A2558" s="5">
        <v>2497</v>
      </c>
      <c r="B2558" s="138">
        <f>'Acct Summary 7-8'!C14</f>
        <v>2332</v>
      </c>
      <c r="C2558" s="2" t="s">
        <v>572</v>
      </c>
      <c r="D2558" s="2" t="str">
        <f t="shared" si="38"/>
        <v>Error?</v>
      </c>
    </row>
    <row r="2559" spans="1:4" x14ac:dyDescent="0.2">
      <c r="A2559" s="5">
        <v>2498</v>
      </c>
      <c r="B2559" s="138">
        <f>'Acct Summary 7-8'!C15</f>
        <v>600127</v>
      </c>
      <c r="C2559" s="2" t="s">
        <v>572</v>
      </c>
      <c r="D2559" s="2" t="str">
        <f t="shared" ref="D2559:D2622" si="39">IF(ISBLANK(B2559),"OK",IF(A2559-B2559=0,"OK","Error?"))</f>
        <v>Error?</v>
      </c>
    </row>
    <row r="2560" spans="1:4" x14ac:dyDescent="0.2">
      <c r="A2560" s="5">
        <v>2499</v>
      </c>
      <c r="B2560" s="138">
        <f>'Acct Summary 7-8'!C16</f>
        <v>51983</v>
      </c>
      <c r="C2560" s="2" t="s">
        <v>572</v>
      </c>
      <c r="D2560" s="2" t="str">
        <f t="shared" si="39"/>
        <v>Error?</v>
      </c>
    </row>
    <row r="2561" spans="1:4" x14ac:dyDescent="0.2">
      <c r="A2561" s="5">
        <v>2500</v>
      </c>
      <c r="B2561" s="138">
        <f>'Acct Summary 7-8'!C17</f>
        <v>19777085</v>
      </c>
      <c r="C2561" s="2" t="s">
        <v>572</v>
      </c>
      <c r="D2561" s="2" t="str">
        <f t="shared" si="39"/>
        <v>Error?</v>
      </c>
    </row>
    <row r="2562" spans="1:4" x14ac:dyDescent="0.2">
      <c r="A2562" s="5">
        <v>2501</v>
      </c>
      <c r="B2562" s="138">
        <f>'Acct Summary 7-8'!C20</f>
        <v>1323821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2488287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2488287</v>
      </c>
      <c r="C2568" s="2" t="s">
        <v>572</v>
      </c>
      <c r="D2568" s="2" t="str">
        <f t="shared" si="39"/>
        <v>Error?</v>
      </c>
    </row>
    <row r="2569" spans="1:4" x14ac:dyDescent="0.2">
      <c r="A2569" s="5">
        <v>2508</v>
      </c>
      <c r="B2569" s="138">
        <f>'Acct Summary 7-8'!D13</f>
        <v>2026742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2026742</v>
      </c>
      <c r="C2573" s="2" t="s">
        <v>572</v>
      </c>
      <c r="D2573" s="2" t="str">
        <f t="shared" si="39"/>
        <v>Error?</v>
      </c>
    </row>
    <row r="2574" spans="1:4" x14ac:dyDescent="0.2">
      <c r="A2574" s="5">
        <v>2513</v>
      </c>
      <c r="B2574" s="138">
        <f>'Acct Summary 7-8'!D20</f>
        <v>461545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754603</v>
      </c>
      <c r="C2591" s="2" t="s">
        <v>572</v>
      </c>
      <c r="D2591" s="2" t="str">
        <f t="shared" si="39"/>
        <v>Error?</v>
      </c>
    </row>
    <row r="2592" spans="1:4" x14ac:dyDescent="0.2">
      <c r="A2592" s="10">
        <v>2531</v>
      </c>
      <c r="D2592" s="2" t="str">
        <f t="shared" si="39"/>
        <v>OK</v>
      </c>
    </row>
    <row r="2593" spans="1:4" x14ac:dyDescent="0.2">
      <c r="A2593" s="5">
        <v>2532</v>
      </c>
      <c r="B2593" s="138">
        <f>'Acct Summary 7-8'!F6</f>
        <v>829011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1583614</v>
      </c>
      <c r="C2595" s="2" t="s">
        <v>572</v>
      </c>
      <c r="D2595" s="2" t="str">
        <f t="shared" si="39"/>
        <v>Error?</v>
      </c>
    </row>
    <row r="2596" spans="1:4" x14ac:dyDescent="0.2">
      <c r="A2596" s="5">
        <v>2535</v>
      </c>
      <c r="B2596" s="138">
        <f>'Acct Summary 7-8'!F13</f>
        <v>2726911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339791</v>
      </c>
      <c r="C2599" s="2" t="s">
        <v>572</v>
      </c>
      <c r="D2599" s="2" t="str">
        <f t="shared" si="39"/>
        <v>Error?</v>
      </c>
    </row>
    <row r="2600" spans="1:4" x14ac:dyDescent="0.2">
      <c r="A2600" s="5">
        <v>2539</v>
      </c>
      <c r="B2600" s="138">
        <f>'Acct Summary 7-8'!F17</f>
        <v>3066702</v>
      </c>
      <c r="C2600" s="2" t="s">
        <v>572</v>
      </c>
      <c r="D2600" s="2" t="str">
        <f t="shared" si="39"/>
        <v>Error?</v>
      </c>
    </row>
    <row r="2601" spans="1:4" x14ac:dyDescent="0.2">
      <c r="A2601" s="5">
        <v>2540</v>
      </c>
      <c r="B2601" s="138">
        <f>'Acct Summary 7-8'!F20</f>
        <v>-1483088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794378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794378</v>
      </c>
      <c r="C2606" s="2" t="s">
        <v>572</v>
      </c>
      <c r="D2606" s="2" t="str">
        <f t="shared" si="39"/>
        <v>Error?</v>
      </c>
    </row>
    <row r="2607" spans="1:4" x14ac:dyDescent="0.2">
      <c r="A2607" s="5">
        <v>2546</v>
      </c>
      <c r="B2607" s="138">
        <f>'Acct Summary 7-8'!G12</f>
        <v>260331</v>
      </c>
      <c r="C2607" s="2" t="s">
        <v>572</v>
      </c>
      <c r="D2607" s="2" t="str">
        <f t="shared" si="39"/>
        <v>Error?</v>
      </c>
    </row>
    <row r="2608" spans="1:4" x14ac:dyDescent="0.2">
      <c r="A2608" s="5">
        <v>2547</v>
      </c>
      <c r="B2608" s="138">
        <f>'Acct Summary 7-8'!G13</f>
        <v>497679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758010</v>
      </c>
      <c r="C2612" s="2" t="s">
        <v>572</v>
      </c>
      <c r="D2612" s="2" t="str">
        <f t="shared" si="39"/>
        <v>Error?</v>
      </c>
    </row>
    <row r="2613" spans="1:4" x14ac:dyDescent="0.2">
      <c r="A2613" s="5">
        <v>2552</v>
      </c>
      <c r="B2613" s="138">
        <f>'Acct Summary 7-8'!G20</f>
        <v>36368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3035415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3035415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3344991</v>
      </c>
      <c r="C2634" s="2" t="s">
        <v>572</v>
      </c>
      <c r="D2634" s="2" t="str">
        <f t="shared" si="40"/>
        <v>Error?</v>
      </c>
    </row>
    <row r="2635" spans="1:4" x14ac:dyDescent="0.2">
      <c r="A2635" s="5">
        <v>2574</v>
      </c>
      <c r="B2635" s="138">
        <f>'Acct Summary 7-8'!E17</f>
        <v>3344991</v>
      </c>
      <c r="C2635" s="2" t="s">
        <v>572</v>
      </c>
      <c r="D2635" s="2" t="str">
        <f t="shared" si="40"/>
        <v>Error?</v>
      </c>
    </row>
    <row r="2636" spans="1:4" x14ac:dyDescent="0.2">
      <c r="A2636" s="5">
        <v>2575</v>
      </c>
      <c r="B2636" s="138">
        <f>'Acct Summary 7-8'!E20</f>
        <v>-309576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472</v>
      </c>
      <c r="C2658" s="2" t="s">
        <v>572</v>
      </c>
      <c r="D2658" s="2" t="str">
        <f t="shared" si="40"/>
        <v>Error?</v>
      </c>
    </row>
    <row r="2659" spans="1:4" x14ac:dyDescent="0.2">
      <c r="A2659" s="5">
        <v>2598</v>
      </c>
      <c r="B2659" s="138">
        <f>'Acct Summary 7-8'!H13</f>
        <v>116356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116356</v>
      </c>
      <c r="C2661" s="2" t="s">
        <v>572</v>
      </c>
      <c r="D2661" s="2" t="str">
        <f t="shared" si="40"/>
        <v>Error?</v>
      </c>
    </row>
    <row r="2662" spans="1:4" x14ac:dyDescent="0.2">
      <c r="A2662" s="5">
        <v>2601</v>
      </c>
      <c r="B2662" s="138">
        <f>'Acct Summary 7-8'!H20</f>
        <v>-115884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24510</v>
      </c>
      <c r="C2789" s="2" t="s">
        <v>572</v>
      </c>
      <c r="D2789" s="2" t="str">
        <f t="shared" si="42"/>
        <v>Error?</v>
      </c>
    </row>
    <row r="2790" spans="1:4" x14ac:dyDescent="0.2">
      <c r="A2790" s="5">
        <v>2729</v>
      </c>
      <c r="B2790" s="138">
        <f>'Expenditures 15-22'!E102</f>
        <v>24510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63928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4133805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203564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4133805</v>
      </c>
      <c r="D2912" s="2" t="str">
        <f t="shared" si="44"/>
        <v>Error?</v>
      </c>
    </row>
    <row r="2913" spans="1:4" x14ac:dyDescent="0.2">
      <c r="A2913" s="5">
        <v>2852</v>
      </c>
      <c r="B2913" s="138">
        <f>'Assets-Liab 5-6'!I41</f>
        <v>4133805</v>
      </c>
      <c r="C2913" s="2" t="s">
        <v>572</v>
      </c>
      <c r="D2913" s="2" t="str">
        <f t="shared" si="44"/>
        <v>Error?</v>
      </c>
    </row>
    <row r="2914" spans="1:4" x14ac:dyDescent="0.2">
      <c r="A2914" s="5">
        <v>2853</v>
      </c>
      <c r="B2914" s="138">
        <f>'Assets-Liab 5-6'!L33</f>
        <v>203564</v>
      </c>
      <c r="D2914" s="2" t="str">
        <f t="shared" si="44"/>
        <v>Error?</v>
      </c>
    </row>
    <row r="2915" spans="1:4" x14ac:dyDescent="0.2">
      <c r="A2915" s="10">
        <v>2854</v>
      </c>
      <c r="D2915" s="2" t="str">
        <f t="shared" si="44"/>
        <v>OK</v>
      </c>
    </row>
    <row r="2916" spans="1:4" x14ac:dyDescent="0.2">
      <c r="A2916" s="5">
        <v>2855</v>
      </c>
      <c r="B2916" s="138">
        <f>'Assets-Liab 5-6'!L34</f>
        <v>203564</v>
      </c>
      <c r="C2916" s="2" t="s">
        <v>572</v>
      </c>
      <c r="D2916" s="2" t="str">
        <f t="shared" si="44"/>
        <v>Error?</v>
      </c>
    </row>
    <row r="2917" spans="1:4" x14ac:dyDescent="0.2">
      <c r="A2917" s="5">
        <v>2856</v>
      </c>
      <c r="B2917" s="138">
        <f>'Assets-Liab 5-6'!L41</f>
        <v>203564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24510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3680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28190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354533</v>
      </c>
      <c r="D3055" s="2" t="str">
        <f t="shared" si="46"/>
        <v>Error?</v>
      </c>
    </row>
    <row r="3056" spans="1:4" x14ac:dyDescent="0.2">
      <c r="A3056" s="5">
        <v>2995</v>
      </c>
      <c r="B3056" s="138">
        <f>'Expenditures 15-22'!D10</f>
        <v>92932</v>
      </c>
      <c r="D3056" s="2" t="str">
        <f t="shared" si="46"/>
        <v>Error?</v>
      </c>
    </row>
    <row r="3057" spans="1:4" x14ac:dyDescent="0.2">
      <c r="A3057" s="5">
        <v>2996</v>
      </c>
      <c r="B3057" s="138">
        <f>'Expenditures 15-22'!E10</f>
        <v>6134</v>
      </c>
      <c r="D3057" s="2" t="str">
        <f t="shared" si="46"/>
        <v>Error?</v>
      </c>
    </row>
    <row r="3058" spans="1:4" x14ac:dyDescent="0.2">
      <c r="A3058" s="5">
        <v>2997</v>
      </c>
      <c r="B3058" s="138">
        <f>'Expenditures 15-22'!F10</f>
        <v>1193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454792</v>
      </c>
      <c r="C3062" s="2" t="s">
        <v>572</v>
      </c>
      <c r="D3062" s="2" t="str">
        <f t="shared" si="46"/>
        <v>Error?</v>
      </c>
    </row>
    <row r="3063" spans="1:4" x14ac:dyDescent="0.2">
      <c r="A3063" s="10">
        <v>3002</v>
      </c>
      <c r="D3063" s="2" t="str">
        <f t="shared" si="46"/>
        <v>OK</v>
      </c>
    </row>
    <row r="3064" spans="1:4" x14ac:dyDescent="0.2">
      <c r="A3064" s="5">
        <v>3003</v>
      </c>
      <c r="B3064" s="138">
        <f>'Expenditures 15-22'!D219</f>
        <v>9425</v>
      </c>
      <c r="D3064" s="2" t="str">
        <f t="shared" si="46"/>
        <v>Error?</v>
      </c>
    </row>
    <row r="3065" spans="1:4" x14ac:dyDescent="0.2">
      <c r="A3065" s="5">
        <v>3004</v>
      </c>
      <c r="B3065" s="138">
        <f>'Expenditures 15-22'!K219</f>
        <v>9425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36891</v>
      </c>
      <c r="C3231" s="2" t="s">
        <v>572</v>
      </c>
      <c r="D3231" s="2" t="str">
        <f t="shared" si="49"/>
        <v>Error?</v>
      </c>
    </row>
    <row r="3232" spans="1:4" x14ac:dyDescent="0.2">
      <c r="A3232" s="5">
        <v>3171</v>
      </c>
      <c r="B3232" s="138">
        <f>'Acct Summary 7-8'!C77</f>
        <v>-36891</v>
      </c>
      <c r="C3232" s="2" t="s">
        <v>572</v>
      </c>
      <c r="D3232" s="2" t="str">
        <f t="shared" si="49"/>
        <v>Error?</v>
      </c>
    </row>
    <row r="3233" spans="1:4" x14ac:dyDescent="0.2">
      <c r="A3233" s="5">
        <v>3172</v>
      </c>
      <c r="B3233" s="138">
        <f>'Acct Summary 7-8'!C78</f>
        <v>1286930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308100</v>
      </c>
      <c r="C3237" s="2" t="s">
        <v>572</v>
      </c>
      <c r="D3237" s="2" t="str">
        <f t="shared" si="49"/>
        <v>Error?</v>
      </c>
    </row>
    <row r="3238" spans="1:4" x14ac:dyDescent="0.2">
      <c r="A3238" s="5">
        <v>3177</v>
      </c>
      <c r="B3238" s="138">
        <f>'Acct Summary 7-8'!D77</f>
        <v>-308100</v>
      </c>
      <c r="C3238" s="2" t="s">
        <v>572</v>
      </c>
      <c r="D3238" s="2" t="str">
        <f t="shared" si="49"/>
        <v>Error?</v>
      </c>
    </row>
    <row r="3239" spans="1:4" x14ac:dyDescent="0.2">
      <c r="A3239" s="5">
        <v>3178</v>
      </c>
      <c r="B3239" s="138">
        <f>'Acct Summary 7-8'!D78</f>
        <v>153445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1548813</v>
      </c>
      <c r="D3251" s="2" t="str">
        <f t="shared" si="49"/>
        <v>Error?</v>
      </c>
    </row>
    <row r="3252" spans="1:4" x14ac:dyDescent="0.2">
      <c r="A3252" s="5">
        <v>3191</v>
      </c>
      <c r="B3252" s="138">
        <f>'Acct Summary 7-8'!F44</f>
        <v>1548813</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1548813</v>
      </c>
      <c r="C3255" s="2" t="s">
        <v>572</v>
      </c>
      <c r="D3255" s="2" t="str">
        <f t="shared" si="49"/>
        <v>Error?</v>
      </c>
    </row>
    <row r="3256" spans="1:4" x14ac:dyDescent="0.2">
      <c r="A3256" s="5">
        <v>3195</v>
      </c>
      <c r="B3256" s="138">
        <f>'Acct Summary 7-8'!F78</f>
        <v>65725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36368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344991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344991</v>
      </c>
      <c r="C3277" s="2" t="s">
        <v>572</v>
      </c>
      <c r="D3277" s="2" t="str">
        <f t="shared" si="50"/>
        <v>Error?</v>
      </c>
    </row>
    <row r="3278" spans="1:4" x14ac:dyDescent="0.2">
      <c r="A3278" s="5">
        <v>3217</v>
      </c>
      <c r="B3278" s="138">
        <f>'Acct Summary 7-8'!E78</f>
        <v>35415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-115884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f>'Acct Summary 7-8'!I79</f>
        <v>4133805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4133805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1792963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388911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5810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2187684</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116370</v>
      </c>
      <c r="D3387" s="2" t="str">
        <f t="shared" si="51"/>
        <v>Error?</v>
      </c>
    </row>
    <row r="3388" spans="1:4" x14ac:dyDescent="0.2">
      <c r="A3388" s="5">
        <v>3327</v>
      </c>
      <c r="B3388" s="138">
        <f>'Expenditures 15-22'!D217</f>
        <v>96587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116370</v>
      </c>
      <c r="C3390" s="2" t="s">
        <v>572</v>
      </c>
      <c r="D3390" s="2" t="str">
        <f t="shared" si="51"/>
        <v>Error?</v>
      </c>
    </row>
    <row r="3391" spans="1:4" x14ac:dyDescent="0.2">
      <c r="A3391" s="5">
        <v>3330</v>
      </c>
      <c r="B3391" s="138">
        <f>'Expenditures 15-22'!K217</f>
        <v>96587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4376982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729994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1548257</v>
      </c>
      <c r="D3417" s="2" t="str">
        <f t="shared" si="52"/>
        <v>Error?</v>
      </c>
    </row>
    <row r="3418" spans="1:4" x14ac:dyDescent="0.2">
      <c r="A3418" s="10">
        <v>3357</v>
      </c>
      <c r="D3418" s="2" t="str">
        <f t="shared" si="52"/>
        <v>OK</v>
      </c>
    </row>
    <row r="3419" spans="1:4" x14ac:dyDescent="0.2">
      <c r="A3419" s="5">
        <v>3358</v>
      </c>
      <c r="B3419" s="138">
        <f>'Assets-Liab 5-6'!F4</f>
        <v>425413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158666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408</v>
      </c>
      <c r="D3425" s="2" t="str">
        <f t="shared" si="52"/>
        <v>Error?</v>
      </c>
    </row>
    <row r="3426" spans="1:4" x14ac:dyDescent="0.2">
      <c r="A3426" s="10">
        <v>3365</v>
      </c>
      <c r="D3426" s="2" t="str">
        <f t="shared" si="52"/>
        <v>OK</v>
      </c>
    </row>
    <row r="3427" spans="1:4" x14ac:dyDescent="0.2">
      <c r="A3427" s="5">
        <v>3366</v>
      </c>
      <c r="B3427" s="138">
        <f>'Assets-Liab 5-6'!I4</f>
        <v>433805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203564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367351</v>
      </c>
      <c r="C3446" s="2" t="s">
        <v>572</v>
      </c>
      <c r="D3446" s="2" t="str">
        <f t="shared" si="52"/>
        <v>Error?</v>
      </c>
    </row>
    <row r="3447" spans="1:4" x14ac:dyDescent="0.2">
      <c r="A3447" s="5">
        <v>3386</v>
      </c>
      <c r="B3447" s="138">
        <f>'Tax Sched 23'!D16</f>
        <v>197324</v>
      </c>
      <c r="C3447" s="2" t="s">
        <v>572</v>
      </c>
      <c r="D3447" s="2" t="str">
        <f t="shared" si="52"/>
        <v>Error?</v>
      </c>
    </row>
    <row r="3448" spans="1:4" x14ac:dyDescent="0.2">
      <c r="A3448" s="5">
        <v>3387</v>
      </c>
      <c r="B3448" s="138">
        <f>'Tax Sched 23'!C16</f>
        <v>170027</v>
      </c>
      <c r="D3448" s="2" t="str">
        <f t="shared" si="52"/>
        <v>Error?</v>
      </c>
    </row>
    <row r="3449" spans="1:4" x14ac:dyDescent="0.2">
      <c r="A3449" s="5">
        <v>3388</v>
      </c>
      <c r="B3449" s="138">
        <f>'Tax Sched 23'!F16</f>
        <v>154974</v>
      </c>
      <c r="C3449" s="2" t="s">
        <v>572</v>
      </c>
      <c r="D3449" s="2" t="str">
        <f t="shared" si="52"/>
        <v>Error?</v>
      </c>
    </row>
    <row r="3450" spans="1:4" x14ac:dyDescent="0.2">
      <c r="A3450" s="5">
        <v>3389</v>
      </c>
      <c r="B3450" s="138">
        <f>'Tax Sched 23'!E16</f>
        <v>325001</v>
      </c>
      <c r="D3450" s="2" t="str">
        <f t="shared" si="52"/>
        <v>Error?</v>
      </c>
    </row>
    <row r="3451" spans="1:4" x14ac:dyDescent="0.2">
      <c r="A3451" s="5">
        <v>3390</v>
      </c>
      <c r="B3451" s="138">
        <f>'Cap Outlay Deprec 26'!C15</f>
        <v>315327</v>
      </c>
      <c r="D3451" s="2" t="str">
        <f t="shared" si="52"/>
        <v>Error?</v>
      </c>
    </row>
    <row r="3452" spans="1:4" x14ac:dyDescent="0.2">
      <c r="A3452" s="5">
        <v>3391</v>
      </c>
      <c r="B3452" s="138">
        <f>'Cap Outlay Deprec 26'!D15</f>
        <v>63928</v>
      </c>
      <c r="D3452" s="2" t="str">
        <f t="shared" si="52"/>
        <v>Error?</v>
      </c>
    </row>
    <row r="3453" spans="1:4" x14ac:dyDescent="0.2">
      <c r="A3453" s="5">
        <v>3392</v>
      </c>
      <c r="B3453" s="138">
        <f>'Cap Outlay Deprec 26'!E15</f>
        <v>315327</v>
      </c>
      <c r="D3453" s="2" t="str">
        <f t="shared" si="52"/>
        <v>Error?</v>
      </c>
    </row>
    <row r="3454" spans="1:4" x14ac:dyDescent="0.2">
      <c r="A3454" s="5">
        <v>3393</v>
      </c>
      <c r="B3454" s="138">
        <f>'Cap Outlay Deprec 26'!F15</f>
        <v>63928</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63928</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209922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10046448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31147354</v>
      </c>
      <c r="C4122" s="2" t="s">
        <v>572</v>
      </c>
      <c r="D4122" s="2" t="str">
        <f t="shared" si="63"/>
        <v>Error?</v>
      </c>
    </row>
    <row r="4123" spans="1:4" x14ac:dyDescent="0.2">
      <c r="A4123" s="5">
        <v>4062</v>
      </c>
      <c r="B4123" s="138">
        <f>'Acct Summary 7-8'!D10</f>
        <v>2488287</v>
      </c>
      <c r="C4123" s="2" t="s">
        <v>572</v>
      </c>
      <c r="D4123" s="2" t="str">
        <f t="shared" si="63"/>
        <v>Error?</v>
      </c>
    </row>
    <row r="4124" spans="1:4" x14ac:dyDescent="0.2">
      <c r="A4124" s="5">
        <v>4063</v>
      </c>
      <c r="B4124" s="138">
        <f>'Acct Summary 7-8'!E10</f>
        <v>3035415</v>
      </c>
      <c r="C4124" s="2" t="s">
        <v>572</v>
      </c>
      <c r="D4124" s="2" t="str">
        <f t="shared" si="63"/>
        <v>Error?</v>
      </c>
    </row>
    <row r="4125" spans="1:4" x14ac:dyDescent="0.2">
      <c r="A4125" s="5">
        <v>4064</v>
      </c>
      <c r="B4125" s="138">
        <f>'Acct Summary 7-8'!F10</f>
        <v>1583614</v>
      </c>
      <c r="C4125" s="2" t="s">
        <v>572</v>
      </c>
      <c r="D4125" s="2" t="str">
        <f t="shared" si="63"/>
        <v>Error?</v>
      </c>
    </row>
    <row r="4126" spans="1:4" x14ac:dyDescent="0.2">
      <c r="A4126" s="5">
        <v>4065</v>
      </c>
      <c r="B4126" s="138">
        <f>'Acct Summary 7-8'!G10</f>
        <v>794378</v>
      </c>
      <c r="C4126" s="2" t="s">
        <v>572</v>
      </c>
      <c r="D4126" s="2" t="str">
        <f t="shared" si="63"/>
        <v>Error?</v>
      </c>
    </row>
    <row r="4127" spans="1:4" x14ac:dyDescent="0.2">
      <c r="A4127" s="5">
        <v>4066</v>
      </c>
      <c r="B4127" s="138">
        <f>'Acct Summary 7-8'!H10</f>
        <v>472</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10046448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29823533</v>
      </c>
      <c r="C4136" s="2" t="s">
        <v>572</v>
      </c>
      <c r="D4136" s="2" t="str">
        <f t="shared" si="63"/>
        <v>Error?</v>
      </c>
    </row>
    <row r="4137" spans="1:4" x14ac:dyDescent="0.2">
      <c r="A4137" s="5">
        <v>4076</v>
      </c>
      <c r="B4137" s="138">
        <f>'Acct Summary 7-8'!D19</f>
        <v>2026742</v>
      </c>
      <c r="C4137" s="2" t="s">
        <v>572</v>
      </c>
      <c r="D4137" s="2" t="str">
        <f t="shared" si="63"/>
        <v>Error?</v>
      </c>
    </row>
    <row r="4138" spans="1:4" x14ac:dyDescent="0.2">
      <c r="A4138" s="5">
        <v>4077</v>
      </c>
      <c r="B4138" s="138">
        <f>'Acct Summary 7-8'!E19</f>
        <v>3344991</v>
      </c>
      <c r="C4138" s="2" t="s">
        <v>572</v>
      </c>
      <c r="D4138" s="2" t="str">
        <f t="shared" si="63"/>
        <v>Error?</v>
      </c>
    </row>
    <row r="4139" spans="1:4" x14ac:dyDescent="0.2">
      <c r="A4139" s="5">
        <v>4078</v>
      </c>
      <c r="B4139" s="138">
        <f>'Acct Summary 7-8'!F19</f>
        <v>3066702</v>
      </c>
      <c r="C4139" s="2" t="s">
        <v>572</v>
      </c>
      <c r="D4139" s="2" t="str">
        <f t="shared" si="63"/>
        <v>Error?</v>
      </c>
    </row>
    <row r="4140" spans="1:4" x14ac:dyDescent="0.2">
      <c r="A4140" s="5">
        <v>4079</v>
      </c>
      <c r="B4140" s="138">
        <f>'Acct Summary 7-8'!G19</f>
        <v>758010</v>
      </c>
      <c r="C4140" s="2" t="s">
        <v>572</v>
      </c>
      <c r="D4140" s="2" t="str">
        <f t="shared" si="63"/>
        <v>Error?</v>
      </c>
    </row>
    <row r="4141" spans="1:4" x14ac:dyDescent="0.2">
      <c r="A4141" s="5">
        <v>4080</v>
      </c>
      <c r="B4141" s="138">
        <f>'Acct Summary 7-8'!H19</f>
        <v>116356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41165734</v>
      </c>
      <c r="C4171" s="2" t="s">
        <v>572</v>
      </c>
      <c r="D4171" s="2" t="str">
        <f t="shared" si="64"/>
        <v>Error?</v>
      </c>
    </row>
    <row r="4172" spans="1:4" x14ac:dyDescent="0.2">
      <c r="A4172" s="5">
        <v>4111</v>
      </c>
      <c r="B4172" s="138">
        <f>'Short-Term Long-Term Debt 24'!J49</f>
        <v>39695456</v>
      </c>
      <c r="C4172" s="2" t="s">
        <v>572</v>
      </c>
      <c r="D4172" s="2" t="str">
        <f t="shared" si="64"/>
        <v>Error?</v>
      </c>
    </row>
    <row r="4173" spans="1:4" x14ac:dyDescent="0.2">
      <c r="A4173" s="5">
        <v>4112</v>
      </c>
      <c r="B4173" s="138">
        <f>'Short-Term Long-Term Debt 24'!H49</f>
        <v>1684284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337816</v>
      </c>
      <c r="D4210" s="2" t="str">
        <f t="shared" si="64"/>
        <v>Error?</v>
      </c>
    </row>
    <row r="4211" spans="1:4" x14ac:dyDescent="0.2">
      <c r="A4211" s="5">
        <v>4150</v>
      </c>
      <c r="B4211" s="138">
        <f>'Expenditures 15-22'!K206</f>
        <v>337816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4053.5040000000004</v>
      </c>
      <c r="C4265" s="2" t="s">
        <v>572</v>
      </c>
      <c r="D4265" s="2" t="str">
        <f t="shared" si="65"/>
        <v>Error?</v>
      </c>
      <c r="E4265" s="128"/>
    </row>
    <row r="4266" spans="1:5" x14ac:dyDescent="0.2">
      <c r="A4266" s="12">
        <v>4205</v>
      </c>
      <c r="B4266" s="138">
        <f>('FP Info 3'!F10)*100000</f>
        <v>595.16499999999996</v>
      </c>
      <c r="C4266" s="2" t="s">
        <v>572</v>
      </c>
      <c r="D4266" s="2" t="str">
        <f t="shared" si="65"/>
        <v>Error?</v>
      </c>
      <c r="E4266" s="128"/>
    </row>
    <row r="4267" spans="1:5" x14ac:dyDescent="0.2">
      <c r="A4267" s="12">
        <v>4206</v>
      </c>
      <c r="B4267" s="138">
        <f>('FP Info 3'!H10)*100000</f>
        <v>211.01000000000002</v>
      </c>
      <c r="C4267" s="2" t="s">
        <v>572</v>
      </c>
      <c r="D4267" s="2" t="str">
        <f t="shared" si="65"/>
        <v>Error?</v>
      </c>
      <c r="E4267" s="128"/>
    </row>
    <row r="4268" spans="1:5" x14ac:dyDescent="0.2">
      <c r="A4268" s="12">
        <v>4207</v>
      </c>
      <c r="B4268" s="138">
        <f>('FP Info 3'!J10)*100000</f>
        <v>4860</v>
      </c>
      <c r="C4268" s="2" t="s">
        <v>572</v>
      </c>
      <c r="D4268" s="2" t="str">
        <f t="shared" si="65"/>
        <v>Error?</v>
      </c>
    </row>
    <row r="4269" spans="1:5" x14ac:dyDescent="0.2">
      <c r="A4269" s="12">
        <v>4208</v>
      </c>
      <c r="B4269" s="138">
        <f>'FP Info 3'!J16</f>
        <v>3703065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13120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21386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55497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17026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30664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60456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200000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378665533</v>
      </c>
      <c r="D4995" s="2" t="str">
        <f t="shared" si="77"/>
        <v>Error?</v>
      </c>
    </row>
    <row r="4996" spans="1:4" x14ac:dyDescent="0.2">
      <c r="A4996" s="12">
        <v>4935</v>
      </c>
      <c r="B4996" s="138">
        <f>'FP Info 3'!H31</f>
        <v>52255843.554000005</v>
      </c>
      <c r="D4996" s="2" t="str">
        <f t="shared" si="77"/>
        <v>Error?</v>
      </c>
    </row>
    <row r="4997" spans="1:4" x14ac:dyDescent="0.2">
      <c r="A4997" s="12">
        <v>4936</v>
      </c>
      <c r="B4997" s="138">
        <f>'FP Info 3'!H37</f>
        <v>41165734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14931751</v>
      </c>
      <c r="D5061" s="2" t="str">
        <f t="shared" si="78"/>
        <v>Error?</v>
      </c>
    </row>
    <row r="5062" spans="1:4" x14ac:dyDescent="0.2">
      <c r="A5062" s="10">
        <v>5001</v>
      </c>
      <c r="D5062" s="2" t="str">
        <f t="shared" si="78"/>
        <v>OK</v>
      </c>
    </row>
    <row r="5063" spans="1:4" x14ac:dyDescent="0.2">
      <c r="A5063" s="5">
        <v>5002</v>
      </c>
      <c r="B5063" s="138">
        <f>'Revenues 9-14'!C7</f>
        <v>229588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15161339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146522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146522</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106867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106867</v>
      </c>
      <c r="C5087" s="2" t="s">
        <v>572</v>
      </c>
      <c r="D5087" s="2" t="str">
        <f t="shared" si="78"/>
        <v>Error?</v>
      </c>
    </row>
    <row r="5088" spans="1:4" x14ac:dyDescent="0.2">
      <c r="A5088" s="5">
        <v>5027</v>
      </c>
      <c r="B5088" s="138">
        <f>'Revenues 9-14'!C65</f>
        <v>44063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44063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372149</v>
      </c>
      <c r="C5096" s="2" t="s">
        <v>572</v>
      </c>
      <c r="D5096" s="2" t="str">
        <f t="shared" si="78"/>
        <v>Error?</v>
      </c>
    </row>
    <row r="5097" spans="1:4" x14ac:dyDescent="0.2">
      <c r="A5097" s="5">
        <v>5036</v>
      </c>
      <c r="B5097" s="138">
        <f>'Revenues 9-14'!C77</f>
        <v>27684</v>
      </c>
      <c r="D5097" s="2" t="str">
        <f t="shared" si="78"/>
        <v>Error?</v>
      </c>
    </row>
    <row r="5098" spans="1:4" x14ac:dyDescent="0.2">
      <c r="A5098" s="5">
        <v>5037</v>
      </c>
      <c r="B5098" s="138">
        <f>'Revenues 9-14'!C78</f>
        <v>23175</v>
      </c>
      <c r="D5098" s="2" t="str">
        <f t="shared" si="78"/>
        <v>Error?</v>
      </c>
    </row>
    <row r="5099" spans="1:4" x14ac:dyDescent="0.2">
      <c r="A5099" s="5">
        <v>5038</v>
      </c>
      <c r="B5099" s="138">
        <f>'Revenues 9-14'!C79</f>
        <v>61580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754</v>
      </c>
      <c r="D5101" s="2" t="str">
        <f t="shared" si="78"/>
        <v>Error?</v>
      </c>
    </row>
    <row r="5102" spans="1:4" x14ac:dyDescent="0.2">
      <c r="A5102" s="5">
        <v>5041</v>
      </c>
      <c r="B5102" s="138">
        <f>'Revenues 9-14'!C82</f>
        <v>113193</v>
      </c>
      <c r="C5102" s="2" t="s">
        <v>572</v>
      </c>
      <c r="D5102" s="2" t="str">
        <f t="shared" si="78"/>
        <v>Error?</v>
      </c>
    </row>
    <row r="5103" spans="1:4" x14ac:dyDescent="0.2">
      <c r="A5103" s="5">
        <v>5042</v>
      </c>
      <c r="B5103" s="138">
        <f>'Revenues 9-14'!C84</f>
        <v>326627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1969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328596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66921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52024</v>
      </c>
      <c r="D5116" s="2" t="str">
        <f t="shared" si="78"/>
        <v>Error?</v>
      </c>
    </row>
    <row r="5117" spans="1:4" x14ac:dyDescent="0.2">
      <c r="A5117" s="5">
        <v>5056</v>
      </c>
      <c r="B5117" s="138">
        <f>'Revenues 9-14'!C105</f>
        <v>3267</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58287</v>
      </c>
      <c r="D5119" s="2" t="str">
        <f t="shared" ref="D5119:D5182" si="79">IF(ISBLANK(B5119),"OK",IF(A5119-B5119=0,"OK","Error?"))</f>
        <v>Error?</v>
      </c>
    </row>
    <row r="5120" spans="1:4" x14ac:dyDescent="0.2">
      <c r="A5120" s="5">
        <v>5059</v>
      </c>
      <c r="B5120" s="138">
        <f>'Revenues 9-14'!C108</f>
        <v>196530</v>
      </c>
      <c r="C5120" s="2" t="s">
        <v>572</v>
      </c>
      <c r="D5120" s="2" t="str">
        <f t="shared" si="79"/>
        <v>Error?</v>
      </c>
    </row>
    <row r="5121" spans="1:4" x14ac:dyDescent="0.2">
      <c r="A5121" s="5">
        <v>5060</v>
      </c>
      <c r="B5121" s="138">
        <f>'Revenues 9-14'!C109</f>
        <v>16469259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3174544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3174544</v>
      </c>
      <c r="C5132" s="2" t="s">
        <v>572</v>
      </c>
      <c r="D5132" s="2" t="str">
        <f t="shared" si="79"/>
        <v>Error?</v>
      </c>
    </row>
    <row r="5133" spans="1:4" x14ac:dyDescent="0.2">
      <c r="A5133" s="5">
        <v>5072</v>
      </c>
      <c r="B5133" s="138">
        <f>'Revenues 9-14'!C125</f>
        <v>112573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2818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115391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25243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25243</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2696</v>
      </c>
      <c r="D5167" s="2" t="str">
        <f t="shared" si="79"/>
        <v>Error?</v>
      </c>
    </row>
    <row r="5168" spans="1:4" x14ac:dyDescent="0.2">
      <c r="A5168" s="5">
        <v>5107</v>
      </c>
      <c r="B5168" s="138">
        <f>'Revenues 9-14'!C148</f>
        <v>29473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259652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492911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3667455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209922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209922</v>
      </c>
      <c r="C5246" s="2" t="s">
        <v>572</v>
      </c>
      <c r="D5246" s="2" t="str">
        <f t="shared" si="80"/>
        <v>Error?</v>
      </c>
    </row>
    <row r="5247" spans="1:4" x14ac:dyDescent="0.2">
      <c r="A5247" s="5">
        <v>5186</v>
      </c>
      <c r="B5247" s="138">
        <f>'Revenues 9-14'!C200</f>
        <v>155606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17026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155606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12006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444031</v>
      </c>
      <c r="D5278" s="2" t="str">
        <f t="shared" si="81"/>
        <v>Error?</v>
      </c>
    </row>
    <row r="5279" spans="1:4" x14ac:dyDescent="0.2">
      <c r="A5279" s="5">
        <v>5218</v>
      </c>
      <c r="B5279" s="138">
        <f>'Revenues 9-14'!C214</f>
        <v>4934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460971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13120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964192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964192</v>
      </c>
      <c r="C5326" s="2" t="s">
        <v>572</v>
      </c>
      <c r="D5326" s="2" t="str">
        <f t="shared" si="82"/>
        <v>Error?</v>
      </c>
    </row>
    <row r="5327" spans="1:5" x14ac:dyDescent="0.2">
      <c r="A5327" s="5">
        <v>5266</v>
      </c>
      <c r="B5327" s="138">
        <f>'Revenues 9-14'!C268</f>
        <v>21100906</v>
      </c>
      <c r="C5327" s="2" t="s">
        <v>572</v>
      </c>
      <c r="D5327" s="2" t="str">
        <f t="shared" si="82"/>
        <v>Error?</v>
      </c>
    </row>
    <row r="5328" spans="1:5" x14ac:dyDescent="0.2">
      <c r="A5328" s="5">
        <v>5267</v>
      </c>
      <c r="B5328" s="138">
        <f>'Revenues 9-14'!D5</f>
        <v>2363460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2363460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14511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14511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16184</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16184</v>
      </c>
      <c r="C5348" s="2" t="s">
        <v>572</v>
      </c>
      <c r="D5348" s="2" t="str">
        <f t="shared" si="82"/>
        <v>Error?</v>
      </c>
    </row>
    <row r="5349" spans="1:4" x14ac:dyDescent="0.2">
      <c r="A5349" s="5">
        <v>5288</v>
      </c>
      <c r="B5349" s="138">
        <f>'Revenues 9-14'!D95</f>
        <v>20613</v>
      </c>
      <c r="D5349" s="2" t="str">
        <f t="shared" si="82"/>
        <v>Error?</v>
      </c>
    </row>
    <row r="5350" spans="1:4" x14ac:dyDescent="0.2">
      <c r="A5350" s="5">
        <v>5289</v>
      </c>
      <c r="B5350" s="138">
        <f>'Revenues 9-14'!D96</f>
        <v>46000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2905</v>
      </c>
      <c r="D5354" s="2" t="str">
        <f t="shared" si="82"/>
        <v>Error?</v>
      </c>
    </row>
    <row r="5355" spans="1:4" x14ac:dyDescent="0.2">
      <c r="A5355" s="5">
        <v>5294</v>
      </c>
      <c r="B5355" s="138">
        <f>'Revenues 9-14'!D108</f>
        <v>94132</v>
      </c>
      <c r="C5355" s="2" t="s">
        <v>572</v>
      </c>
      <c r="D5355" s="2" t="str">
        <f t="shared" si="82"/>
        <v>Error?</v>
      </c>
    </row>
    <row r="5356" spans="1:4" x14ac:dyDescent="0.2">
      <c r="A5356" s="5">
        <v>5295</v>
      </c>
      <c r="B5356" s="138">
        <f>'Revenues 9-14'!D109</f>
        <v>2488287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2488287</v>
      </c>
      <c r="C5508" s="2" t="s">
        <v>572</v>
      </c>
      <c r="D5508" s="2" t="str">
        <f t="shared" si="85"/>
        <v>Error?</v>
      </c>
    </row>
    <row r="5509" spans="1:4" x14ac:dyDescent="0.2">
      <c r="A5509" s="5">
        <v>5448</v>
      </c>
      <c r="B5509" s="138">
        <f>'Revenues 9-14'!E5</f>
        <v>3001211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3001211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34204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34204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3035415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3035415</v>
      </c>
      <c r="C5552" s="2" t="s">
        <v>572</v>
      </c>
      <c r="D5552" s="2" t="str">
        <f t="shared" si="85"/>
        <v>Error?</v>
      </c>
    </row>
    <row r="5553" spans="1:4" x14ac:dyDescent="0.2">
      <c r="A5553" s="5">
        <v>5492</v>
      </c>
      <c r="B5553" s="138">
        <f>'Revenues 9-14'!F5</f>
        <v>714631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714631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604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604</v>
      </c>
      <c r="C5579" s="2" t="s">
        <v>572</v>
      </c>
      <c r="D5579" s="2" t="str">
        <f t="shared" si="86"/>
        <v>Error?</v>
      </c>
    </row>
    <row r="5580" spans="1:4" x14ac:dyDescent="0.2">
      <c r="A5580" s="5">
        <v>5519</v>
      </c>
      <c r="B5580" s="138">
        <f>'Revenues 9-14'!F65</f>
        <v>1922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1922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37446</v>
      </c>
      <c r="D5586" s="2" t="str">
        <f t="shared" si="86"/>
        <v>Error?</v>
      </c>
    </row>
    <row r="5587" spans="1:4" x14ac:dyDescent="0.2">
      <c r="A5587" s="5">
        <v>5526</v>
      </c>
      <c r="B5587" s="138">
        <f>'Revenues 9-14'!F108</f>
        <v>37446</v>
      </c>
      <c r="C5587" s="2" t="s">
        <v>572</v>
      </c>
      <c r="D5587" s="2" t="str">
        <f t="shared" si="86"/>
        <v>Error?</v>
      </c>
    </row>
    <row r="5588" spans="1:4" x14ac:dyDescent="0.2">
      <c r="A5588" s="5">
        <v>5527</v>
      </c>
      <c r="B5588" s="138">
        <f>'Revenues 9-14'!F109</f>
        <v>754603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419200</v>
      </c>
      <c r="D5615" s="2" t="str">
        <f t="shared" si="86"/>
        <v>Error?</v>
      </c>
    </row>
    <row r="5616" spans="1:4" x14ac:dyDescent="0.2">
      <c r="A5616" s="10">
        <v>5555</v>
      </c>
      <c r="D5616" s="2" t="str">
        <f t="shared" si="86"/>
        <v>OK</v>
      </c>
    </row>
    <row r="5617" spans="1:5" x14ac:dyDescent="0.2">
      <c r="A5617" s="5">
        <v>5556</v>
      </c>
      <c r="B5617" s="138">
        <f>'Revenues 9-14'!F153</f>
        <v>209811</v>
      </c>
      <c r="D5617" s="2" t="str">
        <f t="shared" si="86"/>
        <v>Error?</v>
      </c>
    </row>
    <row r="5618" spans="1:5" x14ac:dyDescent="0.2">
      <c r="A5618" s="5">
        <v>5557</v>
      </c>
      <c r="B5618" s="138">
        <f>'Revenues 9-14'!F155</f>
        <v>629011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829011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829011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1583614</v>
      </c>
      <c r="C5720" s="2" t="s">
        <v>572</v>
      </c>
      <c r="D5720" s="2" t="str">
        <f t="shared" si="88"/>
        <v>Error?</v>
      </c>
    </row>
    <row r="5721" spans="1:4" x14ac:dyDescent="0.2">
      <c r="A5721" s="5">
        <v>5660</v>
      </c>
      <c r="B5721" s="138">
        <f>'Revenues 9-14'!G5</f>
        <v>371196</v>
      </c>
      <c r="D5721" s="2" t="str">
        <f t="shared" si="88"/>
        <v>Error?</v>
      </c>
    </row>
    <row r="5722" spans="1:4" x14ac:dyDescent="0.2">
      <c r="A5722" s="5">
        <v>5661</v>
      </c>
      <c r="B5722" s="138">
        <f>'Revenues 9-14'!G7</f>
        <v>0</v>
      </c>
      <c r="D5722" s="2" t="str">
        <f t="shared" si="88"/>
        <v>Error?</v>
      </c>
    </row>
    <row r="5723" spans="1:4" x14ac:dyDescent="0.2">
      <c r="A5723" s="5">
        <v>5662</v>
      </c>
      <c r="B5723" s="138">
        <f>'Revenues 9-14'!G8</f>
        <v>371197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742393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47761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47761</v>
      </c>
      <c r="C5730" s="2" t="s">
        <v>572</v>
      </c>
      <c r="D5730" s="2" t="str">
        <f t="shared" si="88"/>
        <v>Error?</v>
      </c>
    </row>
    <row r="5731" spans="1:4" x14ac:dyDescent="0.2">
      <c r="A5731" s="5">
        <v>5670</v>
      </c>
      <c r="B5731" s="138">
        <f>'Revenues 9-14'!G65</f>
        <v>4224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4224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794378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472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472</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794378</v>
      </c>
      <c r="C6024" s="2" t="s">
        <v>572</v>
      </c>
      <c r="D6024" s="2" t="str">
        <f t="shared" si="93"/>
        <v>Error?</v>
      </c>
    </row>
    <row r="6025" spans="1:5" x14ac:dyDescent="0.2">
      <c r="A6025" s="5">
        <v>5964</v>
      </c>
      <c r="B6025" s="138">
        <f>'Revenues 9-14'!H109</f>
        <v>472</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372149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60735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1632.3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3700000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156184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156201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31085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3000000</v>
      </c>
      <c r="D6125" s="2" t="str">
        <f t="shared" si="94"/>
        <v>Error?</v>
      </c>
      <c r="E6125" s="2" t="s">
        <v>190</v>
      </c>
    </row>
    <row r="6126" spans="1:5" x14ac:dyDescent="0.2">
      <c r="A6126">
        <v>6065</v>
      </c>
      <c r="B6126" s="138">
        <f>'Assets-Liab 5-6'!D25</f>
        <v>700000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49658</v>
      </c>
      <c r="D6142" s="2" t="str">
        <f t="shared" si="94"/>
        <v>Error?</v>
      </c>
      <c r="E6142" s="2" t="s">
        <v>190</v>
      </c>
    </row>
    <row r="6143" spans="1:5" x14ac:dyDescent="0.2">
      <c r="A6143">
        <v>6082</v>
      </c>
      <c r="B6143" s="138">
        <f>'Assets-Liab 5-6'!D27</f>
        <v>45490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10887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1667015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31470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5421</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1286930</v>
      </c>
      <c r="D6267" s="2" t="str">
        <f t="shared" si="96"/>
        <v>Error?</v>
      </c>
      <c r="E6267" s="2" t="s">
        <v>190</v>
      </c>
    </row>
    <row r="6268" spans="1:5" x14ac:dyDescent="0.2">
      <c r="A6268">
        <v>6207</v>
      </c>
      <c r="B6268" s="138">
        <f>'Acct Summary 7-8'!D82</f>
        <v>153445</v>
      </c>
      <c r="D6268" s="2" t="str">
        <f t="shared" si="96"/>
        <v>Error?</v>
      </c>
      <c r="E6268" s="2" t="s">
        <v>190</v>
      </c>
    </row>
    <row r="6269" spans="1:5" x14ac:dyDescent="0.2">
      <c r="A6269">
        <v>6208</v>
      </c>
      <c r="B6269" s="138">
        <f>'Acct Summary 7-8'!E82</f>
        <v>35415</v>
      </c>
      <c r="D6269" s="2" t="str">
        <f t="shared" si="96"/>
        <v>Error?</v>
      </c>
      <c r="E6269" s="2" t="s">
        <v>190</v>
      </c>
    </row>
    <row r="6270" spans="1:5" x14ac:dyDescent="0.2">
      <c r="A6270">
        <v>6209</v>
      </c>
      <c r="B6270" s="138">
        <f>'Acct Summary 7-8'!F82</f>
        <v>65725</v>
      </c>
      <c r="D6270" s="2" t="str">
        <f t="shared" si="96"/>
        <v>Error?</v>
      </c>
      <c r="E6270" s="2" t="s">
        <v>190</v>
      </c>
    </row>
    <row r="6271" spans="1:5" x14ac:dyDescent="0.2">
      <c r="A6271">
        <v>6210</v>
      </c>
      <c r="B6271" s="138">
        <f>'Acct Summary 7-8'!G82</f>
        <v>36368</v>
      </c>
      <c r="D6271" s="2" t="str">
        <f t="shared" ref="D6271:D6334" si="97">IF(ISBLANK(B6271),"OK",IF(A6271-B6271=0,"OK","Error?"))</f>
        <v>Error?</v>
      </c>
      <c r="E6271" s="2" t="s">
        <v>190</v>
      </c>
    </row>
    <row r="6272" spans="1:5" x14ac:dyDescent="0.2">
      <c r="A6272">
        <v>6211</v>
      </c>
      <c r="B6272" s="138">
        <f>'Acct Summary 7-8'!H82</f>
        <v>-115884</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-1.5670762149458739</v>
      </c>
      <c r="D6276" s="2" t="str">
        <f t="shared" si="97"/>
        <v>Error?</v>
      </c>
      <c r="E6276" s="2" t="s">
        <v>190</v>
      </c>
    </row>
    <row r="6277" spans="1:5" x14ac:dyDescent="0.2">
      <c r="A6277">
        <v>6216</v>
      </c>
      <c r="B6277" s="138">
        <f>'Acct Summary 7-8'!D83</f>
        <v>-0.97156443116198965</v>
      </c>
      <c r="D6277" s="2" t="str">
        <f t="shared" si="97"/>
        <v>Error?</v>
      </c>
      <c r="E6277" s="2" t="s">
        <v>190</v>
      </c>
    </row>
    <row r="6278" spans="1:5" x14ac:dyDescent="0.2">
      <c r="A6278">
        <v>6217</v>
      </c>
      <c r="B6278" s="138">
        <f>'Acct Summary 7-8'!E83</f>
        <v>2.4087281452895303E-2</v>
      </c>
      <c r="D6278" s="2" t="str">
        <f t="shared" si="97"/>
        <v>Error?</v>
      </c>
      <c r="E6278" s="2" t="s">
        <v>190</v>
      </c>
    </row>
    <row r="6279" spans="1:5" x14ac:dyDescent="0.2">
      <c r="A6279">
        <v>6218</v>
      </c>
      <c r="B6279" s="138">
        <f>'Acct Summary 7-8'!F83</f>
        <v>0.11984296878703782</v>
      </c>
      <c r="D6279" s="2" t="str">
        <f t="shared" si="97"/>
        <v>Error?</v>
      </c>
      <c r="E6279" s="2" t="s">
        <v>190</v>
      </c>
    </row>
    <row r="6280" spans="1:5" x14ac:dyDescent="0.2">
      <c r="A6280">
        <v>6219</v>
      </c>
      <c r="B6280" s="138">
        <f>'Acct Summary 7-8'!G83</f>
        <v>0.29985571175330833</v>
      </c>
      <c r="D6280" s="2" t="str">
        <f t="shared" si="97"/>
        <v>Error?</v>
      </c>
      <c r="E6280" s="2" t="s">
        <v>190</v>
      </c>
    </row>
    <row r="6281" spans="1:5" x14ac:dyDescent="0.2">
      <c r="A6281">
        <v>6220</v>
      </c>
      <c r="B6281" s="138">
        <f>'Acct Summary 7-8'!H83</f>
        <v>-284.02941176470586</v>
      </c>
      <c r="D6281" s="2" t="str">
        <f t="shared" si="97"/>
        <v>Error?</v>
      </c>
      <c r="E6281" s="2" t="s">
        <v>190</v>
      </c>
    </row>
    <row r="6282" spans="1:5" x14ac:dyDescent="0.2">
      <c r="A6282">
        <v>6221</v>
      </c>
      <c r="B6282" s="138">
        <f>'Acct Summary 7-8'!I83</f>
        <v>0</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31470</v>
      </c>
      <c r="D6285" s="2" t="str">
        <f t="shared" si="97"/>
        <v>Error?</v>
      </c>
      <c r="E6285" s="2" t="s">
        <v>190</v>
      </c>
    </row>
    <row r="6286" spans="1:5" x14ac:dyDescent="0.2">
      <c r="A6286">
        <v>6225</v>
      </c>
      <c r="B6286" s="138">
        <f>'Acct Summary 7-8'!E38</f>
        <v>5421</v>
      </c>
      <c r="D6286" s="2" t="str">
        <f t="shared" si="97"/>
        <v>Error?</v>
      </c>
      <c r="E6286" s="2" t="s">
        <v>190</v>
      </c>
    </row>
    <row r="6287" spans="1:5" x14ac:dyDescent="0.2">
      <c r="A6287">
        <v>6226</v>
      </c>
      <c r="B6287" s="138">
        <f>'Acct Summary 7-8'!E39</f>
        <v>290000</v>
      </c>
      <c r="D6287" s="2" t="str">
        <f t="shared" si="97"/>
        <v>Error?</v>
      </c>
      <c r="E6287" s="2" t="s">
        <v>190</v>
      </c>
    </row>
    <row r="6288" spans="1:5" x14ac:dyDescent="0.2">
      <c r="A6288">
        <v>6227</v>
      </c>
      <c r="B6288" s="138">
        <f>'Acct Summary 7-8'!E40</f>
        <v>18100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24614</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16031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311067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385970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80181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133294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396477</v>
      </c>
      <c r="D6880" s="2" t="str">
        <f t="shared" si="106"/>
        <v>Error?</v>
      </c>
    </row>
    <row r="6881" spans="1:4" x14ac:dyDescent="0.2">
      <c r="A6881">
        <v>6820</v>
      </c>
      <c r="B6881" s="138">
        <f>'Expenditures 15-22'!K22</f>
        <v>396477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3028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3028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238888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238888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241916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443105</v>
      </c>
      <c r="D6983" s="2" t="str">
        <f t="shared" si="108"/>
        <v>Error?</v>
      </c>
    </row>
    <row r="6984" spans="1:4" x14ac:dyDescent="0.2">
      <c r="A6984">
        <v>6923</v>
      </c>
      <c r="B6984" s="138">
        <f>'Expenditures 15-22'!K86</f>
        <v>443105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128832</v>
      </c>
      <c r="D6987" s="2" t="str">
        <f t="shared" si="108"/>
        <v>Error?</v>
      </c>
    </row>
    <row r="6988" spans="1:4" x14ac:dyDescent="0.2">
      <c r="A6988">
        <v>6927</v>
      </c>
      <c r="B6988" s="138">
        <f>'Expenditures 15-22'!K88</f>
        <v>128832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571937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18100</v>
      </c>
      <c r="D7016" s="2" t="str">
        <f t="shared" si="108"/>
        <v>Error?</v>
      </c>
    </row>
    <row r="7017" spans="1:4" x14ac:dyDescent="0.2">
      <c r="A7017">
        <v>6956</v>
      </c>
      <c r="B7017" s="138">
        <f>'Expenditures 15-22'!K111</f>
        <v>18100</v>
      </c>
      <c r="D7017" s="2" t="str">
        <f t="shared" si="108"/>
        <v>Error?</v>
      </c>
    </row>
    <row r="7018" spans="1:4" x14ac:dyDescent="0.2">
      <c r="A7018">
        <v>6957</v>
      </c>
      <c r="B7018" s="138">
        <f>'Expenditures 15-22'!H112</f>
        <v>51983</v>
      </c>
      <c r="D7018" s="2" t="str">
        <f t="shared" si="108"/>
        <v>Error?</v>
      </c>
    </row>
    <row r="7019" spans="1:4" x14ac:dyDescent="0.2">
      <c r="A7019">
        <v>6958</v>
      </c>
      <c r="B7019" s="138">
        <f>'Expenditures 15-22'!K112</f>
        <v>51983</v>
      </c>
      <c r="D7019" s="2" t="str">
        <f t="shared" si="108"/>
        <v>Error?</v>
      </c>
    </row>
    <row r="7020" spans="1:4" x14ac:dyDescent="0.2">
      <c r="A7020">
        <v>6959</v>
      </c>
      <c r="B7020" s="138">
        <f>'Expenditures 15-22'!I114</f>
        <v>241916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71738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71738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71738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71738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1975</v>
      </c>
      <c r="D7067" s="2" t="str">
        <f t="shared" si="109"/>
        <v>Error?</v>
      </c>
    </row>
    <row r="7068" spans="1:4" x14ac:dyDescent="0.2">
      <c r="A7068">
        <v>7007</v>
      </c>
      <c r="B7068" s="138">
        <f>'Expenditures 15-22'!K205</f>
        <v>1975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4348</v>
      </c>
      <c r="D7075" s="2" t="str">
        <f t="shared" si="109"/>
        <v>Error?</v>
      </c>
    </row>
    <row r="7076" spans="1:4" x14ac:dyDescent="0.2">
      <c r="A7076">
        <v>7015</v>
      </c>
      <c r="B7076" s="138">
        <f>'Expenditures 15-22'!K218</f>
        <v>4348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912</v>
      </c>
      <c r="D7079" s="2" t="str">
        <f t="shared" si="109"/>
        <v>Error?</v>
      </c>
    </row>
    <row r="7080" spans="1:4" x14ac:dyDescent="0.2">
      <c r="A7080">
        <v>7019</v>
      </c>
      <c r="B7080" s="138">
        <f>'Expenditures 15-22'!K226</f>
        <v>912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66759</v>
      </c>
      <c r="D7246" s="2" t="str">
        <f t="shared" si="112"/>
        <v>Error?</v>
      </c>
    </row>
    <row r="7247" spans="1:4" x14ac:dyDescent="0.2">
      <c r="A7247">
        <f t="shared" si="113"/>
        <v>7186</v>
      </c>
      <c r="B7247" s="138">
        <f>'Expenditures 15-22'!E7</f>
        <v>2463</v>
      </c>
      <c r="D7247" s="2" t="str">
        <f t="shared" si="112"/>
        <v>Error?</v>
      </c>
    </row>
    <row r="7248" spans="1:4" x14ac:dyDescent="0.2">
      <c r="A7248">
        <f t="shared" si="113"/>
        <v>7187</v>
      </c>
      <c r="B7248" s="138">
        <f>'Expenditures 15-22'!F7</f>
        <v>5681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63466</v>
      </c>
      <c r="D7251" s="2" t="str">
        <f t="shared" si="112"/>
        <v>Error?</v>
      </c>
    </row>
    <row r="7252" spans="1:4" x14ac:dyDescent="0.2">
      <c r="A7252">
        <f t="shared" si="113"/>
        <v>7191</v>
      </c>
      <c r="B7252" s="138">
        <f>'Expenditures 15-22'!D9</f>
        <v>15544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1171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103366</v>
      </c>
      <c r="D7263" s="2" t="str">
        <f t="shared" si="112"/>
        <v>Error?</v>
      </c>
    </row>
    <row r="7264" spans="1:4" x14ac:dyDescent="0.2">
      <c r="A7264">
        <f t="shared" si="113"/>
        <v>7203</v>
      </c>
      <c r="B7264" s="138">
        <f>'Expenditures 15-22'!D17</f>
        <v>27806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2122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313654</v>
      </c>
      <c r="D7624" s="2" t="str">
        <f t="shared" si="124"/>
        <v>Error?</v>
      </c>
      <c r="E7624" s="2" t="s">
        <v>19</v>
      </c>
    </row>
    <row r="7625" spans="1:5" x14ac:dyDescent="0.2">
      <c r="A7625">
        <f t="shared" si="123"/>
        <v>7564</v>
      </c>
      <c r="B7625" s="138">
        <f>'Cap Outlay Deprec 26'!I17</f>
        <v>31365.4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1801390.4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290000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18100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16031</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29473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45504</v>
      </c>
      <c r="D7719" s="2" t="str">
        <f t="shared" si="126"/>
        <v>Error?</v>
      </c>
      <c r="E7719" s="2" t="s">
        <v>826</v>
      </c>
    </row>
    <row r="7720" spans="1:6" x14ac:dyDescent="0.2">
      <c r="A7720">
        <v>7659</v>
      </c>
      <c r="B7720" s="138">
        <f>'Rest Tax Levies-Tort Im 25'!H14</f>
        <v>229588</v>
      </c>
      <c r="D7720" s="2" t="str">
        <f t="shared" si="126"/>
        <v>Error?</v>
      </c>
      <c r="E7720" s="2" t="s">
        <v>826</v>
      </c>
    </row>
    <row r="7721" spans="1:6" x14ac:dyDescent="0.2">
      <c r="A7721">
        <v>7660</v>
      </c>
      <c r="B7721" s="138">
        <f>'Rest Tax Levies-Tort Im 25'!K14</f>
        <v>45504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184139.61</v>
      </c>
      <c r="D7759" s="2" t="str">
        <f t="shared" si="127"/>
        <v>Error?</v>
      </c>
      <c r="E7759" s="4" t="s">
        <v>1332</v>
      </c>
    </row>
    <row r="7760" spans="1:6" x14ac:dyDescent="0.2">
      <c r="A7760">
        <v>7699</v>
      </c>
      <c r="B7760" s="138">
        <f>'Aud Quest 2'!J90</f>
        <v>184139.61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0</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0" sqref="A10:F10"/>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56" t="s">
        <v>1190</v>
      </c>
      <c r="B2" s="2456"/>
      <c r="C2" s="2456"/>
      <c r="D2" s="2456"/>
      <c r="E2" s="2456"/>
      <c r="F2" s="2456"/>
      <c r="G2" s="2456"/>
      <c r="H2" s="2456"/>
      <c r="I2" s="2456"/>
      <c r="J2" s="2456"/>
      <c r="K2" s="2456"/>
      <c r="L2" s="2456"/>
    </row>
    <row r="3" spans="1:29" ht="13.5" customHeight="1" x14ac:dyDescent="0.2">
      <c r="A3" s="2487" t="s">
        <v>1189</v>
      </c>
      <c r="B3" s="2487"/>
      <c r="C3" s="2487"/>
      <c r="D3" s="2487"/>
      <c r="E3" s="2487"/>
      <c r="F3" s="2487"/>
      <c r="G3" s="2487"/>
      <c r="H3" s="2487"/>
      <c r="I3" s="2487"/>
      <c r="J3" s="2487"/>
      <c r="K3" s="2487"/>
      <c r="L3" s="2487"/>
    </row>
    <row r="4" spans="1:29" ht="13.5" customHeight="1" x14ac:dyDescent="0.2">
      <c r="A4" s="2456" t="s">
        <v>1986</v>
      </c>
      <c r="B4" s="2477"/>
      <c r="C4" s="2477"/>
      <c r="D4" s="2477"/>
      <c r="E4" s="2477"/>
      <c r="F4" s="2477"/>
      <c r="G4" s="2477"/>
      <c r="H4" s="2477"/>
      <c r="I4" s="2477"/>
      <c r="J4" s="2477"/>
      <c r="K4" s="2477"/>
      <c r="L4" s="2477"/>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16.5" customHeight="1" x14ac:dyDescent="0.2">
      <c r="A7" s="2478" t="str">
        <f>COVER!A17</f>
        <v>Johnsburg CUSD 12</v>
      </c>
      <c r="B7" s="2479"/>
      <c r="C7" s="2479"/>
      <c r="D7" s="2480"/>
      <c r="E7" s="2481">
        <f>COVER!A13</f>
        <v>44063012026</v>
      </c>
      <c r="F7" s="2482"/>
      <c r="G7" s="2488" t="str">
        <f>COVER!T23</f>
        <v>066-005142</v>
      </c>
      <c r="H7" s="2489"/>
      <c r="I7" s="2489"/>
      <c r="J7" s="2489"/>
      <c r="K7" s="2489"/>
      <c r="L7" s="2490"/>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491"/>
      <c r="B9" s="2492"/>
      <c r="C9" s="2492"/>
      <c r="D9" s="2492"/>
      <c r="E9" s="2492"/>
      <c r="F9" s="2493"/>
      <c r="G9" s="2462" t="str">
        <f>COVER!T13</f>
        <v>EDER, CASELLA &amp; CO.</v>
      </c>
      <c r="H9" s="2494"/>
      <c r="I9" s="2494"/>
      <c r="J9" s="2494"/>
      <c r="K9" s="2494"/>
      <c r="L9" s="2495"/>
    </row>
    <row r="10" spans="1:29" ht="13.5" customHeight="1" x14ac:dyDescent="0.2">
      <c r="A10" s="2468">
        <f>COVER!A38</f>
        <v>0</v>
      </c>
      <c r="B10" s="2469"/>
      <c r="C10" s="2469"/>
      <c r="D10" s="2469"/>
      <c r="E10" s="2469"/>
      <c r="F10" s="2470"/>
      <c r="G10" s="2462" t="str">
        <f>COVER!T17</f>
        <v>5400 WEST ELM STREET, SUITE 203</v>
      </c>
      <c r="H10" s="2463"/>
      <c r="I10" s="2463"/>
      <c r="J10" s="2463"/>
      <c r="K10" s="2463"/>
      <c r="L10" s="2464"/>
    </row>
    <row r="11" spans="1:29" ht="13.5" customHeight="1" x14ac:dyDescent="0.2">
      <c r="A11" s="1157" t="s">
        <v>1518</v>
      </c>
      <c r="B11" s="1158"/>
      <c r="C11" s="1159"/>
      <c r="D11" s="1164"/>
      <c r="E11" s="1159"/>
      <c r="F11" s="1163"/>
      <c r="G11" s="2462" t="str">
        <f>COVER!T19</f>
        <v>MCHENRY</v>
      </c>
      <c r="H11" s="2463"/>
      <c r="I11" s="2463"/>
      <c r="J11" s="2463"/>
      <c r="K11" s="2463"/>
      <c r="L11" s="2464"/>
    </row>
    <row r="12" spans="1:29" ht="13.5" customHeight="1" x14ac:dyDescent="0.2">
      <c r="A12" s="2471" t="s">
        <v>1517</v>
      </c>
      <c r="B12" s="2472"/>
      <c r="C12" s="2472"/>
      <c r="D12" s="2472"/>
      <c r="E12" s="2472"/>
      <c r="F12" s="2473"/>
      <c r="G12" s="2465"/>
      <c r="H12" s="2466"/>
      <c r="I12" s="2466"/>
      <c r="J12" s="2466"/>
      <c r="K12" s="2466"/>
      <c r="L12" s="2467"/>
    </row>
    <row r="13" spans="1:29" ht="13.5" customHeight="1" x14ac:dyDescent="0.2">
      <c r="A13" s="2462"/>
      <c r="B13" s="2463"/>
      <c r="C13" s="2463"/>
      <c r="D13" s="2463"/>
      <c r="E13" s="2463"/>
      <c r="F13" s="2464"/>
      <c r="G13" s="2457" t="s">
        <v>1519</v>
      </c>
      <c r="H13" s="2458"/>
      <c r="I13" s="2474" t="str">
        <f>COVER!T25</f>
        <v>CPAS@EDERCASELLA.COM</v>
      </c>
      <c r="J13" s="2475"/>
      <c r="K13" s="2475"/>
      <c r="L13" s="2476"/>
    </row>
    <row r="14" spans="1:29" ht="13.5" customHeight="1" x14ac:dyDescent="0.2">
      <c r="A14" s="2462" t="str">
        <f>COVER!A19</f>
        <v>2222 West Church Street</v>
      </c>
      <c r="B14" s="2463"/>
      <c r="C14" s="2463"/>
      <c r="D14" s="2463"/>
      <c r="E14" s="2463"/>
      <c r="F14" s="2464"/>
      <c r="G14" s="1168" t="s">
        <v>1184</v>
      </c>
      <c r="H14" s="1166"/>
      <c r="I14" s="1166"/>
      <c r="J14" s="1166"/>
      <c r="K14" s="1166"/>
      <c r="L14" s="1167"/>
    </row>
    <row r="15" spans="1:29" ht="13.5" customHeight="1" x14ac:dyDescent="0.2">
      <c r="A15" s="2462" t="str">
        <f>COVER!A21</f>
        <v>Johnsburg</v>
      </c>
      <c r="B15" s="2463"/>
      <c r="C15" s="2463"/>
      <c r="D15" s="2463"/>
      <c r="E15" s="2463"/>
      <c r="F15" s="2464"/>
      <c r="G15" s="2459" t="str">
        <f>COVER!T15</f>
        <v>CHERYDEN JUERGENSEN</v>
      </c>
      <c r="H15" s="2460"/>
      <c r="I15" s="2460"/>
      <c r="J15" s="2460"/>
      <c r="K15" s="2460"/>
      <c r="L15" s="2461"/>
    </row>
    <row r="16" spans="1:29" ht="12.2" customHeight="1" x14ac:dyDescent="0.2">
      <c r="A16" s="2484">
        <f>COVER!A25</f>
        <v>60051</v>
      </c>
      <c r="B16" s="2485"/>
      <c r="C16" s="2485"/>
      <c r="D16" s="2485"/>
      <c r="E16" s="2485"/>
      <c r="F16" s="2486"/>
      <c r="G16" s="2496"/>
      <c r="H16" s="2497"/>
      <c r="I16" s="2497"/>
      <c r="J16" s="2497"/>
      <c r="K16" s="2497"/>
      <c r="L16" s="2498"/>
    </row>
    <row r="17" spans="1:13" ht="12.2" customHeight="1" x14ac:dyDescent="0.2">
      <c r="A17" s="2499"/>
      <c r="B17" s="2485"/>
      <c r="C17" s="2485"/>
      <c r="D17" s="2485"/>
      <c r="E17" s="2485"/>
      <c r="F17" s="2486"/>
      <c r="G17" s="1168" t="s">
        <v>1183</v>
      </c>
      <c r="H17" s="1166"/>
      <c r="I17" s="1166"/>
      <c r="J17" s="1166"/>
      <c r="K17" s="1170" t="s">
        <v>1182</v>
      </c>
      <c r="L17" s="1163"/>
      <c r="M17" s="1156"/>
    </row>
    <row r="18" spans="1:13" ht="12.2" customHeight="1" x14ac:dyDescent="0.2">
      <c r="A18" s="2468"/>
      <c r="B18" s="2469"/>
      <c r="C18" s="2469"/>
      <c r="D18" s="2469"/>
      <c r="E18" s="2469"/>
      <c r="F18" s="2470"/>
      <c r="G18" s="2478" t="str">
        <f>COVER!T21</f>
        <v>815-344-1300</v>
      </c>
      <c r="H18" s="2479"/>
      <c r="I18" s="2479"/>
      <c r="J18" s="2479"/>
      <c r="K18" s="2478" t="str">
        <f>COVER!X21</f>
        <v>815-344-1320</v>
      </c>
      <c r="L18" s="2483"/>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1697</v>
      </c>
    </row>
    <row r="22" spans="1:13" ht="12.2" customHeight="1" x14ac:dyDescent="0.2">
      <c r="A22" s="1173"/>
    </row>
    <row r="23" spans="1:13" ht="12.2" customHeight="1" x14ac:dyDescent="0.2">
      <c r="A23" s="1173"/>
      <c r="B23" s="1174"/>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c r="C26" s="1175" t="s">
        <v>1698</v>
      </c>
    </row>
    <row r="27" spans="1:13" s="1171" customFormat="1" ht="9" customHeight="1" x14ac:dyDescent="0.2">
      <c r="B27" s="1176"/>
      <c r="C27" s="1175"/>
    </row>
    <row r="28" spans="1:13" s="1171" customFormat="1" ht="12.2" customHeight="1" x14ac:dyDescent="0.2">
      <c r="A28" s="1178"/>
      <c r="B28" s="1174"/>
      <c r="C28" s="1175" t="s">
        <v>1699</v>
      </c>
    </row>
    <row r="29" spans="1:13" s="1171" customFormat="1" ht="9" customHeight="1" x14ac:dyDescent="0.2">
      <c r="A29" s="1178"/>
      <c r="B29" s="1176"/>
      <c r="C29" s="1175"/>
    </row>
    <row r="30" spans="1:13" s="1171" customFormat="1" ht="12.2" customHeight="1" x14ac:dyDescent="0.2">
      <c r="B30" s="1174"/>
      <c r="C30" s="1175" t="s">
        <v>1561</v>
      </c>
      <c r="D30" s="1169"/>
      <c r="E30" s="1169"/>
    </row>
    <row r="31" spans="1:13" s="1171" customFormat="1" ht="9" customHeight="1" x14ac:dyDescent="0.2">
      <c r="B31" s="1176"/>
      <c r="C31" s="1175"/>
      <c r="D31" s="1169"/>
      <c r="E31" s="1169"/>
    </row>
    <row r="32" spans="1:13" s="1171" customFormat="1" ht="12.2" customHeight="1" x14ac:dyDescent="0.2">
      <c r="B32" s="1174"/>
      <c r="C32" s="1175" t="s">
        <v>1562</v>
      </c>
      <c r="D32" s="1169"/>
      <c r="E32" s="1169"/>
    </row>
    <row r="33" spans="1:8" s="1171" customFormat="1" ht="10.9" customHeight="1" x14ac:dyDescent="0.2">
      <c r="B33" s="1176"/>
      <c r="C33" s="1179" t="s">
        <v>1700</v>
      </c>
      <c r="D33" s="1169"/>
      <c r="E33" s="1169"/>
    </row>
    <row r="34" spans="1:8" ht="9" customHeight="1" x14ac:dyDescent="0.2">
      <c r="B34" s="1176"/>
      <c r="C34" s="1179"/>
    </row>
    <row r="35" spans="1:8" s="1171" customFormat="1" ht="13.5" customHeight="1" x14ac:dyDescent="0.2">
      <c r="B35" s="1174"/>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c r="C38" s="1175" t="s">
        <v>1565</v>
      </c>
    </row>
    <row r="39" spans="1:8" ht="9" customHeight="1" x14ac:dyDescent="0.2">
      <c r="B39" s="1176"/>
      <c r="C39" s="1179"/>
    </row>
    <row r="40" spans="1:8" s="1171" customFormat="1" ht="13.5" customHeight="1" x14ac:dyDescent="0.2">
      <c r="B40" s="1174"/>
      <c r="C40" s="1175" t="s">
        <v>1566</v>
      </c>
    </row>
    <row r="41" spans="1:8" ht="9" customHeight="1" x14ac:dyDescent="0.2">
      <c r="A41" s="1180"/>
      <c r="B41" s="1176"/>
      <c r="C41" s="1179"/>
    </row>
    <row r="42" spans="1:8" s="1171" customFormat="1" ht="13.5" customHeight="1" x14ac:dyDescent="0.2">
      <c r="B42" s="1174"/>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909"/>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00" t="str">
        <f>'Single Audit Cover'!A7</f>
        <v>Johnsburg CUSD 12</v>
      </c>
      <c r="B1" s="2477"/>
      <c r="C1" s="2477"/>
      <c r="D1" s="2477"/>
    </row>
    <row r="2" spans="1:11" s="1185" customFormat="1" ht="12.75" x14ac:dyDescent="0.2">
      <c r="A2" s="2501">
        <f>'Single Audit Cover'!E7</f>
        <v>44063012026</v>
      </c>
      <c r="B2" s="2502"/>
      <c r="C2" s="2502"/>
      <c r="D2" s="2502"/>
    </row>
    <row r="3" spans="1:11" s="1185" customFormat="1" ht="12.75" x14ac:dyDescent="0.2">
      <c r="A3" s="2500" t="s">
        <v>1512</v>
      </c>
      <c r="B3" s="2477"/>
      <c r="C3" s="2477"/>
      <c r="D3" s="2477"/>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195"/>
      <c r="C11" s="1196">
        <v>1</v>
      </c>
      <c r="D11" s="1197" t="s">
        <v>1701</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1702</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1703</v>
      </c>
      <c r="E15" s="1198"/>
      <c r="F15" s="1198"/>
      <c r="G15" s="1198"/>
      <c r="H15" s="1198"/>
      <c r="I15" s="1198"/>
      <c r="J15" s="1198"/>
      <c r="K15" s="1198"/>
    </row>
    <row r="16" spans="1:11" ht="10.5" customHeight="1" x14ac:dyDescent="0.2">
      <c r="B16" s="1201"/>
      <c r="D16" s="1200" t="s">
        <v>1222</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1704</v>
      </c>
      <c r="E18" s="1198"/>
      <c r="F18" s="1198"/>
      <c r="G18" s="1198"/>
      <c r="H18" s="1198"/>
      <c r="I18" s="1198"/>
      <c r="J18" s="1198"/>
      <c r="K18" s="1198"/>
    </row>
    <row r="19" spans="1:11" ht="9.75" customHeight="1" x14ac:dyDescent="0.2">
      <c r="A19" s="1192"/>
      <c r="B19" s="1201"/>
      <c r="D19" s="1200" t="s">
        <v>1221</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1220</v>
      </c>
      <c r="E21" s="1198"/>
      <c r="F21" s="1198"/>
      <c r="G21" s="1198"/>
      <c r="H21" s="1198"/>
      <c r="I21" s="1198"/>
      <c r="J21" s="1198"/>
      <c r="K21" s="1198"/>
    </row>
    <row r="22" spans="1:11" ht="10.5" customHeight="1" x14ac:dyDescent="0.2">
      <c r="A22" s="1192"/>
      <c r="B22" s="1201"/>
      <c r="D22" s="1200" t="s">
        <v>1219</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1725</v>
      </c>
      <c r="E24" s="1198"/>
      <c r="F24" s="1198"/>
      <c r="G24" s="1198"/>
      <c r="H24" s="1198"/>
      <c r="I24" s="1198"/>
      <c r="J24" s="1198"/>
      <c r="K24" s="1198"/>
    </row>
    <row r="25" spans="1:11" x14ac:dyDescent="0.2">
      <c r="A25" s="1192"/>
      <c r="B25" s="1201"/>
      <c r="D25" s="1200" t="s">
        <v>1705</v>
      </c>
      <c r="E25" s="1198"/>
      <c r="F25" s="1198"/>
      <c r="G25" s="1198"/>
      <c r="H25" s="1198"/>
      <c r="I25" s="1198"/>
      <c r="J25" s="1198"/>
      <c r="K25" s="1198"/>
    </row>
    <row r="26" spans="1:11" x14ac:dyDescent="0.2">
      <c r="A26" s="1192"/>
      <c r="B26" s="1201"/>
      <c r="D26" s="1205" t="s">
        <v>1706</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1569</v>
      </c>
      <c r="E28" s="1198"/>
      <c r="F28" s="1198"/>
      <c r="G28" s="1198"/>
      <c r="H28" s="1198"/>
      <c r="I28" s="1198"/>
      <c r="J28" s="1198"/>
      <c r="K28" s="1198"/>
    </row>
    <row r="29" spans="1:11" ht="10.5" customHeight="1" x14ac:dyDescent="0.2">
      <c r="A29" s="1192"/>
      <c r="D29" s="1206"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195"/>
      <c r="C33" s="1196">
        <v>8</v>
      </c>
      <c r="D33" s="1207" t="s">
        <v>1217</v>
      </c>
    </row>
    <row r="34" spans="1:5" ht="10.5" customHeight="1" x14ac:dyDescent="0.2">
      <c r="A34" s="1192"/>
      <c r="B34" s="1208"/>
      <c r="C34" s="1196"/>
      <c r="D34" s="1207" t="s">
        <v>1571</v>
      </c>
    </row>
    <row r="35" spans="1:5" ht="3" customHeight="1" x14ac:dyDescent="0.2">
      <c r="A35" s="1192"/>
      <c r="B35" s="1201"/>
      <c r="D35" s="1191"/>
    </row>
    <row r="36" spans="1:5" x14ac:dyDescent="0.2">
      <c r="A36" s="1192"/>
      <c r="B36" s="1195"/>
      <c r="C36" s="1196">
        <f>C33+1</f>
        <v>9</v>
      </c>
      <c r="D36" s="1207" t="s">
        <v>1216</v>
      </c>
    </row>
    <row r="37" spans="1:5" ht="10.5" customHeight="1" x14ac:dyDescent="0.2">
      <c r="A37" s="1192"/>
      <c r="B37" s="1201"/>
      <c r="D37" s="1207" t="s">
        <v>1571</v>
      </c>
    </row>
    <row r="38" spans="1:5" ht="3" customHeight="1" x14ac:dyDescent="0.2">
      <c r="A38" s="1192"/>
      <c r="B38" s="1209"/>
      <c r="C38" s="1210"/>
      <c r="D38" s="1191"/>
    </row>
    <row r="39" spans="1:5" x14ac:dyDescent="0.2">
      <c r="A39" s="1192"/>
      <c r="B39" s="1211"/>
      <c r="C39" s="1202">
        <f>C36+1</f>
        <v>10</v>
      </c>
      <c r="D39" s="1191" t="s">
        <v>1215</v>
      </c>
    </row>
    <row r="40" spans="1:5" ht="10.5" customHeight="1" x14ac:dyDescent="0.2">
      <c r="A40" s="1192"/>
      <c r="B40" s="1212"/>
      <c r="C40" s="1210"/>
      <c r="D40" s="1191" t="s">
        <v>1572</v>
      </c>
    </row>
    <row r="41" spans="1:5" ht="3" customHeight="1" x14ac:dyDescent="0.2">
      <c r="A41" s="1192"/>
      <c r="B41" s="1209"/>
      <c r="C41" s="1210"/>
      <c r="D41" s="1191"/>
    </row>
    <row r="42" spans="1:5" ht="10.5" customHeight="1" x14ac:dyDescent="0.2">
      <c r="A42" s="1192"/>
      <c r="B42" s="1211"/>
      <c r="C42" s="1202">
        <v>11</v>
      </c>
      <c r="D42" s="1213" t="s">
        <v>1573</v>
      </c>
      <c r="E42" s="312"/>
    </row>
    <row r="43" spans="1:5" ht="3" customHeight="1" x14ac:dyDescent="0.2">
      <c r="A43" s="1192"/>
      <c r="B43" s="1209"/>
      <c r="C43" s="1210"/>
      <c r="D43" s="1191"/>
    </row>
    <row r="44" spans="1:5" x14ac:dyDescent="0.2">
      <c r="A44" s="1192"/>
      <c r="B44" s="1195"/>
      <c r="C44" s="1196">
        <f>C42+1</f>
        <v>12</v>
      </c>
      <c r="D44" s="1207" t="s">
        <v>1214</v>
      </c>
    </row>
    <row r="45" spans="1:5" ht="10.5" customHeight="1" x14ac:dyDescent="0.2">
      <c r="A45" s="1192"/>
      <c r="B45" s="1208"/>
      <c r="C45" s="1196"/>
      <c r="D45" s="1207" t="s">
        <v>1213</v>
      </c>
    </row>
    <row r="46" spans="1:5" ht="10.5" customHeight="1" x14ac:dyDescent="0.2">
      <c r="A46" s="1192"/>
      <c r="B46" s="1209"/>
      <c r="C46" s="1210"/>
      <c r="D46" s="1207" t="s">
        <v>1212</v>
      </c>
    </row>
    <row r="47" spans="1:5" ht="3" customHeight="1" x14ac:dyDescent="0.2">
      <c r="A47" s="1192"/>
      <c r="B47" s="1209"/>
      <c r="C47" s="1210"/>
      <c r="D47" s="1207"/>
    </row>
    <row r="48" spans="1:5" x14ac:dyDescent="0.2">
      <c r="A48" s="1192"/>
      <c r="B48" s="1195"/>
      <c r="C48" s="1196">
        <f>C44+1</f>
        <v>13</v>
      </c>
      <c r="D48" s="1207" t="s">
        <v>1574</v>
      </c>
    </row>
    <row r="49" spans="1:4" ht="3" customHeight="1" x14ac:dyDescent="0.2">
      <c r="A49" s="1192"/>
      <c r="B49" s="1199"/>
      <c r="C49" s="1196"/>
      <c r="D49" s="1207"/>
    </row>
    <row r="50" spans="1:4" x14ac:dyDescent="0.2">
      <c r="A50" s="1192"/>
      <c r="B50" s="1195"/>
      <c r="C50" s="1196">
        <f>C48+1</f>
        <v>14</v>
      </c>
      <c r="D50" s="1207" t="s">
        <v>1211</v>
      </c>
    </row>
    <row r="51" spans="1:4" ht="3" customHeight="1" x14ac:dyDescent="0.2">
      <c r="A51" s="1192"/>
      <c r="B51" s="1199"/>
      <c r="C51" s="1196"/>
      <c r="D51" s="1207"/>
    </row>
    <row r="52" spans="1:4" x14ac:dyDescent="0.2">
      <c r="A52" s="1192"/>
      <c r="B52" s="1195"/>
      <c r="C52" s="1196">
        <f>C50+1</f>
        <v>15</v>
      </c>
      <c r="D52" s="1207" t="s">
        <v>1210</v>
      </c>
    </row>
    <row r="53" spans="1:4" ht="3" customHeight="1" x14ac:dyDescent="0.2">
      <c r="A53" s="1192"/>
      <c r="B53" s="1199"/>
      <c r="C53" s="1196"/>
      <c r="D53" s="1207"/>
    </row>
    <row r="54" spans="1:4" x14ac:dyDescent="0.2">
      <c r="A54" s="1192"/>
      <c r="B54" s="1195"/>
      <c r="C54" s="1196">
        <f>C52+1</f>
        <v>16</v>
      </c>
      <c r="D54" s="1207" t="s">
        <v>1209</v>
      </c>
    </row>
    <row r="55" spans="1:4" ht="3" customHeight="1" x14ac:dyDescent="0.2">
      <c r="A55" s="1192"/>
      <c r="B55" s="1199"/>
      <c r="C55" s="1196"/>
      <c r="D55" s="1207"/>
    </row>
    <row r="56" spans="1:4" x14ac:dyDescent="0.2">
      <c r="A56" s="1192"/>
      <c r="B56" s="1195"/>
      <c r="C56" s="1196">
        <f>C54+1</f>
        <v>17</v>
      </c>
      <c r="D56" s="1191" t="s">
        <v>1707</v>
      </c>
    </row>
    <row r="57" spans="1:4" ht="10.5" customHeight="1" x14ac:dyDescent="0.2">
      <c r="A57" s="1192"/>
      <c r="D57" s="1207" t="s">
        <v>1708</v>
      </c>
    </row>
    <row r="58" spans="1:4" x14ac:dyDescent="0.2">
      <c r="A58" s="1192"/>
      <c r="C58" s="1214"/>
      <c r="D58" s="1207" t="s">
        <v>1709</v>
      </c>
    </row>
    <row r="59" spans="1:4" ht="10.5" customHeight="1" x14ac:dyDescent="0.2">
      <c r="A59" s="1192"/>
      <c r="D59" s="1191" t="s">
        <v>1208</v>
      </c>
    </row>
    <row r="60" spans="1:4" ht="10.5" customHeight="1" x14ac:dyDescent="0.2">
      <c r="A60" s="1192"/>
      <c r="D60" s="1215" t="s">
        <v>1598</v>
      </c>
    </row>
    <row r="61" spans="1:4" ht="10.5" customHeight="1" x14ac:dyDescent="0.2">
      <c r="A61" s="1192"/>
      <c r="C61" s="1214"/>
      <c r="D61" s="1207" t="s">
        <v>1710</v>
      </c>
    </row>
    <row r="62" spans="1:4" ht="10.5" customHeight="1" x14ac:dyDescent="0.2">
      <c r="A62" s="1192"/>
      <c r="D62" s="1216" t="s">
        <v>1207</v>
      </c>
    </row>
    <row r="63" spans="1:4" ht="10.5" customHeight="1" x14ac:dyDescent="0.2">
      <c r="A63" s="1192"/>
      <c r="D63" s="1191" t="s">
        <v>1575</v>
      </c>
    </row>
    <row r="64" spans="1:4" ht="10.5" customHeight="1" x14ac:dyDescent="0.2">
      <c r="A64" s="1192"/>
      <c r="D64" s="1215" t="s">
        <v>1597</v>
      </c>
    </row>
    <row r="65" spans="1:4" x14ac:dyDescent="0.2">
      <c r="A65" s="1192"/>
      <c r="C65" s="1214"/>
      <c r="D65" s="1207" t="s">
        <v>1711</v>
      </c>
    </row>
    <row r="66" spans="1:4" ht="10.5" customHeight="1" x14ac:dyDescent="0.2">
      <c r="A66" s="1192"/>
      <c r="D66" s="1217" t="s">
        <v>1206</v>
      </c>
    </row>
    <row r="67" spans="1:4" ht="10.5" customHeight="1" x14ac:dyDescent="0.2">
      <c r="A67" s="1192"/>
      <c r="D67" s="1191" t="s">
        <v>1576</v>
      </c>
    </row>
    <row r="68" spans="1:4" ht="10.5" customHeight="1" x14ac:dyDescent="0.2">
      <c r="A68" s="1192"/>
      <c r="D68" s="1215" t="s">
        <v>1597</v>
      </c>
    </row>
    <row r="69" spans="1:4" ht="10.5" customHeight="1" x14ac:dyDescent="0.2">
      <c r="A69" s="1192"/>
      <c r="C69" s="1214"/>
      <c r="D69" s="1207" t="s">
        <v>1712</v>
      </c>
    </row>
    <row r="70" spans="1:4" x14ac:dyDescent="0.2">
      <c r="A70" s="1192"/>
      <c r="D70" s="1216" t="s">
        <v>1205</v>
      </c>
    </row>
    <row r="71" spans="1:4" ht="3" customHeight="1" x14ac:dyDescent="0.2">
      <c r="A71" s="1192"/>
      <c r="D71" s="1191"/>
    </row>
    <row r="72" spans="1:4" x14ac:dyDescent="0.2">
      <c r="A72" s="1192"/>
      <c r="B72" s="1195"/>
      <c r="C72" s="1196">
        <f>C56+1</f>
        <v>18</v>
      </c>
      <c r="D72" s="1217" t="s">
        <v>1713</v>
      </c>
    </row>
    <row r="73" spans="1:4" ht="3" customHeight="1" x14ac:dyDescent="0.2">
      <c r="A73" s="1192"/>
      <c r="B73" s="1199"/>
      <c r="C73" s="1196"/>
      <c r="D73" s="1217"/>
    </row>
    <row r="74" spans="1:4" x14ac:dyDescent="0.2">
      <c r="A74" s="1192"/>
      <c r="B74" s="1195"/>
      <c r="C74" s="1196">
        <f>C72+1</f>
        <v>19</v>
      </c>
      <c r="D74" s="1207" t="s">
        <v>1204</v>
      </c>
    </row>
    <row r="75" spans="1:4" ht="3" customHeight="1" x14ac:dyDescent="0.2">
      <c r="A75" s="1192"/>
      <c r="B75" s="1199"/>
      <c r="C75" s="1196"/>
      <c r="D75" s="1207"/>
    </row>
    <row r="76" spans="1:4" x14ac:dyDescent="0.2">
      <c r="A76" s="1192"/>
      <c r="B76" s="1195"/>
      <c r="C76" s="1196">
        <f>C74+1</f>
        <v>20</v>
      </c>
      <c r="D76" s="1218" t="s">
        <v>1714</v>
      </c>
    </row>
    <row r="77" spans="1:4" ht="3" customHeight="1" x14ac:dyDescent="0.2">
      <c r="A77" s="1192"/>
      <c r="B77" s="1199"/>
      <c r="C77" s="1196"/>
      <c r="D77" s="1218"/>
    </row>
    <row r="78" spans="1:4" x14ac:dyDescent="0.2">
      <c r="A78" s="1192"/>
      <c r="B78" s="1195"/>
      <c r="C78" s="1196">
        <f>C76+1</f>
        <v>21</v>
      </c>
      <c r="D78" s="1191" t="s">
        <v>1715</v>
      </c>
    </row>
    <row r="79" spans="1:4" ht="3" customHeight="1" x14ac:dyDescent="0.2">
      <c r="A79" s="1192"/>
      <c r="B79" s="1199"/>
      <c r="C79" s="1196"/>
      <c r="D79" s="1191"/>
    </row>
    <row r="80" spans="1:4" x14ac:dyDescent="0.2">
      <c r="A80" s="1192"/>
      <c r="B80" s="1195"/>
      <c r="C80" s="1196">
        <f>C78+1</f>
        <v>22</v>
      </c>
      <c r="D80" s="1219" t="s">
        <v>1716</v>
      </c>
    </row>
    <row r="81" spans="1:4" ht="3" customHeight="1" x14ac:dyDescent="0.2">
      <c r="A81" s="1192"/>
      <c r="B81" s="1199"/>
      <c r="C81" s="1196"/>
      <c r="D81" s="1219"/>
    </row>
    <row r="82" spans="1:4" x14ac:dyDescent="0.2">
      <c r="A82" s="1192"/>
      <c r="B82" s="1195"/>
      <c r="C82" s="1196">
        <f>C80+1</f>
        <v>23</v>
      </c>
      <c r="D82" s="1218" t="s">
        <v>1717</v>
      </c>
    </row>
    <row r="83" spans="1:4" ht="10.5" customHeight="1" x14ac:dyDescent="0.2">
      <c r="A83" s="1192"/>
      <c r="B83" s="1201"/>
      <c r="D83" s="1207" t="s">
        <v>1203</v>
      </c>
    </row>
    <row r="84" spans="1:4" ht="3" customHeight="1" x14ac:dyDescent="0.2">
      <c r="A84" s="1192"/>
      <c r="B84" s="1201"/>
      <c r="D84" s="1207"/>
    </row>
    <row r="85" spans="1:4" x14ac:dyDescent="0.2">
      <c r="A85" s="1192"/>
      <c r="B85" s="1195"/>
      <c r="C85" s="1196">
        <f>C82+1</f>
        <v>24</v>
      </c>
      <c r="D85" s="1207" t="s">
        <v>1202</v>
      </c>
    </row>
    <row r="86" spans="1:4" ht="3" customHeight="1" x14ac:dyDescent="0.2">
      <c r="A86" s="1192"/>
      <c r="B86" s="1199"/>
      <c r="C86" s="1196"/>
      <c r="D86" s="1207"/>
    </row>
    <row r="87" spans="1:4" x14ac:dyDescent="0.2">
      <c r="A87" s="1192"/>
      <c r="B87" s="1195"/>
      <c r="C87" s="1196">
        <f>C85+1</f>
        <v>25</v>
      </c>
      <c r="D87" s="1207" t="s">
        <v>1201</v>
      </c>
    </row>
    <row r="88" spans="1:4" ht="3" customHeight="1" x14ac:dyDescent="0.2">
      <c r="A88" s="1192"/>
      <c r="B88" s="1199"/>
      <c r="C88" s="1196"/>
      <c r="D88" s="1207"/>
    </row>
    <row r="89" spans="1:4" x14ac:dyDescent="0.2">
      <c r="A89" s="1192"/>
      <c r="B89" s="1195"/>
      <c r="C89" s="1196">
        <f>C87+1</f>
        <v>26</v>
      </c>
      <c r="D89" s="1207" t="s">
        <v>1200</v>
      </c>
    </row>
    <row r="90" spans="1:4" ht="3" customHeight="1" x14ac:dyDescent="0.2">
      <c r="A90" s="1192"/>
      <c r="B90" s="1199"/>
      <c r="C90" s="1196"/>
      <c r="D90" s="1207"/>
    </row>
    <row r="91" spans="1:4" x14ac:dyDescent="0.2">
      <c r="A91" s="1192"/>
      <c r="B91" s="1195"/>
      <c r="C91" s="1196">
        <f>C89+1</f>
        <v>27</v>
      </c>
      <c r="D91" s="1207" t="s">
        <v>1718</v>
      </c>
    </row>
    <row r="92" spans="1:4" x14ac:dyDescent="0.2">
      <c r="A92" s="1192"/>
      <c r="B92" s="1220"/>
      <c r="C92" s="1214"/>
      <c r="D92" s="1207"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195"/>
      <c r="C96" s="1196">
        <f>C91+1</f>
        <v>28</v>
      </c>
      <c r="D96" s="1207" t="s">
        <v>1719</v>
      </c>
    </row>
    <row r="97" spans="1:4" ht="3" customHeight="1" x14ac:dyDescent="0.2">
      <c r="A97" s="1192"/>
      <c r="B97" s="1199"/>
      <c r="C97" s="1196"/>
      <c r="D97" s="1207"/>
    </row>
    <row r="98" spans="1:4" x14ac:dyDescent="0.2">
      <c r="A98" s="1192"/>
      <c r="B98" s="1195"/>
      <c r="C98" s="1196">
        <f>C96+1</f>
        <v>29</v>
      </c>
      <c r="D98" s="1221" t="s">
        <v>1720</v>
      </c>
    </row>
    <row r="99" spans="1:4" ht="3" customHeight="1" x14ac:dyDescent="0.2">
      <c r="A99" s="1192"/>
      <c r="B99" s="1199"/>
      <c r="C99" s="1196"/>
      <c r="D99" s="1221"/>
    </row>
    <row r="100" spans="1:4" x14ac:dyDescent="0.2">
      <c r="A100" s="1192"/>
      <c r="B100" s="1195"/>
      <c r="C100" s="1196">
        <f>C98+1</f>
        <v>30</v>
      </c>
      <c r="D100" s="1207" t="s">
        <v>1721</v>
      </c>
    </row>
    <row r="101" spans="1:4" ht="3" customHeight="1" x14ac:dyDescent="0.2">
      <c r="A101" s="1192"/>
      <c r="B101" s="1199"/>
      <c r="C101" s="1196"/>
      <c r="D101" s="1222"/>
    </row>
    <row r="102" spans="1:4" x14ac:dyDescent="0.2">
      <c r="A102" s="1192"/>
      <c r="B102" s="1195"/>
      <c r="C102" s="1196">
        <f>C100+1</f>
        <v>31</v>
      </c>
      <c r="D102" s="1207" t="s">
        <v>1578</v>
      </c>
    </row>
    <row r="103" spans="1:4" ht="4.5" customHeight="1" x14ac:dyDescent="0.2">
      <c r="A103" s="1192"/>
      <c r="B103" s="312"/>
      <c r="C103" s="1196"/>
      <c r="D103" s="1207"/>
    </row>
    <row r="104" spans="1:4" ht="14.1" customHeight="1" x14ac:dyDescent="0.2">
      <c r="A104" s="1192"/>
      <c r="B104" s="1223" t="s">
        <v>1198</v>
      </c>
    </row>
    <row r="105" spans="1:4" ht="4.5" customHeight="1" x14ac:dyDescent="0.2">
      <c r="A105" s="1192"/>
      <c r="B105" s="1223"/>
    </row>
    <row r="106" spans="1:4" x14ac:dyDescent="0.2">
      <c r="A106" s="1192"/>
      <c r="B106" s="1195"/>
      <c r="C106" s="1196">
        <f>C102+1</f>
        <v>32</v>
      </c>
      <c r="D106" s="1191" t="s">
        <v>1579</v>
      </c>
    </row>
    <row r="107" spans="1:4" ht="3" customHeight="1" x14ac:dyDescent="0.2">
      <c r="A107" s="1192"/>
      <c r="B107" s="1199"/>
      <c r="C107" s="1196"/>
      <c r="D107" s="1191"/>
    </row>
    <row r="108" spans="1:4" x14ac:dyDescent="0.2">
      <c r="A108" s="1192"/>
      <c r="B108" s="1195"/>
      <c r="C108" s="1196">
        <v>33</v>
      </c>
      <c r="D108" s="1191" t="s">
        <v>1722</v>
      </c>
    </row>
    <row r="109" spans="1:4" ht="3" customHeight="1" x14ac:dyDescent="0.2">
      <c r="A109" s="1192"/>
      <c r="B109" s="1199"/>
      <c r="C109" s="1196"/>
      <c r="D109" s="1191"/>
    </row>
    <row r="110" spans="1:4" x14ac:dyDescent="0.2">
      <c r="A110" s="1192"/>
      <c r="B110" s="1195"/>
      <c r="C110" s="1196">
        <f>C108+1</f>
        <v>34</v>
      </c>
      <c r="D110" s="1191" t="s">
        <v>1197</v>
      </c>
    </row>
    <row r="111" spans="1:4" ht="3" customHeight="1" x14ac:dyDescent="0.2">
      <c r="A111" s="1192"/>
      <c r="B111" s="1199"/>
      <c r="C111" s="1196"/>
      <c r="D111" s="1191"/>
    </row>
    <row r="112" spans="1:4" x14ac:dyDescent="0.2">
      <c r="A112" s="1192"/>
      <c r="B112" s="1195"/>
      <c r="C112" s="1196">
        <f>C110+1</f>
        <v>35</v>
      </c>
      <c r="D112" s="1191" t="s">
        <v>1196</v>
      </c>
    </row>
    <row r="113" spans="1:4" ht="11.25" customHeight="1" x14ac:dyDescent="0.2">
      <c r="A113" s="1192"/>
      <c r="B113" s="1224"/>
      <c r="C113" s="1196"/>
      <c r="D113" s="1225" t="s">
        <v>1195</v>
      </c>
    </row>
    <row r="114" spans="1:4" ht="3" customHeight="1" x14ac:dyDescent="0.2">
      <c r="A114" s="1192"/>
      <c r="B114" s="1226"/>
      <c r="C114" s="1196"/>
      <c r="D114" s="1225"/>
    </row>
    <row r="115" spans="1:4" x14ac:dyDescent="0.2">
      <c r="A115" s="1192"/>
      <c r="B115" s="1195"/>
      <c r="C115" s="1196">
        <f>C112+1</f>
        <v>36</v>
      </c>
      <c r="D115" s="1207" t="s">
        <v>1194</v>
      </c>
    </row>
    <row r="116" spans="1:4" ht="3" customHeight="1" x14ac:dyDescent="0.2">
      <c r="A116" s="1192"/>
      <c r="B116" s="1199"/>
      <c r="C116" s="1196"/>
      <c r="D116" s="1207"/>
    </row>
    <row r="117" spans="1:4" x14ac:dyDescent="0.2">
      <c r="A117" s="1192"/>
      <c r="B117" s="1195"/>
      <c r="C117" s="1196">
        <f>C115+1</f>
        <v>37</v>
      </c>
      <c r="D117" s="1207" t="s">
        <v>1723</v>
      </c>
    </row>
    <row r="118" spans="1:4" ht="3" customHeight="1" x14ac:dyDescent="0.2">
      <c r="A118" s="1192"/>
      <c r="B118" s="1199"/>
      <c r="C118" s="1196"/>
      <c r="D118" s="1207"/>
    </row>
    <row r="119" spans="1:4" x14ac:dyDescent="0.2">
      <c r="A119" s="1192"/>
      <c r="B119" s="1195"/>
      <c r="C119" s="1196">
        <f>C117+1</f>
        <v>38</v>
      </c>
      <c r="D119" s="1207" t="s">
        <v>1724</v>
      </c>
    </row>
    <row r="120" spans="1:4" ht="10.5" customHeight="1" x14ac:dyDescent="0.2">
      <c r="A120" s="1192"/>
      <c r="B120" s="1220"/>
      <c r="C120" s="1196"/>
      <c r="D120" s="1207" t="s">
        <v>1193</v>
      </c>
    </row>
    <row r="121" spans="1:4" ht="10.5" customHeight="1" x14ac:dyDescent="0.2">
      <c r="A121" s="1192"/>
      <c r="B121" s="1220"/>
      <c r="C121" s="1196"/>
      <c r="D121" s="1207" t="s">
        <v>1192</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1191</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41" sqref="H41"/>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04" t="str">
        <f>'Single Audit Cover'!A7</f>
        <v>Johnsburg CUSD 12</v>
      </c>
      <c r="B1" s="2504"/>
      <c r="C1" s="2504"/>
      <c r="D1" s="2504"/>
      <c r="E1" s="2504"/>
    </row>
    <row r="2" spans="1:5" x14ac:dyDescent="0.2">
      <c r="A2" s="2505">
        <f>'Single Audit Cover'!E7</f>
        <v>44063012026</v>
      </c>
      <c r="B2" s="2505"/>
      <c r="C2" s="2505"/>
      <c r="D2" s="2505"/>
      <c r="E2" s="2505"/>
    </row>
    <row r="3" spans="1:5" ht="4.5" customHeight="1" x14ac:dyDescent="0.2"/>
    <row r="4" spans="1:5" x14ac:dyDescent="0.2">
      <c r="A4" s="2504" t="s">
        <v>1244</v>
      </c>
      <c r="B4" s="2504"/>
      <c r="C4" s="2504"/>
      <c r="D4" s="2504"/>
      <c r="E4" s="2504"/>
    </row>
    <row r="5" spans="1:5" x14ac:dyDescent="0.2">
      <c r="A5" s="2507" t="str">
        <f>'Single Audit Cover'!A4</f>
        <v>Year Ending June 30, 2019</v>
      </c>
      <c r="B5" s="2507"/>
      <c r="C5" s="2507"/>
      <c r="D5" s="2507"/>
      <c r="E5" s="2507"/>
    </row>
    <row r="6" spans="1:5" x14ac:dyDescent="0.2">
      <c r="A6" s="2504" t="s">
        <v>1243</v>
      </c>
      <c r="B6" s="2504"/>
      <c r="C6" s="2504"/>
      <c r="D6" s="2504"/>
      <c r="E6" s="2504"/>
    </row>
    <row r="8" spans="1:5" x14ac:dyDescent="0.2">
      <c r="A8" s="1230" t="s">
        <v>1242</v>
      </c>
    </row>
    <row r="10" spans="1:5" x14ac:dyDescent="0.2">
      <c r="A10" s="1231" t="s">
        <v>1241</v>
      </c>
      <c r="B10" s="1232" t="s">
        <v>1240</v>
      </c>
      <c r="C10" s="1232"/>
      <c r="D10" s="1233">
        <f>SUM('Acct Summary 7-8'!C7:K7)</f>
        <v>964192</v>
      </c>
    </row>
    <row r="11" spans="1:5" ht="18" customHeight="1" x14ac:dyDescent="0.2">
      <c r="A11" s="1231" t="s">
        <v>1239</v>
      </c>
      <c r="B11" s="1232"/>
      <c r="C11" s="1232"/>
    </row>
    <row r="12" spans="1:5" x14ac:dyDescent="0.2">
      <c r="A12" s="1231" t="s">
        <v>1238</v>
      </c>
      <c r="B12" s="1232" t="s">
        <v>1237</v>
      </c>
      <c r="C12" s="1232"/>
      <c r="D12" s="1234">
        <f>SUM('Revenues 9-14'!C112:D112,'Revenues 9-14'!F112:G112)</f>
        <v>0</v>
      </c>
    </row>
    <row r="13" spans="1:5" x14ac:dyDescent="0.2">
      <c r="A13" s="1231" t="s">
        <v>1236</v>
      </c>
      <c r="B13" s="1232"/>
      <c r="C13" s="1232"/>
    </row>
    <row r="14" spans="1:5" x14ac:dyDescent="0.2">
      <c r="A14" s="1231" t="s">
        <v>1726</v>
      </c>
      <c r="B14" s="1232"/>
      <c r="C14" s="1232"/>
      <c r="D14" s="1234">
        <f>'ICR Computation 30'!E11</f>
        <v>60735</v>
      </c>
    </row>
    <row r="15" spans="1:5" x14ac:dyDescent="0.2">
      <c r="A15" s="1231"/>
      <c r="B15" s="1232"/>
      <c r="C15" s="1232"/>
    </row>
    <row r="16" spans="1:5" x14ac:dyDescent="0.2">
      <c r="A16" s="1231" t="s">
        <v>1841</v>
      </c>
      <c r="B16" s="1232"/>
      <c r="C16" s="1232"/>
    </row>
    <row r="17" spans="1:4" x14ac:dyDescent="0.2">
      <c r="A17" s="1231" t="s">
        <v>2058</v>
      </c>
      <c r="B17" s="1232" t="s">
        <v>1235</v>
      </c>
      <c r="C17" s="1232"/>
      <c r="D17" s="1234">
        <f>-SUM('Revenues 9-14'!C264:D264,'Revenues 9-14'!F264:G264)</f>
        <v>-55497</v>
      </c>
    </row>
    <row r="19" spans="1:4" ht="13.5" thickBot="1" x14ac:dyDescent="0.25">
      <c r="A19" s="1235" t="s">
        <v>1234</v>
      </c>
      <c r="D19" s="1236">
        <f>SUM(D10:D17)</f>
        <v>969430</v>
      </c>
    </row>
    <row r="20" spans="1:4" ht="21.75" customHeight="1" thickTop="1" x14ac:dyDescent="0.2"/>
    <row r="21" spans="1:4" x14ac:dyDescent="0.2">
      <c r="A21" s="1230" t="s">
        <v>1233</v>
      </c>
    </row>
    <row r="22" spans="1:4" ht="8.25" customHeight="1" x14ac:dyDescent="0.2"/>
    <row r="23" spans="1:4" x14ac:dyDescent="0.2">
      <c r="A23" s="1237" t="s">
        <v>1227</v>
      </c>
    </row>
    <row r="24" spans="1:4" x14ac:dyDescent="0.2">
      <c r="A24" s="2506" t="s">
        <v>2101</v>
      </c>
      <c r="B24" s="2506"/>
      <c r="D24" s="1238">
        <v>891</v>
      </c>
    </row>
    <row r="25" spans="1:4" x14ac:dyDescent="0.2">
      <c r="A25" s="2503"/>
      <c r="B25" s="2503"/>
      <c r="D25" s="1238"/>
    </row>
    <row r="26" spans="1:4" x14ac:dyDescent="0.2">
      <c r="A26" s="2503"/>
      <c r="B26" s="2503"/>
      <c r="D26" s="1238"/>
    </row>
    <row r="27" spans="1:4" x14ac:dyDescent="0.2">
      <c r="A27" s="2503"/>
      <c r="B27" s="2503"/>
      <c r="D27" s="1238"/>
    </row>
    <row r="28" spans="1:4" x14ac:dyDescent="0.2">
      <c r="A28" s="2503"/>
      <c r="B28" s="2503"/>
      <c r="D28" s="1238"/>
    </row>
    <row r="29" spans="1:4" x14ac:dyDescent="0.2">
      <c r="A29" s="2503"/>
      <c r="B29" s="2503"/>
      <c r="D29" s="1238"/>
    </row>
    <row r="30" spans="1:4" x14ac:dyDescent="0.2">
      <c r="A30" s="2503"/>
      <c r="B30" s="2503"/>
      <c r="D30" s="1238"/>
    </row>
    <row r="32" spans="1:4" x14ac:dyDescent="0.2">
      <c r="A32" s="1230" t="s">
        <v>1232</v>
      </c>
      <c r="D32" s="1233">
        <f>SUM(D19:D30)</f>
        <v>970321</v>
      </c>
    </row>
    <row r="33" spans="1:4" x14ac:dyDescent="0.2">
      <c r="D33" s="1239"/>
    </row>
    <row r="34" spans="1:4" x14ac:dyDescent="0.2">
      <c r="A34" s="317" t="s">
        <v>1231</v>
      </c>
    </row>
    <row r="35" spans="1:4" x14ac:dyDescent="0.2">
      <c r="A35" s="317" t="s">
        <v>1230</v>
      </c>
      <c r="B35" s="1228" t="s">
        <v>1229</v>
      </c>
      <c r="D35" s="1240">
        <f>+' SEFA (3)'!F24</f>
        <v>970321</v>
      </c>
    </row>
    <row r="37" spans="1:4" x14ac:dyDescent="0.2">
      <c r="A37" s="1230" t="s">
        <v>1228</v>
      </c>
    </row>
    <row r="39" spans="1:4" ht="13.35" customHeight="1" x14ac:dyDescent="0.2">
      <c r="A39" s="1237" t="s">
        <v>1227</v>
      </c>
    </row>
    <row r="40" spans="1:4" x14ac:dyDescent="0.2">
      <c r="A40" s="2503"/>
      <c r="B40" s="2503"/>
      <c r="D40" s="1238"/>
    </row>
    <row r="41" spans="1:4" x14ac:dyDescent="0.2">
      <c r="A41" s="2503"/>
      <c r="B41" s="2503"/>
      <c r="D41" s="1241"/>
    </row>
    <row r="42" spans="1:4" x14ac:dyDescent="0.2">
      <c r="A42" s="2503"/>
      <c r="B42" s="2503"/>
      <c r="D42" s="1241"/>
    </row>
    <row r="43" spans="1:4" x14ac:dyDescent="0.2">
      <c r="A43" s="2503"/>
      <c r="B43" s="2503"/>
      <c r="D43" s="1241"/>
    </row>
    <row r="44" spans="1:4" x14ac:dyDescent="0.2">
      <c r="A44" s="2503"/>
      <c r="B44" s="2503"/>
      <c r="D44" s="1241"/>
    </row>
    <row r="45" spans="1:4" x14ac:dyDescent="0.2">
      <c r="A45" s="2503"/>
      <c r="B45" s="2503"/>
      <c r="D45" s="1241"/>
    </row>
    <row r="47" spans="1:4" x14ac:dyDescent="0.2">
      <c r="B47" s="1242" t="s">
        <v>1226</v>
      </c>
      <c r="C47" s="1242"/>
      <c r="D47" s="1243">
        <f>SUM(D35:D45)</f>
        <v>970321</v>
      </c>
    </row>
    <row r="49" spans="2:4" x14ac:dyDescent="0.2">
      <c r="B49" s="1242" t="s">
        <v>1225</v>
      </c>
      <c r="C49" s="1242"/>
      <c r="D49" s="1243">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A8B3-A1F0-4192-B3D5-03AE174AA3C9}">
  <sheetPr>
    <pageSetUpPr fitToPage="1"/>
  </sheetPr>
  <dimension ref="B1:N152"/>
  <sheetViews>
    <sheetView showGridLines="0" zoomScaleNormal="100" workbookViewId="0">
      <selection activeCell="F21" sqref="F21"/>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7" t="str">
        <f>'Single Audit Cover'!A7</f>
        <v>Johnsburg CUSD 12</v>
      </c>
      <c r="C1" s="2508"/>
      <c r="D1" s="2508"/>
      <c r="E1" s="2508"/>
      <c r="F1" s="2508"/>
      <c r="G1" s="2508"/>
      <c r="H1" s="2508"/>
      <c r="I1" s="2508"/>
      <c r="J1" s="2508"/>
      <c r="K1" s="2508"/>
      <c r="L1" s="2508"/>
      <c r="M1" s="2508"/>
    </row>
    <row r="2" spans="2:14" ht="15" x14ac:dyDescent="0.2">
      <c r="B2" s="2509">
        <f>'Single Audit Cover'!E7</f>
        <v>44063012026</v>
      </c>
      <c r="C2" s="2509"/>
      <c r="D2" s="2509"/>
      <c r="E2" s="2509"/>
      <c r="F2" s="2509"/>
      <c r="G2" s="2509"/>
      <c r="H2" s="2509"/>
      <c r="I2" s="2509"/>
      <c r="J2" s="2509"/>
      <c r="K2" s="2509"/>
      <c r="L2" s="2509"/>
      <c r="M2" s="2509"/>
      <c r="N2" s="1272"/>
    </row>
    <row r="3" spans="2:14" ht="15" x14ac:dyDescent="0.2">
      <c r="B3" s="2510" t="s">
        <v>1218</v>
      </c>
      <c r="C3" s="2510"/>
      <c r="D3" s="2510"/>
      <c r="E3" s="2510"/>
      <c r="F3" s="2510"/>
      <c r="G3" s="2510"/>
      <c r="H3" s="2510"/>
      <c r="I3" s="2510"/>
      <c r="J3" s="2510"/>
      <c r="K3" s="2510"/>
      <c r="L3" s="2510"/>
      <c r="M3" s="2510"/>
      <c r="N3" s="1272"/>
    </row>
    <row r="4" spans="2:14" ht="15" x14ac:dyDescent="0.2">
      <c r="B4" s="2511" t="str">
        <f>'Single Audit Cover'!A4</f>
        <v>Year Ending June 30, 2019</v>
      </c>
      <c r="C4" s="2511"/>
      <c r="D4" s="2511"/>
      <c r="E4" s="2511"/>
      <c r="F4" s="2511"/>
      <c r="G4" s="2511"/>
      <c r="H4" s="2511"/>
      <c r="I4" s="2511"/>
      <c r="J4" s="2511"/>
      <c r="K4" s="2511"/>
      <c r="L4" s="2511"/>
      <c r="M4" s="2511"/>
      <c r="N4" s="1272"/>
    </row>
    <row r="6" spans="2:14" x14ac:dyDescent="0.2">
      <c r="B6" s="1273"/>
      <c r="C6" s="1274"/>
      <c r="D6" s="1275" t="s">
        <v>1264</v>
      </c>
      <c r="E6" s="1276" t="s">
        <v>526</v>
      </c>
      <c r="F6" s="1277"/>
      <c r="G6" s="1278" t="s">
        <v>1731</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1836</v>
      </c>
      <c r="I8" s="1289" t="s">
        <v>1261</v>
      </c>
      <c r="J8" s="1288" t="s">
        <v>1987</v>
      </c>
      <c r="K8" s="1289" t="s">
        <v>1260</v>
      </c>
      <c r="L8" s="1290" t="s">
        <v>1256</v>
      </c>
      <c r="M8" s="1291" t="s">
        <v>30</v>
      </c>
    </row>
    <row r="9" spans="2:14" ht="14.25" x14ac:dyDescent="0.2">
      <c r="B9" s="1295" t="s">
        <v>1258</v>
      </c>
      <c r="C9" s="1283" t="s">
        <v>1732</v>
      </c>
      <c r="D9" s="1284" t="s">
        <v>1733</v>
      </c>
      <c r="E9" s="1292" t="s">
        <v>1836</v>
      </c>
      <c r="F9" s="1293" t="s">
        <v>1987</v>
      </c>
      <c r="G9" s="1294" t="s">
        <v>1836</v>
      </c>
      <c r="H9" s="1287" t="s">
        <v>1581</v>
      </c>
      <c r="I9" s="1289" t="s">
        <v>1987</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1307" t="s">
        <v>2069</v>
      </c>
      <c r="C11" s="1308"/>
      <c r="D11" s="1309"/>
      <c r="E11" s="1310"/>
      <c r="F11" s="1310"/>
      <c r="G11" s="1310"/>
      <c r="H11" s="1310"/>
      <c r="I11" s="1310"/>
      <c r="J11" s="1310"/>
      <c r="K11" s="1310"/>
      <c r="L11" s="1310">
        <f>+G11+I11+K11</f>
        <v>0</v>
      </c>
      <c r="M11" s="1310"/>
    </row>
    <row r="12" spans="2:14" ht="20.100000000000001" customHeight="1" x14ac:dyDescent="0.2">
      <c r="B12" s="1307" t="s">
        <v>2104</v>
      </c>
      <c r="C12" s="1311">
        <v>10.555</v>
      </c>
      <c r="D12" s="1312" t="s">
        <v>2070</v>
      </c>
      <c r="E12" s="1313"/>
      <c r="F12" s="1313">
        <v>35132</v>
      </c>
      <c r="G12" s="1313"/>
      <c r="H12" s="1313"/>
      <c r="I12" s="1313">
        <v>35132</v>
      </c>
      <c r="J12" s="1313"/>
      <c r="K12" s="1313"/>
      <c r="L12" s="1310">
        <f t="shared" ref="L12:L27" si="0">+G12+I12+K12</f>
        <v>35132</v>
      </c>
      <c r="M12" s="1313" t="s">
        <v>2071</v>
      </c>
    </row>
    <row r="13" spans="2:14" ht="20.100000000000001" customHeight="1" x14ac:dyDescent="0.2">
      <c r="B13" s="1307" t="s">
        <v>2072</v>
      </c>
      <c r="C13" s="1311"/>
      <c r="D13" s="1312"/>
      <c r="E13" s="1313"/>
      <c r="F13" s="1313"/>
      <c r="G13" s="1313"/>
      <c r="H13" s="1313"/>
      <c r="I13" s="1313"/>
      <c r="J13" s="1313"/>
      <c r="K13" s="1313"/>
      <c r="L13" s="1310">
        <f t="shared" si="0"/>
        <v>0</v>
      </c>
      <c r="M13" s="1313"/>
    </row>
    <row r="14" spans="2:14" ht="20.100000000000001" customHeight="1" x14ac:dyDescent="0.2">
      <c r="B14" s="1307" t="s">
        <v>2105</v>
      </c>
      <c r="C14" s="1311">
        <v>10.555</v>
      </c>
      <c r="D14" s="1312" t="s">
        <v>2070</v>
      </c>
      <c r="E14" s="1313"/>
      <c r="F14" s="1313">
        <v>25603</v>
      </c>
      <c r="G14" s="1313"/>
      <c r="H14" s="1313"/>
      <c r="I14" s="1313">
        <v>25603</v>
      </c>
      <c r="J14" s="1313"/>
      <c r="K14" s="1313"/>
      <c r="L14" s="1310">
        <f t="shared" si="0"/>
        <v>25603</v>
      </c>
      <c r="M14" s="1313" t="s">
        <v>2071</v>
      </c>
    </row>
    <row r="15" spans="2:14" ht="20.100000000000001" customHeight="1" x14ac:dyDescent="0.2">
      <c r="B15" s="1307" t="s">
        <v>2106</v>
      </c>
      <c r="C15" s="1311">
        <v>10.555</v>
      </c>
      <c r="D15" s="1312" t="s">
        <v>2073</v>
      </c>
      <c r="E15" s="1313">
        <v>176526</v>
      </c>
      <c r="F15" s="1313">
        <v>33421</v>
      </c>
      <c r="G15" s="1313">
        <v>176526</v>
      </c>
      <c r="H15" s="1313"/>
      <c r="I15" s="1313">
        <v>33421</v>
      </c>
      <c r="J15" s="1313"/>
      <c r="K15" s="1313"/>
      <c r="L15" s="1310">
        <f t="shared" si="0"/>
        <v>209947</v>
      </c>
      <c r="M15" s="1313" t="s">
        <v>2071</v>
      </c>
    </row>
    <row r="16" spans="2:14" ht="20.100000000000001" customHeight="1" x14ac:dyDescent="0.2">
      <c r="B16" s="1307" t="s">
        <v>2106</v>
      </c>
      <c r="C16" s="1311">
        <v>10.555</v>
      </c>
      <c r="D16" s="1312" t="s">
        <v>2074</v>
      </c>
      <c r="E16" s="1313"/>
      <c r="F16" s="1313">
        <v>176501</v>
      </c>
      <c r="G16" s="1313"/>
      <c r="H16" s="1313"/>
      <c r="I16" s="1313">
        <v>176501</v>
      </c>
      <c r="J16" s="1313"/>
      <c r="K16" s="1313"/>
      <c r="L16" s="1310">
        <f t="shared" si="0"/>
        <v>176501</v>
      </c>
      <c r="M16" s="1313" t="s">
        <v>2071</v>
      </c>
    </row>
    <row r="17" spans="2:14" ht="20.100000000000001" customHeight="1" x14ac:dyDescent="0.2">
      <c r="B17" s="1307" t="s">
        <v>2076</v>
      </c>
      <c r="C17" s="1311"/>
      <c r="D17" s="1312"/>
      <c r="E17" s="1313">
        <f>+E15</f>
        <v>176526</v>
      </c>
      <c r="F17" s="1313">
        <f>+F16+F15+F14+F12</f>
        <v>270657</v>
      </c>
      <c r="G17" s="1313">
        <f>+G15</f>
        <v>176526</v>
      </c>
      <c r="H17" s="1313"/>
      <c r="I17" s="1313">
        <f>+I16+I15+I14+I12</f>
        <v>270657</v>
      </c>
      <c r="J17" s="1313"/>
      <c r="K17" s="1313"/>
      <c r="L17" s="1310">
        <f t="shared" si="0"/>
        <v>447183</v>
      </c>
      <c r="M17" s="1313"/>
    </row>
    <row r="18" spans="2:14" ht="20.100000000000001" customHeight="1" x14ac:dyDescent="0.2">
      <c r="B18" s="1307" t="s">
        <v>2077</v>
      </c>
      <c r="C18" s="1311"/>
      <c r="D18" s="1312"/>
      <c r="E18" s="1313">
        <f>+E17</f>
        <v>176526</v>
      </c>
      <c r="F18" s="1313">
        <f>+F17</f>
        <v>270657</v>
      </c>
      <c r="G18" s="1313">
        <f>+G17</f>
        <v>176526</v>
      </c>
      <c r="H18" s="1313"/>
      <c r="I18" s="1313">
        <f>+I17</f>
        <v>270657</v>
      </c>
      <c r="J18" s="1313"/>
      <c r="K18" s="1313"/>
      <c r="L18" s="1310">
        <f t="shared" si="0"/>
        <v>447183</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t="s">
        <v>2078</v>
      </c>
      <c r="C20" s="1311"/>
      <c r="D20" s="1312"/>
      <c r="E20" s="1313"/>
      <c r="F20" s="1313"/>
      <c r="G20" s="1313"/>
      <c r="H20" s="1313"/>
      <c r="I20" s="1313"/>
      <c r="J20" s="1313"/>
      <c r="K20" s="1313"/>
      <c r="L20" s="1310">
        <f t="shared" si="0"/>
        <v>0</v>
      </c>
      <c r="M20" s="1313"/>
    </row>
    <row r="21" spans="2:14" ht="20.100000000000001" customHeight="1" x14ac:dyDescent="0.2">
      <c r="B21" s="1307" t="s">
        <v>2083</v>
      </c>
      <c r="C21" s="1311">
        <v>84.01</v>
      </c>
      <c r="D21" s="1312" t="s">
        <v>2079</v>
      </c>
      <c r="E21" s="1313"/>
      <c r="F21" s="1313">
        <v>155606</v>
      </c>
      <c r="G21" s="1313"/>
      <c r="H21" s="1313"/>
      <c r="I21" s="1313">
        <v>155606</v>
      </c>
      <c r="J21" s="1313"/>
      <c r="K21" s="1313"/>
      <c r="L21" s="1310">
        <f t="shared" si="0"/>
        <v>155606</v>
      </c>
      <c r="M21" s="1313">
        <v>169336</v>
      </c>
    </row>
    <row r="22" spans="2:14" ht="20.100000000000001" customHeight="1" x14ac:dyDescent="0.2">
      <c r="B22" s="1307" t="s">
        <v>2081</v>
      </c>
      <c r="C22" s="1311">
        <v>84.424000000000007</v>
      </c>
      <c r="D22" s="1312" t="s">
        <v>2080</v>
      </c>
      <c r="E22" s="1313"/>
      <c r="F22" s="1313">
        <v>17026</v>
      </c>
      <c r="G22" s="1313"/>
      <c r="H22" s="1313"/>
      <c r="I22" s="1313">
        <v>17026</v>
      </c>
      <c r="J22" s="1313"/>
      <c r="K22" s="1313"/>
      <c r="L22" s="1310">
        <f t="shared" si="0"/>
        <v>17026</v>
      </c>
      <c r="M22" s="1313">
        <v>26045</v>
      </c>
    </row>
    <row r="23" spans="2:14" ht="20.100000000000001" customHeight="1" x14ac:dyDescent="0.2">
      <c r="B23" s="1307" t="s">
        <v>2082</v>
      </c>
      <c r="C23" s="1311">
        <v>84.367000000000004</v>
      </c>
      <c r="D23" s="1312" t="s">
        <v>2084</v>
      </c>
      <c r="E23" s="1313"/>
      <c r="F23" s="1313">
        <v>30664</v>
      </c>
      <c r="G23" s="1313"/>
      <c r="H23" s="1313"/>
      <c r="I23" s="1313">
        <v>30664</v>
      </c>
      <c r="J23" s="1313"/>
      <c r="K23" s="1313"/>
      <c r="L23" s="1310">
        <f t="shared" si="0"/>
        <v>30664</v>
      </c>
      <c r="M23" s="1313">
        <v>42702</v>
      </c>
    </row>
    <row r="24" spans="2:14" ht="20.100000000000001" customHeight="1" x14ac:dyDescent="0.2">
      <c r="B24" s="1307" t="s">
        <v>2107</v>
      </c>
      <c r="C24" s="1311">
        <v>84.027000000000001</v>
      </c>
      <c r="D24" s="1312" t="s">
        <v>2085</v>
      </c>
      <c r="E24" s="1313"/>
      <c r="F24" s="1313">
        <v>4934</v>
      </c>
      <c r="G24" s="1313"/>
      <c r="H24" s="1313"/>
      <c r="I24" s="1313">
        <v>4934</v>
      </c>
      <c r="J24" s="1313"/>
      <c r="K24" s="1313"/>
      <c r="L24" s="1310">
        <f t="shared" si="0"/>
        <v>4934</v>
      </c>
      <c r="M24" s="1313" t="s">
        <v>2071</v>
      </c>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t="s">
        <v>2086</v>
      </c>
      <c r="C27" s="1311"/>
      <c r="D27" s="1312"/>
      <c r="E27" s="1313"/>
      <c r="F27" s="1313"/>
      <c r="G27" s="1313"/>
      <c r="H27" s="1313"/>
      <c r="I27" s="1313"/>
      <c r="J27" s="1313"/>
      <c r="K27" s="1313"/>
      <c r="L27" s="1310">
        <f t="shared" si="0"/>
        <v>0</v>
      </c>
      <c r="M27" s="1313"/>
      <c r="N27" s="1314"/>
    </row>
    <row r="28" spans="2:14" ht="12.75" customHeight="1" x14ac:dyDescent="0.2">
      <c r="B28" s="1315" t="s">
        <v>2075</v>
      </c>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CCA68-55F5-4583-A6EB-1A84E269AE32}">
  <sheetPr>
    <pageSetUpPr fitToPage="1"/>
  </sheetPr>
  <dimension ref="B1:N152"/>
  <sheetViews>
    <sheetView showGridLines="0" zoomScaleNormal="100" workbookViewId="0">
      <selection activeCell="F21" sqref="F21"/>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7" t="str">
        <f>'Single Audit Cover'!A7</f>
        <v>Johnsburg CUSD 12</v>
      </c>
      <c r="C1" s="2508"/>
      <c r="D1" s="2508"/>
      <c r="E1" s="2508"/>
      <c r="F1" s="2508"/>
      <c r="G1" s="2508"/>
      <c r="H1" s="2508"/>
      <c r="I1" s="2508"/>
      <c r="J1" s="2508"/>
      <c r="K1" s="2508"/>
      <c r="L1" s="2508"/>
      <c r="M1" s="2508"/>
    </row>
    <row r="2" spans="2:14" ht="15" x14ac:dyDescent="0.2">
      <c r="B2" s="2509">
        <f>'Single Audit Cover'!E7</f>
        <v>44063012026</v>
      </c>
      <c r="C2" s="2509"/>
      <c r="D2" s="2509"/>
      <c r="E2" s="2509"/>
      <c r="F2" s="2509"/>
      <c r="G2" s="2509"/>
      <c r="H2" s="2509"/>
      <c r="I2" s="2509"/>
      <c r="J2" s="2509"/>
      <c r="K2" s="2509"/>
      <c r="L2" s="2509"/>
      <c r="M2" s="2509"/>
      <c r="N2" s="1272"/>
    </row>
    <row r="3" spans="2:14" ht="15" x14ac:dyDescent="0.2">
      <c r="B3" s="2510" t="s">
        <v>1218</v>
      </c>
      <c r="C3" s="2510"/>
      <c r="D3" s="2510"/>
      <c r="E3" s="2510"/>
      <c r="F3" s="2510"/>
      <c r="G3" s="2510"/>
      <c r="H3" s="2510"/>
      <c r="I3" s="2510"/>
      <c r="J3" s="2510"/>
      <c r="K3" s="2510"/>
      <c r="L3" s="2510"/>
      <c r="M3" s="2510"/>
      <c r="N3" s="1272"/>
    </row>
    <row r="4" spans="2:14" ht="15" x14ac:dyDescent="0.2">
      <c r="B4" s="2511" t="str">
        <f>'Single Audit Cover'!A4</f>
        <v>Year Ending June 30, 2019</v>
      </c>
      <c r="C4" s="2511"/>
      <c r="D4" s="2511"/>
      <c r="E4" s="2511"/>
      <c r="F4" s="2511"/>
      <c r="G4" s="2511"/>
      <c r="H4" s="2511"/>
      <c r="I4" s="2511"/>
      <c r="J4" s="2511"/>
      <c r="K4" s="2511"/>
      <c r="L4" s="2511"/>
      <c r="M4" s="2511"/>
      <c r="N4" s="1272"/>
    </row>
    <row r="6" spans="2:14" x14ac:dyDescent="0.2">
      <c r="B6" s="1273"/>
      <c r="C6" s="1274"/>
      <c r="D6" s="1275" t="s">
        <v>1264</v>
      </c>
      <c r="E6" s="1276" t="s">
        <v>526</v>
      </c>
      <c r="F6" s="1277"/>
      <c r="G6" s="1278" t="s">
        <v>1731</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1836</v>
      </c>
      <c r="I8" s="1289" t="s">
        <v>1261</v>
      </c>
      <c r="J8" s="1288" t="s">
        <v>1987</v>
      </c>
      <c r="K8" s="1289" t="s">
        <v>1260</v>
      </c>
      <c r="L8" s="1290" t="s">
        <v>1256</v>
      </c>
      <c r="M8" s="1291" t="s">
        <v>30</v>
      </c>
    </row>
    <row r="9" spans="2:14" ht="14.25" x14ac:dyDescent="0.2">
      <c r="B9" s="1295" t="s">
        <v>1258</v>
      </c>
      <c r="C9" s="1283" t="s">
        <v>1732</v>
      </c>
      <c r="D9" s="1284" t="s">
        <v>1733</v>
      </c>
      <c r="E9" s="1292" t="s">
        <v>1836</v>
      </c>
      <c r="F9" s="1293" t="s">
        <v>1987</v>
      </c>
      <c r="G9" s="1294" t="s">
        <v>1836</v>
      </c>
      <c r="H9" s="1287" t="s">
        <v>1581</v>
      </c>
      <c r="I9" s="1289" t="s">
        <v>1987</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1307" t="s">
        <v>2087</v>
      </c>
      <c r="C11" s="1308"/>
      <c r="D11" s="1309"/>
      <c r="E11" s="1310"/>
      <c r="F11" s="1310"/>
      <c r="G11" s="1310"/>
      <c r="H11" s="1310"/>
      <c r="I11" s="1310"/>
      <c r="J11" s="1310"/>
      <c r="K11" s="1310"/>
      <c r="L11" s="1310"/>
      <c r="M11" s="1310"/>
    </row>
    <row r="12" spans="2:14" ht="20.100000000000001" customHeight="1" x14ac:dyDescent="0.2">
      <c r="B12" s="1307" t="s">
        <v>2102</v>
      </c>
      <c r="C12" s="1311">
        <v>84.027000000000001</v>
      </c>
      <c r="D12" s="1312" t="s">
        <v>2088</v>
      </c>
      <c r="E12" s="1313"/>
      <c r="F12" s="1313">
        <f>429245+14786</f>
        <v>444031</v>
      </c>
      <c r="G12" s="1313"/>
      <c r="H12" s="1313"/>
      <c r="I12" s="1313">
        <v>444031</v>
      </c>
      <c r="J12" s="1313"/>
      <c r="K12" s="1313"/>
      <c r="L12" s="1310">
        <f t="shared" ref="L12:L24" si="0">+G12+I12+K12</f>
        <v>444031</v>
      </c>
      <c r="M12" s="1313">
        <v>459736</v>
      </c>
    </row>
    <row r="13" spans="2:14" ht="20.100000000000001" customHeight="1" x14ac:dyDescent="0.2">
      <c r="B13" s="1307" t="s">
        <v>2103</v>
      </c>
      <c r="C13" s="1311">
        <v>84.173000000000002</v>
      </c>
      <c r="D13" s="1312" t="s">
        <v>2089</v>
      </c>
      <c r="E13" s="1313"/>
      <c r="F13" s="1313">
        <f>10625+1381</f>
        <v>12006</v>
      </c>
      <c r="G13" s="1313"/>
      <c r="H13" s="1313"/>
      <c r="I13" s="1313">
        <v>12006</v>
      </c>
      <c r="J13" s="1313"/>
      <c r="K13" s="1313"/>
      <c r="L13" s="1310">
        <f t="shared" si="0"/>
        <v>12006</v>
      </c>
      <c r="M13" s="1313">
        <v>12006</v>
      </c>
    </row>
    <row r="14" spans="2:14" ht="20.100000000000001" customHeight="1" x14ac:dyDescent="0.2">
      <c r="B14" s="1307" t="s">
        <v>2090</v>
      </c>
      <c r="C14" s="1311"/>
      <c r="D14" s="1312"/>
      <c r="E14" s="1313"/>
      <c r="F14" s="1313">
        <f>+F13+F12+' SEFA (2)'!F24</f>
        <v>460971</v>
      </c>
      <c r="G14" s="1313"/>
      <c r="H14" s="1313"/>
      <c r="I14" s="1313">
        <f>+I13+I12+' SEFA (2)'!I24</f>
        <v>460971</v>
      </c>
      <c r="J14" s="1313"/>
      <c r="K14" s="1313"/>
      <c r="L14" s="1310">
        <f t="shared" si="0"/>
        <v>460971</v>
      </c>
      <c r="M14" s="1313"/>
    </row>
    <row r="15" spans="2:14" ht="20.100000000000001" customHeight="1" x14ac:dyDescent="0.2">
      <c r="B15" s="1307" t="s">
        <v>2091</v>
      </c>
      <c r="C15" s="1311"/>
      <c r="D15" s="1312"/>
      <c r="E15" s="1313"/>
      <c r="F15" s="1313"/>
      <c r="G15" s="1313"/>
      <c r="H15" s="1313"/>
      <c r="I15" s="1313"/>
      <c r="J15" s="1313"/>
      <c r="K15" s="1313"/>
      <c r="L15" s="1310"/>
      <c r="M15" s="1313"/>
    </row>
    <row r="16" spans="2:14" ht="20.100000000000001" customHeight="1" x14ac:dyDescent="0.2">
      <c r="B16" s="1307" t="s">
        <v>2092</v>
      </c>
      <c r="C16" s="1311">
        <v>84.048000000000002</v>
      </c>
      <c r="D16" s="1312" t="s">
        <v>2093</v>
      </c>
      <c r="E16" s="1313"/>
      <c r="F16" s="1313">
        <v>13120</v>
      </c>
      <c r="G16" s="1313"/>
      <c r="H16" s="1313"/>
      <c r="I16" s="1313">
        <v>13120</v>
      </c>
      <c r="J16" s="1313"/>
      <c r="K16" s="1313"/>
      <c r="L16" s="1310">
        <f t="shared" si="0"/>
        <v>13120</v>
      </c>
      <c r="M16" s="1313">
        <v>13120</v>
      </c>
    </row>
    <row r="17" spans="2:14" ht="20.100000000000001" customHeight="1" x14ac:dyDescent="0.2">
      <c r="B17" s="1307" t="s">
        <v>2094</v>
      </c>
      <c r="C17" s="1311"/>
      <c r="D17" s="1312"/>
      <c r="E17" s="1313">
        <v>0</v>
      </c>
      <c r="F17" s="1313">
        <f>+F16+F14+' SEFA (2)'!F23+' SEFA (2)'!F22+' SEFA (2)'!F21</f>
        <v>677387</v>
      </c>
      <c r="G17" s="1313">
        <v>0</v>
      </c>
      <c r="H17" s="1313"/>
      <c r="I17" s="1313">
        <f>+I16+I14+' SEFA (2)'!I23+' SEFA (2)'!I22+' SEFA (2)'!I21</f>
        <v>677387</v>
      </c>
      <c r="J17" s="1313"/>
      <c r="K17" s="1313"/>
      <c r="L17" s="1310">
        <f t="shared" si="0"/>
        <v>677387</v>
      </c>
      <c r="M17" s="1313"/>
    </row>
    <row r="18" spans="2:14" ht="20.100000000000001" customHeight="1" x14ac:dyDescent="0.2">
      <c r="B18" s="1307"/>
      <c r="C18" s="1311"/>
      <c r="D18" s="1312"/>
      <c r="E18" s="1313"/>
      <c r="F18" s="1313"/>
      <c r="G18" s="1313"/>
      <c r="H18" s="1313"/>
      <c r="I18" s="1313"/>
      <c r="J18" s="1313"/>
      <c r="K18" s="1313"/>
      <c r="L18" s="1310"/>
      <c r="M18" s="1313"/>
    </row>
    <row r="19" spans="2:14" ht="20.100000000000001" customHeight="1" x14ac:dyDescent="0.2">
      <c r="B19" s="1307" t="s">
        <v>2095</v>
      </c>
      <c r="C19" s="1311"/>
      <c r="D19" s="1312"/>
      <c r="E19" s="1313"/>
      <c r="F19" s="1313"/>
      <c r="G19" s="1313"/>
      <c r="H19" s="1313"/>
      <c r="I19" s="1313"/>
      <c r="J19" s="1313"/>
      <c r="K19" s="1313"/>
      <c r="L19" s="1310"/>
      <c r="M19" s="1313"/>
    </row>
    <row r="20" spans="2:14" ht="20.100000000000001" customHeight="1" x14ac:dyDescent="0.2">
      <c r="B20" s="1307" t="s">
        <v>2096</v>
      </c>
      <c r="C20" s="1311"/>
      <c r="D20" s="1312"/>
      <c r="E20" s="1313"/>
      <c r="F20" s="1313"/>
      <c r="G20" s="1313"/>
      <c r="H20" s="1313"/>
      <c r="I20" s="1313"/>
      <c r="J20" s="1313"/>
      <c r="K20" s="1313"/>
      <c r="L20" s="1310"/>
      <c r="M20" s="1313"/>
    </row>
    <row r="21" spans="2:14" ht="20.100000000000001" customHeight="1" x14ac:dyDescent="0.2">
      <c r="B21" s="1307" t="s">
        <v>2097</v>
      </c>
      <c r="C21" s="1311">
        <v>93.778000000000006</v>
      </c>
      <c r="D21" s="1312" t="s">
        <v>2098</v>
      </c>
      <c r="E21" s="1313"/>
      <c r="F21" s="1313">
        <v>22277</v>
      </c>
      <c r="G21" s="1313"/>
      <c r="H21" s="1313"/>
      <c r="I21" s="1313">
        <v>22277</v>
      </c>
      <c r="J21" s="1313"/>
      <c r="K21" s="1313"/>
      <c r="L21" s="1310">
        <f t="shared" si="0"/>
        <v>22277</v>
      </c>
      <c r="M21" s="1313" t="s">
        <v>2071</v>
      </c>
    </row>
    <row r="22" spans="2:14" ht="20.100000000000001" customHeight="1" x14ac:dyDescent="0.2">
      <c r="B22" s="1307" t="s">
        <v>2099</v>
      </c>
      <c r="C22" s="1311"/>
      <c r="D22" s="1312"/>
      <c r="E22" s="1313">
        <v>0</v>
      </c>
      <c r="F22" s="1313">
        <f>+F21</f>
        <v>22277</v>
      </c>
      <c r="G22" s="1313">
        <v>0</v>
      </c>
      <c r="H22" s="1313"/>
      <c r="I22" s="1313">
        <f>+I21</f>
        <v>22277</v>
      </c>
      <c r="J22" s="1313"/>
      <c r="K22" s="1313"/>
      <c r="L22" s="1310">
        <f t="shared" si="0"/>
        <v>22277</v>
      </c>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t="s">
        <v>2100</v>
      </c>
      <c r="C24" s="1311"/>
      <c r="D24" s="1312"/>
      <c r="E24" s="1313">
        <f>+E17+' SEFA (2)'!E18</f>
        <v>176526</v>
      </c>
      <c r="F24" s="1313">
        <f>+F21+F17+' SEFA (2)'!F18</f>
        <v>970321</v>
      </c>
      <c r="G24" s="1313">
        <f>+' SEFA (2)'!G18</f>
        <v>176526</v>
      </c>
      <c r="H24" s="1313"/>
      <c r="I24" s="1313">
        <f>+I21+I17+' SEFA (2)'!I18</f>
        <v>970321</v>
      </c>
      <c r="J24" s="1313"/>
      <c r="K24" s="1313"/>
      <c r="L24" s="1310">
        <f t="shared" si="0"/>
        <v>1146847</v>
      </c>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t="s">
        <v>2086</v>
      </c>
      <c r="C27" s="1311"/>
      <c r="D27" s="1312"/>
      <c r="E27" s="1313"/>
      <c r="F27" s="1313"/>
      <c r="G27" s="1313"/>
      <c r="H27" s="1313"/>
      <c r="I27" s="1313"/>
      <c r="J27" s="1313"/>
      <c r="K27" s="1313"/>
      <c r="L27" s="1310"/>
      <c r="M27" s="1313"/>
      <c r="N27" s="1314"/>
    </row>
    <row r="28" spans="2:14" ht="12.75" customHeight="1" x14ac:dyDescent="0.2">
      <c r="B28" s="1315" t="s">
        <v>2075</v>
      </c>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6" colorId="8" zoomScale="110" zoomScaleNormal="110" workbookViewId="0">
      <selection activeCell="J31" sqref="J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9" t="s">
        <v>1167</v>
      </c>
      <c r="B2" s="2129"/>
      <c r="C2" s="2129"/>
      <c r="D2" s="2129"/>
      <c r="E2" s="2129"/>
      <c r="F2" s="2129"/>
      <c r="G2" s="2129"/>
      <c r="H2" s="2129"/>
      <c r="I2" s="2129"/>
      <c r="J2" s="212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43" t="s">
        <v>1632</v>
      </c>
      <c r="B35" s="2144"/>
      <c r="C35" s="2144"/>
      <c r="D35" s="2144"/>
      <c r="E35" s="2145"/>
      <c r="F35" s="2145"/>
      <c r="G35" s="2145"/>
      <c r="H35" s="2145"/>
      <c r="I35" s="214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t="s">
        <v>2130</v>
      </c>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3" t="s">
        <v>312</v>
      </c>
      <c r="B47" s="2146"/>
      <c r="C47" s="2146"/>
      <c r="D47" s="2146"/>
      <c r="E47" s="2147"/>
      <c r="F47" s="2147"/>
      <c r="G47" s="2147"/>
      <c r="H47" s="2147"/>
      <c r="I47" s="214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0"/>
      <c r="C57" s="2151"/>
      <c r="D57" s="2151"/>
      <c r="E57" s="2151"/>
      <c r="F57" s="2151"/>
      <c r="G57" s="2151"/>
      <c r="H57" s="2151"/>
      <c r="I57" s="2151"/>
      <c r="J57" s="2152"/>
    </row>
    <row r="58" spans="1:10" s="181" customFormat="1" x14ac:dyDescent="0.2">
      <c r="A58" s="253"/>
      <c r="B58" s="2153"/>
      <c r="C58" s="2154"/>
      <c r="D58" s="2154"/>
      <c r="E58" s="2154"/>
      <c r="F58" s="2154"/>
      <c r="G58" s="2154"/>
      <c r="H58" s="2154"/>
      <c r="I58" s="2154"/>
      <c r="J58" s="2155"/>
    </row>
    <row r="59" spans="1:10" s="181" customFormat="1" x14ac:dyDescent="0.2">
      <c r="A59" s="253"/>
      <c r="B59" s="2153"/>
      <c r="C59" s="2154"/>
      <c r="D59" s="2154"/>
      <c r="E59" s="2154"/>
      <c r="F59" s="2154"/>
      <c r="G59" s="2154"/>
      <c r="H59" s="2154"/>
      <c r="I59" s="2154"/>
      <c r="J59" s="2155"/>
    </row>
    <row r="60" spans="1:10" s="181" customFormat="1" x14ac:dyDescent="0.2">
      <c r="A60" s="253"/>
      <c r="B60" s="2153"/>
      <c r="C60" s="2154"/>
      <c r="D60" s="2154"/>
      <c r="E60" s="2154"/>
      <c r="F60" s="2154"/>
      <c r="G60" s="2154"/>
      <c r="H60" s="2154"/>
      <c r="I60" s="2154"/>
      <c r="J60" s="2155"/>
    </row>
    <row r="61" spans="1:10" s="181" customFormat="1" x14ac:dyDescent="0.2">
      <c r="A61" s="253"/>
      <c r="B61" s="2153"/>
      <c r="C61" s="2154"/>
      <c r="D61" s="2154"/>
      <c r="E61" s="2154"/>
      <c r="F61" s="2154"/>
      <c r="G61" s="2154"/>
      <c r="H61" s="2154"/>
      <c r="I61" s="2154"/>
      <c r="J61" s="2155"/>
    </row>
    <row r="62" spans="1:10" s="181" customFormat="1" x14ac:dyDescent="0.2">
      <c r="A62" s="253"/>
      <c r="B62" s="2153"/>
      <c r="C62" s="2154"/>
      <c r="D62" s="2154"/>
      <c r="E62" s="2154"/>
      <c r="F62" s="2154"/>
      <c r="G62" s="2154"/>
      <c r="H62" s="2154"/>
      <c r="I62" s="2154"/>
      <c r="J62" s="2155"/>
    </row>
    <row r="63" spans="1:10" s="181" customFormat="1" x14ac:dyDescent="0.2">
      <c r="A63" s="253"/>
      <c r="B63" s="2153"/>
      <c r="C63" s="2154"/>
      <c r="D63" s="2154"/>
      <c r="E63" s="2154"/>
      <c r="F63" s="2154"/>
      <c r="G63" s="2154"/>
      <c r="H63" s="2154"/>
      <c r="I63" s="2154"/>
      <c r="J63" s="2155"/>
    </row>
    <row r="64" spans="1:10" s="181" customFormat="1" x14ac:dyDescent="0.2">
      <c r="A64" s="253"/>
      <c r="B64" s="2153"/>
      <c r="C64" s="2154"/>
      <c r="D64" s="2154"/>
      <c r="E64" s="2154"/>
      <c r="F64" s="2154"/>
      <c r="G64" s="2154"/>
      <c r="H64" s="2154"/>
      <c r="I64" s="2154"/>
      <c r="J64" s="2155"/>
    </row>
    <row r="65" spans="1:10" s="181" customFormat="1" x14ac:dyDescent="0.2">
      <c r="A65" s="253"/>
      <c r="B65" s="2153"/>
      <c r="C65" s="2154"/>
      <c r="D65" s="2154"/>
      <c r="E65" s="2154"/>
      <c r="F65" s="2154"/>
      <c r="G65" s="2154"/>
      <c r="H65" s="2154"/>
      <c r="I65" s="2154"/>
      <c r="J65" s="2155"/>
    </row>
    <row r="66" spans="1:10" s="181" customFormat="1" x14ac:dyDescent="0.2">
      <c r="A66" s="253"/>
      <c r="B66" s="2153"/>
      <c r="C66" s="2154"/>
      <c r="D66" s="2154"/>
      <c r="E66" s="2154"/>
      <c r="F66" s="2154"/>
      <c r="G66" s="2154"/>
      <c r="H66" s="2154"/>
      <c r="I66" s="2154"/>
      <c r="J66" s="2155"/>
    </row>
    <row r="67" spans="1:10" s="181" customFormat="1" ht="9" customHeight="1" x14ac:dyDescent="0.2">
      <c r="A67" s="254"/>
      <c r="B67" s="2156"/>
      <c r="C67" s="2157"/>
      <c r="D67" s="2157"/>
      <c r="E67" s="2157"/>
      <c r="F67" s="2157"/>
      <c r="G67" s="2157"/>
      <c r="H67" s="2157"/>
      <c r="I67" s="2157"/>
      <c r="J67" s="215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3" t="s">
        <v>1322</v>
      </c>
      <c r="B70" s="2146"/>
      <c r="C70" s="2146"/>
      <c r="D70" s="2146"/>
      <c r="E70" s="2147"/>
      <c r="F70" s="2147"/>
      <c r="G70" s="2147"/>
      <c r="H70" s="2147"/>
      <c r="I70" s="214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1902</v>
      </c>
      <c r="I77" s="1811"/>
      <c r="J77" s="261">
        <v>43713</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8" t="s">
        <v>1319</v>
      </c>
      <c r="B83" s="2148"/>
      <c r="C83" s="2148"/>
      <c r="D83" s="214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1925</v>
      </c>
      <c r="B88" s="286"/>
      <c r="C88" s="287"/>
      <c r="D88" s="288"/>
      <c r="E88" s="276"/>
      <c r="F88" s="276">
        <v>104312.76</v>
      </c>
      <c r="G88" s="276">
        <v>51888.800000000003</v>
      </c>
      <c r="H88" s="276">
        <v>27938.05</v>
      </c>
      <c r="I88" s="276"/>
      <c r="J88" s="277">
        <f>SUM(E88:I88)</f>
        <v>184139.61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184139.61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30"/>
      <c r="C102" s="2131"/>
      <c r="D102" s="2131"/>
      <c r="E102" s="2131"/>
      <c r="F102" s="2131"/>
      <c r="G102" s="2131"/>
      <c r="H102" s="2131"/>
      <c r="I102" s="2132"/>
    </row>
    <row r="103" spans="1:9" s="181" customFormat="1" ht="11.25" customHeight="1" x14ac:dyDescent="0.2">
      <c r="A103" s="316"/>
      <c r="B103" s="2133"/>
      <c r="C103" s="2134"/>
      <c r="D103" s="2134"/>
      <c r="E103" s="2134"/>
      <c r="F103" s="2134"/>
      <c r="G103" s="2134"/>
      <c r="H103" s="2134"/>
      <c r="I103" s="2135"/>
    </row>
    <row r="104" spans="1:9" s="181" customFormat="1" ht="11.25" customHeight="1" x14ac:dyDescent="0.2">
      <c r="A104" s="316"/>
      <c r="B104" s="2133"/>
      <c r="C104" s="2134"/>
      <c r="D104" s="2134"/>
      <c r="E104" s="2134"/>
      <c r="F104" s="2134"/>
      <c r="G104" s="2134"/>
      <c r="H104" s="2134"/>
      <c r="I104" s="2135"/>
    </row>
    <row r="105" spans="1:9" s="181" customFormat="1" x14ac:dyDescent="0.2">
      <c r="A105" s="316"/>
      <c r="B105" s="2133"/>
      <c r="C105" s="2134"/>
      <c r="D105" s="2134"/>
      <c r="E105" s="2134"/>
      <c r="F105" s="2134"/>
      <c r="G105" s="2134"/>
      <c r="H105" s="2134"/>
      <c r="I105" s="2135"/>
    </row>
    <row r="106" spans="1:9" s="181" customFormat="1" ht="11.25" customHeight="1" x14ac:dyDescent="0.2">
      <c r="A106" s="316"/>
      <c r="B106" s="2133"/>
      <c r="C106" s="2134"/>
      <c r="D106" s="2134"/>
      <c r="E106" s="2134"/>
      <c r="F106" s="2134"/>
      <c r="G106" s="2134"/>
      <c r="H106" s="2134"/>
      <c r="I106" s="2135"/>
    </row>
    <row r="107" spans="1:9" s="181" customFormat="1" ht="11.25" customHeight="1" x14ac:dyDescent="0.2">
      <c r="A107" s="316"/>
      <c r="B107" s="2133"/>
      <c r="C107" s="2134"/>
      <c r="D107" s="2134"/>
      <c r="E107" s="2134"/>
      <c r="F107" s="2134"/>
      <c r="G107" s="2134"/>
      <c r="H107" s="2134"/>
      <c r="I107" s="2135"/>
    </row>
    <row r="108" spans="1:9" s="181" customFormat="1" ht="11.25" customHeight="1" x14ac:dyDescent="0.2">
      <c r="A108" s="316"/>
      <c r="B108" s="2133"/>
      <c r="C108" s="2134"/>
      <c r="D108" s="2134"/>
      <c r="E108" s="2134"/>
      <c r="F108" s="2134"/>
      <c r="G108" s="2134"/>
      <c r="H108" s="2134"/>
      <c r="I108" s="2135"/>
    </row>
    <row r="109" spans="1:9" s="181" customFormat="1" ht="11.25" customHeight="1" x14ac:dyDescent="0.2">
      <c r="A109" s="316"/>
      <c r="B109" s="2133"/>
      <c r="C109" s="2134"/>
      <c r="D109" s="2134"/>
      <c r="E109" s="2134"/>
      <c r="F109" s="2134"/>
      <c r="G109" s="2134"/>
      <c r="H109" s="2134"/>
      <c r="I109" s="2135"/>
    </row>
    <row r="110" spans="1:9" s="181" customFormat="1" ht="11.25" customHeight="1" x14ac:dyDescent="0.2">
      <c r="A110" s="316"/>
      <c r="B110" s="2133"/>
      <c r="C110" s="2134"/>
      <c r="D110" s="2134"/>
      <c r="E110" s="2134"/>
      <c r="F110" s="2134"/>
      <c r="G110" s="2134"/>
      <c r="H110" s="2134"/>
      <c r="I110" s="2135"/>
    </row>
    <row r="111" spans="1:9" s="181" customFormat="1" ht="11.25" customHeight="1" x14ac:dyDescent="0.2">
      <c r="A111" s="316"/>
      <c r="B111" s="2133"/>
      <c r="C111" s="2134"/>
      <c r="D111" s="2134"/>
      <c r="E111" s="2134"/>
      <c r="F111" s="2134"/>
      <c r="G111" s="2134"/>
      <c r="H111" s="2134"/>
      <c r="I111" s="2135"/>
    </row>
    <row r="112" spans="1:9" s="181" customFormat="1" ht="11.25" customHeight="1" x14ac:dyDescent="0.2">
      <c r="A112" s="316"/>
      <c r="B112" s="2136"/>
      <c r="C112" s="2137"/>
      <c r="D112" s="2137"/>
      <c r="E112" s="2137"/>
      <c r="F112" s="2137"/>
      <c r="G112" s="2137"/>
      <c r="H112" s="2137"/>
      <c r="I112" s="213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9" t="s">
        <v>2131</v>
      </c>
      <c r="D114" s="213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0" t="s">
        <v>1329</v>
      </c>
      <c r="D117" s="2141"/>
      <c r="E117" s="2142"/>
      <c r="F117" s="2142"/>
      <c r="G117" s="2142"/>
      <c r="H117" s="2142"/>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360</v>
      </c>
      <c r="E119" s="310"/>
      <c r="F119" s="1812" t="s">
        <v>1903</v>
      </c>
      <c r="G119" s="328"/>
      <c r="H119" s="328"/>
      <c r="I119" s="304"/>
    </row>
    <row r="120" spans="1:9" x14ac:dyDescent="0.2">
      <c r="A120" s="329"/>
      <c r="B120" s="180"/>
      <c r="C120" s="330"/>
      <c r="D120" s="256"/>
      <c r="E120" s="256"/>
      <c r="F120" s="256"/>
      <c r="G120" s="256"/>
      <c r="H120" s="256"/>
      <c r="I120" s="304"/>
    </row>
    <row r="121" spans="1:9" x14ac:dyDescent="0.2">
      <c r="A121" s="329"/>
      <c r="B121" s="146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21" t="str">
        <f>'Single Audit Cover'!A7</f>
        <v>Johnsburg CUSD 12</v>
      </c>
      <c r="B1" s="2521"/>
      <c r="C1" s="2521"/>
      <c r="D1" s="2521"/>
      <c r="E1" s="2521"/>
      <c r="F1" s="2521"/>
    </row>
    <row r="2" spans="1:7" ht="13.5" customHeight="1" x14ac:dyDescent="0.2">
      <c r="A2" s="2509">
        <f>'Single Audit Cover'!E7</f>
        <v>44063012026</v>
      </c>
      <c r="B2" s="2509"/>
      <c r="C2" s="2509"/>
      <c r="D2" s="2509"/>
      <c r="E2" s="2509"/>
      <c r="F2" s="2509"/>
      <c r="G2" s="1245"/>
    </row>
    <row r="3" spans="1:7" ht="15.75" customHeight="1" x14ac:dyDescent="0.2">
      <c r="A3" s="2522" t="s">
        <v>1270</v>
      </c>
      <c r="B3" s="2522"/>
      <c r="C3" s="2522"/>
      <c r="D3" s="2522"/>
      <c r="E3" s="2522"/>
      <c r="F3" s="2522"/>
    </row>
    <row r="4" spans="1:7" ht="13.5" customHeight="1" x14ac:dyDescent="0.2">
      <c r="A4" s="2523" t="str">
        <f>'Single Audit Cover'!A4</f>
        <v>Year Ending June 30, 2019</v>
      </c>
      <c r="B4" s="2523"/>
      <c r="C4" s="2523"/>
      <c r="D4" s="2523"/>
      <c r="E4" s="2523"/>
      <c r="F4" s="2523"/>
    </row>
    <row r="5" spans="1:7" ht="8.25" customHeight="1" x14ac:dyDescent="0.2">
      <c r="C5" s="317"/>
      <c r="D5" s="317"/>
    </row>
    <row r="6" spans="1:7" ht="13.5" customHeight="1" x14ac:dyDescent="0.2">
      <c r="A6" s="1246" t="s">
        <v>1727</v>
      </c>
      <c r="C6" s="317"/>
      <c r="D6" s="317"/>
    </row>
    <row r="7" spans="1:7" ht="60.95" customHeight="1" x14ac:dyDescent="0.2">
      <c r="A7" s="2520" t="s">
        <v>2147</v>
      </c>
      <c r="B7" s="2520"/>
      <c r="C7" s="2520"/>
      <c r="D7" s="2520"/>
      <c r="E7" s="2520"/>
      <c r="F7" s="2520"/>
    </row>
    <row r="8" spans="1:7" ht="12" customHeight="1" x14ac:dyDescent="0.2">
      <c r="A8" s="1246"/>
      <c r="B8" s="1252"/>
      <c r="C8" s="1252"/>
      <c r="D8" s="1252"/>
    </row>
    <row r="9" spans="1:7" ht="15" customHeight="1" x14ac:dyDescent="0.2">
      <c r="A9" s="1247" t="s">
        <v>1728</v>
      </c>
      <c r="B9" s="1250"/>
      <c r="C9" s="1250"/>
      <c r="D9" s="1250"/>
      <c r="E9" s="1248"/>
      <c r="F9" s="1248"/>
      <c r="G9" s="1248"/>
    </row>
    <row r="10" spans="1:7" ht="15" customHeight="1" x14ac:dyDescent="0.2">
      <c r="A10" s="1249" t="s">
        <v>1546</v>
      </c>
      <c r="B10" s="1250"/>
      <c r="C10" s="1251"/>
      <c r="D10" s="1250" t="s">
        <v>1547</v>
      </c>
      <c r="E10" s="1251" t="s">
        <v>2130</v>
      </c>
      <c r="F10" s="1250" t="s">
        <v>99</v>
      </c>
      <c r="G10" s="1248"/>
    </row>
    <row r="11" spans="1:7" ht="12" customHeight="1" x14ac:dyDescent="0.2">
      <c r="A11" s="1249"/>
      <c r="B11" s="1250"/>
      <c r="C11" s="1875"/>
      <c r="D11" s="1250"/>
      <c r="E11" s="1875"/>
      <c r="F11" s="1250"/>
      <c r="G11" s="1248"/>
    </row>
    <row r="12" spans="1:7" x14ac:dyDescent="0.2">
      <c r="A12" s="1246" t="s">
        <v>1586</v>
      </c>
      <c r="C12" s="1230"/>
      <c r="D12" s="1230"/>
    </row>
    <row r="13" spans="1:7" ht="15" customHeight="1" x14ac:dyDescent="0.2">
      <c r="A13" s="2520" t="s">
        <v>2135</v>
      </c>
      <c r="B13" s="2520"/>
      <c r="C13" s="2520"/>
      <c r="D13" s="2520"/>
      <c r="E13" s="2520"/>
      <c r="F13" s="2520"/>
    </row>
    <row r="14" spans="1:7" ht="9.75" customHeight="1" x14ac:dyDescent="0.2">
      <c r="C14" s="1230"/>
      <c r="D14" s="1230"/>
    </row>
    <row r="15" spans="1:7" ht="13.5" customHeight="1" x14ac:dyDescent="0.2">
      <c r="C15" s="1819" t="s">
        <v>1269</v>
      </c>
      <c r="D15" s="2518" t="s">
        <v>1268</v>
      </c>
      <c r="E15" s="2518"/>
      <c r="F15" s="2518"/>
    </row>
    <row r="16" spans="1:7" ht="13.5" customHeight="1" x14ac:dyDescent="0.2">
      <c r="A16" s="1252"/>
      <c r="B16" s="1246" t="s">
        <v>1267</v>
      </c>
      <c r="C16" s="1819" t="s">
        <v>1266</v>
      </c>
      <c r="D16" s="2519" t="s">
        <v>1587</v>
      </c>
      <c r="E16" s="2519"/>
      <c r="F16" s="2519"/>
    </row>
    <row r="17" spans="1:6" ht="20.45" customHeight="1" x14ac:dyDescent="0.2">
      <c r="A17" s="1253"/>
      <c r="B17" s="1254" t="s">
        <v>2148</v>
      </c>
      <c r="C17" s="1255"/>
      <c r="D17" s="2513"/>
      <c r="E17" s="2513"/>
      <c r="F17" s="2513"/>
    </row>
    <row r="18" spans="1:6" ht="20.65" customHeight="1" x14ac:dyDescent="0.2">
      <c r="A18" s="1253"/>
      <c r="B18" s="1254"/>
      <c r="C18" s="1255"/>
      <c r="D18" s="2513"/>
      <c r="E18" s="2513"/>
      <c r="F18" s="2513"/>
    </row>
    <row r="19" spans="1:6" ht="20.65" customHeight="1" x14ac:dyDescent="0.2">
      <c r="A19" s="1253"/>
      <c r="B19" s="1254"/>
      <c r="C19" s="1255"/>
      <c r="D19" s="2513"/>
      <c r="E19" s="2513"/>
      <c r="F19" s="2513"/>
    </row>
    <row r="20" spans="1:6" ht="20.65" customHeight="1" x14ac:dyDescent="0.2">
      <c r="A20" s="1253"/>
      <c r="B20" s="1254"/>
      <c r="C20" s="1255"/>
      <c r="D20" s="2513"/>
      <c r="E20" s="2513"/>
      <c r="F20" s="2513"/>
    </row>
    <row r="21" spans="1:6" ht="20.65" customHeight="1" x14ac:dyDescent="0.2">
      <c r="A21" s="1253"/>
      <c r="B21" s="1254"/>
      <c r="C21" s="1255"/>
      <c r="D21" s="2513"/>
      <c r="E21" s="2513"/>
      <c r="F21" s="2513"/>
    </row>
    <row r="22" spans="1:6" ht="20.65" customHeight="1" x14ac:dyDescent="0.2">
      <c r="A22" s="1253"/>
      <c r="B22" s="1254"/>
      <c r="C22" s="1255"/>
      <c r="D22" s="2513"/>
      <c r="E22" s="2513"/>
      <c r="F22" s="2513"/>
    </row>
    <row r="23" spans="1:6" ht="20.65" customHeight="1" x14ac:dyDescent="0.2">
      <c r="A23" s="1253"/>
      <c r="B23" s="1254"/>
      <c r="C23" s="1255"/>
      <c r="D23" s="2513"/>
      <c r="E23" s="2513"/>
      <c r="F23" s="2513"/>
    </row>
    <row r="24" spans="1:6" ht="20.65" customHeight="1" x14ac:dyDescent="0.2">
      <c r="A24" s="1253"/>
      <c r="B24" s="1254"/>
      <c r="C24" s="1255"/>
      <c r="D24" s="2513"/>
      <c r="E24" s="2513"/>
      <c r="F24" s="2513"/>
    </row>
    <row r="25" spans="1:6" ht="20.65" customHeight="1" x14ac:dyDescent="0.2">
      <c r="A25" s="1253"/>
      <c r="B25" s="1254"/>
      <c r="C25" s="1255"/>
      <c r="D25" s="2513"/>
      <c r="E25" s="2513"/>
      <c r="F25" s="2513"/>
    </row>
    <row r="26" spans="1:6" ht="20.65" customHeight="1" x14ac:dyDescent="0.2">
      <c r="A26" s="1253"/>
      <c r="B26" s="1254"/>
      <c r="C26" s="1255"/>
      <c r="D26" s="2513"/>
      <c r="E26" s="2513"/>
      <c r="F26" s="2513"/>
    </row>
    <row r="27" spans="1:6" ht="20.65" customHeight="1" x14ac:dyDescent="0.2">
      <c r="A27" s="1253"/>
      <c r="B27" s="1254"/>
      <c r="C27" s="1255"/>
      <c r="D27" s="2513"/>
      <c r="E27" s="2513"/>
      <c r="F27" s="2513"/>
    </row>
    <row r="28" spans="1:6" ht="20.65" customHeight="1" x14ac:dyDescent="0.2">
      <c r="A28" s="1253"/>
      <c r="B28" s="1254"/>
      <c r="C28" s="1255"/>
      <c r="D28" s="2513"/>
      <c r="E28" s="2513"/>
      <c r="F28" s="2513"/>
    </row>
    <row r="29" spans="1:6" ht="20.65" customHeight="1" x14ac:dyDescent="0.2">
      <c r="A29" s="1253"/>
      <c r="B29" s="1254"/>
      <c r="C29" s="1255"/>
      <c r="D29" s="2513"/>
      <c r="E29" s="2513"/>
      <c r="F29" s="2513"/>
    </row>
    <row r="30" spans="1:6" ht="12" customHeight="1" x14ac:dyDescent="0.2">
      <c r="A30" s="328"/>
      <c r="B30" s="328"/>
      <c r="C30" s="1435"/>
      <c r="D30" s="1876"/>
      <c r="E30" s="1256"/>
    </row>
    <row r="31" spans="1:6" ht="12" customHeight="1" x14ac:dyDescent="0.2">
      <c r="A31" s="1257" t="s">
        <v>1548</v>
      </c>
      <c r="B31" s="328"/>
      <c r="C31" s="1435"/>
      <c r="D31" s="1876"/>
      <c r="E31" s="1256"/>
    </row>
    <row r="32" spans="1:6" ht="30" customHeight="1" x14ac:dyDescent="0.2">
      <c r="A32" s="2514" t="s">
        <v>1729</v>
      </c>
      <c r="B32" s="2514"/>
      <c r="C32" s="2514"/>
      <c r="D32" s="2514"/>
      <c r="E32" s="2514"/>
      <c r="F32" s="2514"/>
    </row>
    <row r="33" spans="1:6" ht="13.5" customHeight="1" x14ac:dyDescent="0.2">
      <c r="A33" s="328" t="s">
        <v>1433</v>
      </c>
      <c r="B33" s="328"/>
      <c r="C33" s="1258">
        <v>60735</v>
      </c>
      <c r="D33" s="1876"/>
      <c r="E33" s="1256"/>
    </row>
    <row r="34" spans="1:6" ht="13.5" customHeight="1" x14ac:dyDescent="0.2">
      <c r="A34" s="328" t="s">
        <v>1835</v>
      </c>
      <c r="B34" s="328"/>
      <c r="C34" s="1259">
        <v>0</v>
      </c>
      <c r="D34" s="1876" t="s">
        <v>1588</v>
      </c>
      <c r="E34" s="2515">
        <f>+C33+C34</f>
        <v>60735</v>
      </c>
      <c r="F34" s="2516"/>
    </row>
    <row r="35" spans="1:6" ht="12" customHeight="1" x14ac:dyDescent="0.2">
      <c r="A35" s="328"/>
      <c r="B35" s="328"/>
      <c r="C35" s="1877"/>
      <c r="D35" s="1876"/>
      <c r="E35" s="1260"/>
      <c r="F35" s="1261"/>
    </row>
    <row r="36" spans="1:6" ht="13.5" customHeight="1" x14ac:dyDescent="0.2">
      <c r="A36" s="1257" t="s">
        <v>1549</v>
      </c>
      <c r="B36" s="328"/>
      <c r="C36" s="1435"/>
      <c r="D36" s="1876"/>
      <c r="E36" s="1256"/>
    </row>
    <row r="37" spans="1:6" ht="14.25" customHeight="1" x14ac:dyDescent="0.2">
      <c r="A37" s="328" t="s">
        <v>1483</v>
      </c>
      <c r="B37" s="328"/>
      <c r="C37" s="1878"/>
      <c r="D37" s="1876"/>
      <c r="E37" s="1256"/>
    </row>
    <row r="38" spans="1:6" ht="14.25" customHeight="1" x14ac:dyDescent="0.2">
      <c r="A38" s="328"/>
      <c r="B38" s="328" t="s">
        <v>1434</v>
      </c>
      <c r="C38" s="1262" t="s">
        <v>99</v>
      </c>
      <c r="D38" s="1876"/>
      <c r="E38" s="1256"/>
    </row>
    <row r="39" spans="1:6" ht="14.25" customHeight="1" x14ac:dyDescent="0.2">
      <c r="A39" s="328"/>
      <c r="B39" s="328" t="s">
        <v>1435</v>
      </c>
      <c r="C39" s="1262" t="s">
        <v>99</v>
      </c>
      <c r="D39" s="1876"/>
      <c r="E39" s="1256"/>
    </row>
    <row r="40" spans="1:6" ht="14.25" customHeight="1" x14ac:dyDescent="0.2">
      <c r="A40" s="328"/>
      <c r="B40" s="328" t="s">
        <v>1436</v>
      </c>
      <c r="C40" s="1262" t="s">
        <v>99</v>
      </c>
      <c r="D40" s="1876"/>
      <c r="E40" s="1256"/>
    </row>
    <row r="41" spans="1:6" ht="14.25" customHeight="1" x14ac:dyDescent="0.2">
      <c r="A41" s="328"/>
      <c r="B41" s="328" t="s">
        <v>1437</v>
      </c>
      <c r="C41" s="1262" t="s">
        <v>99</v>
      </c>
      <c r="D41" s="1876"/>
      <c r="E41" s="1256"/>
    </row>
    <row r="42" spans="1:6" ht="14.25" customHeight="1" x14ac:dyDescent="0.2">
      <c r="A42" s="328" t="s">
        <v>1438</v>
      </c>
      <c r="B42" s="328"/>
      <c r="C42" s="1874" t="s">
        <v>99</v>
      </c>
      <c r="D42" s="1876"/>
      <c r="E42" s="1256"/>
    </row>
    <row r="43" spans="1:6" ht="14.25" customHeight="1" x14ac:dyDescent="0.2">
      <c r="A43" s="328" t="s">
        <v>1439</v>
      </c>
      <c r="B43" s="328"/>
      <c r="C43" s="1263" t="s">
        <v>99</v>
      </c>
      <c r="D43" s="1876"/>
      <c r="E43" s="1256"/>
    </row>
    <row r="44" spans="1:6" ht="14.25" customHeight="1" x14ac:dyDescent="0.2">
      <c r="A44" s="328"/>
      <c r="B44" s="328"/>
      <c r="C44" s="1878" t="s">
        <v>1440</v>
      </c>
      <c r="D44" s="1876"/>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7" t="s">
        <v>1589</v>
      </c>
      <c r="C49" s="2517"/>
      <c r="D49" s="2517"/>
      <c r="E49" s="1369"/>
    </row>
    <row r="50" spans="1:5" s="1270" customFormat="1" ht="3.75" customHeight="1" x14ac:dyDescent="0.2">
      <c r="A50" s="1269"/>
      <c r="B50" s="1818"/>
      <c r="C50" s="1818"/>
      <c r="D50" s="1818"/>
      <c r="E50" s="1369"/>
    </row>
    <row r="51" spans="1:5" s="1270" customFormat="1" ht="20.25" customHeight="1" x14ac:dyDescent="0.2">
      <c r="A51" s="1271">
        <v>6</v>
      </c>
      <c r="B51" s="2512" t="s">
        <v>1550</v>
      </c>
      <c r="C51" s="2512"/>
      <c r="D51" s="2512"/>
    </row>
    <row r="52" spans="1:5" ht="14.25" customHeight="1" x14ac:dyDescent="0.2">
      <c r="A52" s="1271"/>
      <c r="B52" s="2512"/>
      <c r="C52" s="2512"/>
      <c r="D52" s="251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5" t="str">
        <f>'Single Audit Cover'!A7</f>
        <v>Johnsburg CUSD 12</v>
      </c>
      <c r="C1" s="2536"/>
      <c r="D1" s="2536"/>
      <c r="E1" s="2536"/>
      <c r="F1" s="2536"/>
      <c r="G1" s="2536"/>
      <c r="H1" s="2536"/>
      <c r="I1" s="2536"/>
      <c r="J1" s="1379"/>
    </row>
    <row r="2" spans="2:10" s="317" customFormat="1" ht="12.75" customHeight="1" x14ac:dyDescent="0.2">
      <c r="B2" s="2537">
        <f>'Single Audit Cover'!E7</f>
        <v>44063012026</v>
      </c>
      <c r="C2" s="2538"/>
      <c r="D2" s="2538"/>
      <c r="E2" s="2538"/>
      <c r="F2" s="2538"/>
      <c r="G2" s="2538"/>
      <c r="H2" s="2538"/>
      <c r="I2" s="2538"/>
      <c r="J2" s="1379"/>
    </row>
    <row r="3" spans="2:10" s="317" customFormat="1" ht="12.75" customHeight="1" x14ac:dyDescent="0.2">
      <c r="B3" s="2539" t="s">
        <v>1284</v>
      </c>
      <c r="C3" s="2540"/>
      <c r="D3" s="2540"/>
      <c r="E3" s="2540"/>
      <c r="F3" s="2540"/>
      <c r="G3" s="2540"/>
      <c r="H3" s="2540"/>
      <c r="I3" s="2540"/>
      <c r="J3" s="1380"/>
    </row>
    <row r="4" spans="2:10" s="317" customFormat="1" ht="12.75" customHeight="1" x14ac:dyDescent="0.2">
      <c r="B4" s="2539" t="str">
        <f>'Single Audit Cover'!A4</f>
        <v>Year Ending June 30, 2019</v>
      </c>
      <c r="C4" s="2540"/>
      <c r="D4" s="2540"/>
      <c r="E4" s="2540"/>
      <c r="F4" s="2540"/>
      <c r="G4" s="2540"/>
      <c r="H4" s="2540"/>
      <c r="I4" s="2540"/>
    </row>
    <row r="5" spans="2:10" s="317" customFormat="1" ht="6.2" customHeight="1" x14ac:dyDescent="0.2">
      <c r="B5" s="1381" t="s">
        <v>1168</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39" t="s">
        <v>1283</v>
      </c>
      <c r="C7" s="2540"/>
      <c r="D7" s="2540"/>
      <c r="E7" s="2540"/>
      <c r="F7" s="2540"/>
      <c r="G7" s="2540"/>
      <c r="H7" s="2540"/>
      <c r="I7" s="2540"/>
    </row>
    <row r="8" spans="2:10" s="317" customFormat="1" ht="6.2" customHeight="1" x14ac:dyDescent="0.2">
      <c r="B8" s="1383" t="s">
        <v>1168</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1282</v>
      </c>
      <c r="C10" s="1388"/>
      <c r="D10" s="1388"/>
      <c r="E10" s="1228"/>
    </row>
    <row r="11" spans="2:10" s="317" customFormat="1" ht="13.5" customHeight="1" x14ac:dyDescent="0.2">
      <c r="B11" s="1319" t="s">
        <v>1281</v>
      </c>
      <c r="C11" s="2541" t="s">
        <v>2136</v>
      </c>
      <c r="D11" s="2541"/>
      <c r="E11" s="1389"/>
      <c r="F11" s="1389"/>
      <c r="G11" s="1389"/>
    </row>
    <row r="12" spans="2:10" s="317" customFormat="1" ht="11.45" customHeight="1" x14ac:dyDescent="0.2">
      <c r="B12" s="1327"/>
      <c r="C12" s="1390" t="s">
        <v>1441</v>
      </c>
      <c r="D12" s="1391"/>
      <c r="E12" s="1228"/>
    </row>
    <row r="13" spans="2:10" s="317" customFormat="1" ht="12.75" customHeight="1" x14ac:dyDescent="0.2">
      <c r="B13" s="1392"/>
      <c r="C13" s="1357"/>
      <c r="D13" s="1357"/>
      <c r="E13" s="1228"/>
    </row>
    <row r="14" spans="2:10" s="317" customFormat="1" ht="12.75" customHeight="1" x14ac:dyDescent="0.2">
      <c r="B14" s="1338" t="s">
        <v>1280</v>
      </c>
      <c r="C14" s="1252"/>
      <c r="E14" s="1228"/>
    </row>
    <row r="15" spans="2:10" s="317" customFormat="1" ht="13.5" customHeight="1" x14ac:dyDescent="0.2">
      <c r="B15" s="1393" t="s">
        <v>1277</v>
      </c>
      <c r="C15" s="1394"/>
      <c r="D15" s="1368"/>
      <c r="E15" s="1395"/>
      <c r="F15" s="1270" t="s">
        <v>884</v>
      </c>
      <c r="G15" s="1395" t="s">
        <v>2130</v>
      </c>
      <c r="H15" s="1270" t="s">
        <v>1275</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1276</v>
      </c>
      <c r="C17" s="1394"/>
      <c r="D17" s="1368"/>
      <c r="E17" s="1396"/>
      <c r="F17" s="1227"/>
      <c r="G17" s="1396"/>
      <c r="H17" s="1270"/>
      <c r="I17" s="1270"/>
    </row>
    <row r="18" spans="2:9" s="317" customFormat="1" ht="12.75" customHeight="1" x14ac:dyDescent="0.2">
      <c r="B18" s="1393" t="s">
        <v>1442</v>
      </c>
      <c r="C18" s="1394"/>
      <c r="D18" s="1368"/>
      <c r="E18" s="1395"/>
      <c r="F18" s="1270" t="s">
        <v>884</v>
      </c>
      <c r="G18" s="1395" t="s">
        <v>2130</v>
      </c>
      <c r="H18" s="1270" t="s">
        <v>1275</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1590</v>
      </c>
      <c r="C20" s="1394"/>
      <c r="D20" s="1368"/>
      <c r="E20" s="1395"/>
      <c r="F20" s="1270" t="s">
        <v>884</v>
      </c>
      <c r="G20" s="1395" t="s">
        <v>2130</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1279</v>
      </c>
      <c r="C22" s="1397"/>
      <c r="D22" s="1388"/>
      <c r="E22" s="1353"/>
      <c r="F22" s="1270"/>
      <c r="G22" s="322"/>
      <c r="H22" s="1270"/>
      <c r="I22" s="1270"/>
    </row>
    <row r="23" spans="2:9" s="317" customFormat="1" ht="12.75" customHeight="1" x14ac:dyDescent="0.2">
      <c r="B23" s="1338" t="s">
        <v>1278</v>
      </c>
      <c r="C23" s="1252"/>
      <c r="E23" s="1353"/>
      <c r="F23" s="1270"/>
      <c r="G23" s="322"/>
      <c r="H23" s="1270"/>
      <c r="I23" s="1270"/>
    </row>
    <row r="24" spans="2:9" s="317" customFormat="1" ht="13.5" customHeight="1" x14ac:dyDescent="0.2">
      <c r="B24" s="1393" t="s">
        <v>1277</v>
      </c>
      <c r="C24" s="1394"/>
      <c r="D24" s="1368"/>
      <c r="E24" s="1395"/>
      <c r="F24" s="1270" t="s">
        <v>884</v>
      </c>
      <c r="G24" s="1395" t="s">
        <v>2130</v>
      </c>
      <c r="H24" s="1270" t="s">
        <v>1275</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1276</v>
      </c>
      <c r="C26" s="1394"/>
      <c r="D26" s="1368"/>
      <c r="E26" s="1396"/>
      <c r="F26" s="1227"/>
      <c r="G26" s="1396"/>
      <c r="H26" s="1270"/>
      <c r="I26" s="1270"/>
    </row>
    <row r="27" spans="2:9" s="317" customFormat="1" ht="12.75" customHeight="1" x14ac:dyDescent="0.2">
      <c r="B27" s="1393" t="s">
        <v>1442</v>
      </c>
      <c r="C27" s="1394"/>
      <c r="D27" s="1368"/>
      <c r="E27" s="1395"/>
      <c r="F27" s="1270" t="s">
        <v>884</v>
      </c>
      <c r="G27" s="1395" t="s">
        <v>2130</v>
      </c>
      <c r="H27" s="1270" t="s">
        <v>1275</v>
      </c>
      <c r="I27" s="1270"/>
    </row>
    <row r="28" spans="2:9" s="317" customFormat="1" ht="12.75" customHeight="1" x14ac:dyDescent="0.2">
      <c r="B28" s="1338"/>
      <c r="C28" s="1252"/>
      <c r="E28" s="1228"/>
    </row>
    <row r="29" spans="2:9" s="317" customFormat="1" ht="12.75" customHeight="1" x14ac:dyDescent="0.2">
      <c r="B29" s="1338" t="s">
        <v>1274</v>
      </c>
      <c r="C29" s="1252"/>
      <c r="D29" s="2542" t="s">
        <v>2136</v>
      </c>
      <c r="E29" s="2542"/>
      <c r="F29" s="2542"/>
      <c r="G29" s="2542"/>
      <c r="H29" s="2542"/>
      <c r="I29" s="2542"/>
    </row>
    <row r="30" spans="2:9" s="317" customFormat="1" x14ac:dyDescent="0.2">
      <c r="B30" s="1338"/>
      <c r="C30" s="322"/>
      <c r="D30" s="1390" t="s">
        <v>1745</v>
      </c>
      <c r="E30" s="1391"/>
      <c r="F30" s="1391"/>
      <c r="G30" s="1391"/>
      <c r="H30" s="1391"/>
      <c r="I30" s="1391"/>
    </row>
    <row r="31" spans="2:9" s="317" customFormat="1" ht="9.9499999999999993" customHeight="1" x14ac:dyDescent="0.2">
      <c r="B31" s="1338"/>
      <c r="E31" s="1228"/>
    </row>
    <row r="32" spans="2:9" s="317" customFormat="1" x14ac:dyDescent="0.2">
      <c r="B32" s="1338" t="s">
        <v>1273</v>
      </c>
      <c r="C32" s="1252"/>
      <c r="E32" s="1228"/>
    </row>
    <row r="33" spans="2:9" ht="13.5" customHeight="1" x14ac:dyDescent="0.2">
      <c r="B33" s="1338" t="s">
        <v>1551</v>
      </c>
      <c r="C33" s="1252"/>
      <c r="E33" s="1395"/>
      <c r="F33" s="1270" t="s">
        <v>884</v>
      </c>
      <c r="G33" s="1395" t="s">
        <v>2130</v>
      </c>
      <c r="H33" s="1270" t="s">
        <v>99</v>
      </c>
    </row>
    <row r="35" spans="2:9" x14ac:dyDescent="0.2">
      <c r="B35" s="1398" t="s">
        <v>1746</v>
      </c>
      <c r="C35" s="1399"/>
      <c r="D35" s="1237"/>
    </row>
    <row r="36" spans="2:9" ht="6" customHeight="1" x14ac:dyDescent="0.2">
      <c r="B36" s="1398"/>
      <c r="C36" s="1399"/>
      <c r="D36" s="1237"/>
    </row>
    <row r="37" spans="2:9" ht="17.25" customHeight="1" x14ac:dyDescent="0.2">
      <c r="B37" s="1400" t="s">
        <v>1747</v>
      </c>
      <c r="C37" s="2543" t="s">
        <v>1748</v>
      </c>
      <c r="D37" s="2544"/>
      <c r="E37" s="2544"/>
      <c r="F37" s="2545"/>
      <c r="G37" s="2543" t="s">
        <v>1591</v>
      </c>
      <c r="H37" s="2544"/>
      <c r="I37" s="2545"/>
    </row>
    <row r="38" spans="2:9" ht="16.5" customHeight="1" x14ac:dyDescent="0.2">
      <c r="B38" s="1401">
        <v>10.555</v>
      </c>
      <c r="C38" s="2531" t="s">
        <v>2137</v>
      </c>
      <c r="D38" s="2532"/>
      <c r="E38" s="2532"/>
      <c r="F38" s="2533"/>
      <c r="G38" s="2546">
        <v>270657</v>
      </c>
      <c r="H38" s="2547"/>
      <c r="I38" s="2548"/>
    </row>
    <row r="39" spans="2:9" ht="16.5" customHeight="1" x14ac:dyDescent="0.2">
      <c r="B39" s="1401" t="s">
        <v>2139</v>
      </c>
      <c r="C39" s="2531" t="s">
        <v>2138</v>
      </c>
      <c r="D39" s="2532"/>
      <c r="E39" s="2532"/>
      <c r="F39" s="2533"/>
      <c r="G39" s="2534">
        <v>460971</v>
      </c>
      <c r="H39" s="2534"/>
      <c r="I39" s="2534"/>
    </row>
    <row r="40" spans="2:9" ht="16.5" customHeight="1" x14ac:dyDescent="0.2">
      <c r="B40" s="1401"/>
      <c r="C40" s="2531"/>
      <c r="D40" s="2532"/>
      <c r="E40" s="2532"/>
      <c r="F40" s="2533"/>
      <c r="G40" s="2534"/>
      <c r="H40" s="2534"/>
      <c r="I40" s="2534"/>
    </row>
    <row r="41" spans="2:9" ht="16.5" customHeight="1" x14ac:dyDescent="0.2">
      <c r="B41" s="1401"/>
      <c r="C41" s="2531"/>
      <c r="D41" s="2532"/>
      <c r="E41" s="2532"/>
      <c r="F41" s="2533"/>
      <c r="G41" s="2534"/>
      <c r="H41" s="2534"/>
      <c r="I41" s="2534"/>
    </row>
    <row r="42" spans="2:9" ht="16.5" customHeight="1" x14ac:dyDescent="0.2">
      <c r="B42" s="1401"/>
      <c r="C42" s="2531"/>
      <c r="D42" s="2532"/>
      <c r="E42" s="2532"/>
      <c r="F42" s="2533"/>
      <c r="G42" s="2534"/>
      <c r="H42" s="2534"/>
      <c r="I42" s="2534"/>
    </row>
    <row r="43" spans="2:9" ht="16.5" customHeight="1" x14ac:dyDescent="0.2">
      <c r="B43" s="1401"/>
      <c r="C43" s="2524" t="s">
        <v>1592</v>
      </c>
      <c r="D43" s="2525"/>
      <c r="E43" s="2525"/>
      <c r="F43" s="2526"/>
      <c r="G43" s="2527">
        <f>SUM(G38:I42)</f>
        <v>731628</v>
      </c>
      <c r="H43" s="2527"/>
      <c r="I43" s="2527"/>
    </row>
    <row r="44" spans="2:9" ht="12.75" customHeight="1" x14ac:dyDescent="0.2"/>
    <row r="45" spans="2:9" ht="12.75" customHeight="1" x14ac:dyDescent="0.2">
      <c r="B45" s="1392" t="s">
        <v>1838</v>
      </c>
      <c r="D45" s="2528">
        <v>970321</v>
      </c>
      <c r="E45" s="2529"/>
    </row>
    <row r="46" spans="2:9" ht="5.25" customHeight="1" x14ac:dyDescent="0.2">
      <c r="B46" s="1402"/>
      <c r="D46" s="1403"/>
      <c r="E46" s="1404"/>
    </row>
    <row r="47" spans="2:9" ht="12.75" customHeight="1" x14ac:dyDescent="0.2">
      <c r="B47" s="1270" t="s">
        <v>1593</v>
      </c>
      <c r="C47" s="1270"/>
      <c r="D47" s="1405">
        <f>+G43/D45</f>
        <v>0.75400614848076053</v>
      </c>
      <c r="E47" s="1406"/>
      <c r="F47" s="1407"/>
      <c r="I47" s="1408"/>
    </row>
    <row r="48" spans="2:9" ht="9.9499999999999993" customHeight="1" x14ac:dyDescent="0.2"/>
    <row r="49" spans="1:9" x14ac:dyDescent="0.2">
      <c r="B49" s="1338" t="s">
        <v>1272</v>
      </c>
      <c r="C49" s="1252"/>
      <c r="D49" s="1252"/>
      <c r="E49" s="2530">
        <v>750000</v>
      </c>
      <c r="F49" s="2530"/>
      <c r="G49" s="2530"/>
      <c r="H49" s="322"/>
    </row>
    <row r="51" spans="1:9" ht="13.5" customHeight="1" x14ac:dyDescent="0.2">
      <c r="B51" s="1338" t="s">
        <v>1271</v>
      </c>
      <c r="C51" s="1252"/>
      <c r="E51" s="1395"/>
      <c r="F51" s="1270" t="s">
        <v>884</v>
      </c>
      <c r="G51" s="1395" t="s">
        <v>2130</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1749</v>
      </c>
      <c r="C54" s="1417"/>
      <c r="D54" s="1417"/>
    </row>
    <row r="55" spans="1:9" s="1418" customFormat="1" ht="12.75" customHeight="1" x14ac:dyDescent="0.2">
      <c r="A55" s="1415"/>
      <c r="B55" s="1419" t="s">
        <v>1594</v>
      </c>
      <c r="C55" s="1415"/>
      <c r="D55" s="1415"/>
    </row>
    <row r="56" spans="1:9" s="1418" customFormat="1" ht="12.75" customHeight="1" x14ac:dyDescent="0.2">
      <c r="A56" s="1415"/>
      <c r="B56" s="1419" t="s">
        <v>1595</v>
      </c>
      <c r="C56" s="1415"/>
      <c r="D56" s="1415"/>
    </row>
    <row r="57" spans="1:9" s="1418" customFormat="1" ht="3.95" customHeight="1" x14ac:dyDescent="0.2">
      <c r="A57" s="1415"/>
      <c r="B57" s="1419"/>
      <c r="C57" s="1415"/>
      <c r="D57" s="1415"/>
    </row>
    <row r="58" spans="1:9" s="1418" customFormat="1" ht="13.5" customHeight="1" x14ac:dyDescent="0.2">
      <c r="A58" s="1415"/>
      <c r="B58" s="1420" t="s">
        <v>1750</v>
      </c>
      <c r="C58" s="1421"/>
      <c r="D58" s="1421"/>
    </row>
    <row r="59" spans="1:9" s="1418" customFormat="1" ht="3.95" customHeight="1" x14ac:dyDescent="0.2">
      <c r="A59" s="1415"/>
      <c r="B59" s="1420"/>
      <c r="C59" s="1421"/>
      <c r="D59" s="1421"/>
    </row>
    <row r="60" spans="1:9" s="1418" customFormat="1" ht="13.5" customHeight="1" x14ac:dyDescent="0.2">
      <c r="A60" s="1415"/>
      <c r="B60" s="1420" t="s">
        <v>1751</v>
      </c>
      <c r="C60" s="1421"/>
      <c r="D60" s="1421"/>
    </row>
    <row r="61" spans="1:9" s="1418" customFormat="1" ht="3.95" customHeight="1" x14ac:dyDescent="0.2">
      <c r="A61" s="1415"/>
      <c r="B61" s="1420"/>
      <c r="C61" s="1421"/>
      <c r="D61" s="1421"/>
    </row>
    <row r="62" spans="1:9" s="1418" customFormat="1" ht="12.75" customHeight="1" x14ac:dyDescent="0.2">
      <c r="A62" s="1415"/>
      <c r="B62" s="1420" t="s">
        <v>1752</v>
      </c>
      <c r="C62" s="1421"/>
      <c r="D62" s="1421"/>
    </row>
    <row r="63" spans="1:9" s="1418" customFormat="1" ht="13.5" customHeight="1" x14ac:dyDescent="0.2">
      <c r="A63" s="1415"/>
      <c r="B63" s="1419" t="s">
        <v>1596</v>
      </c>
      <c r="C63" s="1415"/>
      <c r="D63" s="141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5" t="str">
        <f>'Single Audit Cover'!A7</f>
        <v>Johnsburg CUSD 12</v>
      </c>
      <c r="C1" s="2535"/>
      <c r="D1" s="2535"/>
      <c r="E1" s="2535"/>
      <c r="F1" s="2535"/>
      <c r="G1" s="2535"/>
      <c r="H1" s="2535"/>
      <c r="I1" s="2535"/>
      <c r="J1" s="2535"/>
      <c r="K1" s="2535"/>
      <c r="L1" s="1344"/>
      <c r="M1" s="1344"/>
    </row>
    <row r="2" spans="1:13" ht="12" customHeight="1" x14ac:dyDescent="0.2">
      <c r="B2" s="2537">
        <f>'Single Audit Cover'!E7</f>
        <v>44063012026</v>
      </c>
      <c r="C2" s="2537"/>
      <c r="D2" s="2537"/>
      <c r="E2" s="2537"/>
      <c r="F2" s="2537"/>
      <c r="G2" s="2537"/>
      <c r="H2" s="2537"/>
      <c r="I2" s="2537"/>
      <c r="J2" s="2537"/>
      <c r="K2" s="2537"/>
      <c r="L2" s="1345"/>
      <c r="M2" s="1346"/>
    </row>
    <row r="3" spans="1:13" ht="10.35" customHeight="1" x14ac:dyDescent="0.2">
      <c r="B3" s="2551" t="s">
        <v>1284</v>
      </c>
      <c r="C3" s="2551"/>
      <c r="D3" s="2551"/>
      <c r="E3" s="2551"/>
      <c r="F3" s="2551"/>
      <c r="G3" s="2551"/>
      <c r="H3" s="2551"/>
      <c r="I3" s="2551"/>
      <c r="J3" s="2551"/>
      <c r="K3" s="2551"/>
      <c r="L3" s="1347"/>
      <c r="M3" s="1347"/>
    </row>
    <row r="4" spans="1:13" ht="14.25" customHeight="1" x14ac:dyDescent="0.2">
      <c r="B4" s="2552" t="str">
        <f>'Single Audit Cover'!A4</f>
        <v>Year Ending June 30, 2019</v>
      </c>
      <c r="C4" s="2552"/>
      <c r="D4" s="2552"/>
      <c r="E4" s="2552"/>
      <c r="F4" s="2552"/>
      <c r="G4" s="2552"/>
      <c r="H4" s="2552"/>
      <c r="I4" s="2552"/>
      <c r="J4" s="2552"/>
      <c r="K4" s="2552"/>
      <c r="L4" s="313"/>
      <c r="M4" s="313"/>
    </row>
    <row r="5" spans="1:13" ht="7.5" customHeight="1" x14ac:dyDescent="0.2">
      <c r="B5" s="1230" t="s">
        <v>1168</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52" t="s">
        <v>1295</v>
      </c>
      <c r="C7" s="2552"/>
      <c r="D7" s="2553"/>
      <c r="E7" s="2553"/>
      <c r="F7" s="2553"/>
      <c r="G7" s="2553"/>
      <c r="H7" s="2553"/>
      <c r="I7" s="2553"/>
      <c r="J7" s="2553"/>
      <c r="K7" s="2553"/>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t="s">
        <v>2071</v>
      </c>
      <c r="E10" s="322"/>
      <c r="F10" s="1357" t="s">
        <v>1294</v>
      </c>
      <c r="G10" s="1358"/>
      <c r="H10" s="1359" t="s">
        <v>1293</v>
      </c>
      <c r="I10" s="1358"/>
      <c r="J10" s="1360" t="s">
        <v>1292</v>
      </c>
      <c r="K10" s="322"/>
      <c r="L10" s="1351"/>
    </row>
    <row r="11" spans="1:13" ht="13.5" customHeight="1" x14ac:dyDescent="0.2">
      <c r="B11" s="322"/>
      <c r="C11" s="322"/>
      <c r="D11" s="322"/>
      <c r="E11" s="322"/>
      <c r="F11" s="322"/>
      <c r="G11" s="1353"/>
      <c r="H11" s="322"/>
      <c r="I11" s="1361" t="s">
        <v>1291</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1290</v>
      </c>
      <c r="C13" s="1363"/>
      <c r="D13" s="1364"/>
      <c r="E13" s="1364"/>
      <c r="F13" s="1364"/>
      <c r="G13" s="1365"/>
      <c r="H13" s="1364"/>
      <c r="I13" s="1365"/>
      <c r="J13" s="1364"/>
      <c r="K13" s="1364"/>
      <c r="L13" s="1366"/>
    </row>
    <row r="14" spans="1:13" ht="45.75" customHeight="1" x14ac:dyDescent="0.2">
      <c r="B14" s="2550"/>
      <c r="C14" s="2550"/>
      <c r="D14" s="2550"/>
      <c r="E14" s="2550"/>
      <c r="F14" s="2550"/>
      <c r="G14" s="2550"/>
      <c r="H14" s="2550"/>
      <c r="I14" s="2550"/>
      <c r="J14" s="2550"/>
      <c r="K14" s="2550"/>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1289</v>
      </c>
      <c r="C16" s="1363"/>
      <c r="D16" s="1364"/>
      <c r="E16" s="1364"/>
      <c r="F16" s="1364"/>
      <c r="G16" s="1365"/>
      <c r="H16" s="1364"/>
      <c r="I16" s="1365"/>
      <c r="J16" s="1364"/>
      <c r="K16" s="1364"/>
      <c r="L16" s="1366"/>
    </row>
    <row r="17" spans="2:12" ht="45.75" customHeight="1" x14ac:dyDescent="0.2">
      <c r="B17" s="2550"/>
      <c r="C17" s="2550"/>
      <c r="D17" s="2550"/>
      <c r="E17" s="2550"/>
      <c r="F17" s="2550"/>
      <c r="G17" s="2550"/>
      <c r="H17" s="2550"/>
      <c r="I17" s="2550"/>
      <c r="J17" s="2550"/>
      <c r="K17" s="2550"/>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54"/>
      <c r="C20" s="2554"/>
      <c r="D20" s="2550"/>
      <c r="E20" s="2550"/>
      <c r="F20" s="2550"/>
      <c r="G20" s="2550"/>
      <c r="H20" s="2550"/>
      <c r="I20" s="2550"/>
      <c r="J20" s="2550"/>
      <c r="K20" s="2550"/>
      <c r="L20" s="1351"/>
    </row>
    <row r="21" spans="2:12" ht="4.5" customHeight="1" x14ac:dyDescent="0.2">
      <c r="B21" s="1370"/>
      <c r="C21" s="1370"/>
      <c r="L21" s="1351"/>
    </row>
    <row r="22" spans="2:12" ht="13.5" customHeight="1" x14ac:dyDescent="0.2">
      <c r="B22" s="1363" t="s">
        <v>1288</v>
      </c>
      <c r="C22" s="1363"/>
      <c r="D22" s="1349"/>
      <c r="E22" s="1349"/>
      <c r="F22" s="1349"/>
      <c r="G22" s="1350"/>
      <c r="H22" s="1349"/>
      <c r="I22" s="1350"/>
      <c r="J22" s="1349"/>
      <c r="K22" s="1349"/>
      <c r="L22" s="1351"/>
    </row>
    <row r="23" spans="2:12" ht="45" customHeight="1" x14ac:dyDescent="0.2">
      <c r="B23" s="2550"/>
      <c r="C23" s="2550"/>
      <c r="D23" s="2550"/>
      <c r="E23" s="2550"/>
      <c r="F23" s="2550"/>
      <c r="G23" s="2550"/>
      <c r="H23" s="2550"/>
      <c r="I23" s="2550"/>
      <c r="J23" s="2550"/>
      <c r="K23" s="2550"/>
      <c r="L23" s="1351"/>
    </row>
    <row r="24" spans="2:12" ht="4.5" customHeight="1" x14ac:dyDescent="0.2">
      <c r="B24" s="1368"/>
      <c r="C24" s="1368"/>
      <c r="L24" s="1351"/>
    </row>
    <row r="25" spans="2:12" ht="13.5" customHeight="1" x14ac:dyDescent="0.2">
      <c r="B25" s="1363" t="s">
        <v>1287</v>
      </c>
      <c r="C25" s="1363"/>
      <c r="D25" s="1349"/>
      <c r="E25" s="1349"/>
      <c r="F25" s="1349"/>
      <c r="G25" s="1350"/>
      <c r="H25" s="1349"/>
      <c r="I25" s="1350"/>
      <c r="J25" s="1349"/>
      <c r="K25" s="1349"/>
      <c r="L25" s="1351"/>
    </row>
    <row r="26" spans="2:12" ht="45.75" customHeight="1" x14ac:dyDescent="0.2">
      <c r="B26" s="2550"/>
      <c r="C26" s="2550"/>
      <c r="D26" s="2550"/>
      <c r="E26" s="2550"/>
      <c r="F26" s="2550"/>
      <c r="G26" s="2550"/>
      <c r="H26" s="2550"/>
      <c r="I26" s="2550"/>
      <c r="J26" s="2550"/>
      <c r="K26" s="2550"/>
      <c r="L26" s="1351"/>
    </row>
    <row r="27" spans="2:12" ht="4.5" customHeight="1" x14ac:dyDescent="0.2">
      <c r="B27" s="1368"/>
      <c r="C27" s="1368"/>
      <c r="L27" s="1351"/>
    </row>
    <row r="28" spans="2:12" ht="13.5" customHeight="1" x14ac:dyDescent="0.2">
      <c r="B28" s="1371" t="s">
        <v>1286</v>
      </c>
      <c r="C28" s="1371"/>
      <c r="D28" s="1349"/>
      <c r="E28" s="1349"/>
      <c r="F28" s="1349"/>
      <c r="G28" s="1350"/>
      <c r="H28" s="1349"/>
      <c r="I28" s="1350"/>
      <c r="J28" s="1349"/>
      <c r="K28" s="1349"/>
      <c r="L28" s="1351"/>
    </row>
    <row r="29" spans="2:12" ht="45.75" customHeight="1" x14ac:dyDescent="0.2">
      <c r="B29" s="2549"/>
      <c r="C29" s="2549"/>
      <c r="D29" s="2550"/>
      <c r="E29" s="2550"/>
      <c r="F29" s="2550"/>
      <c r="G29" s="2550"/>
      <c r="H29" s="2550"/>
      <c r="I29" s="2550"/>
      <c r="J29" s="2550"/>
      <c r="K29" s="2550"/>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49"/>
      <c r="C32" s="2549"/>
      <c r="D32" s="2550"/>
      <c r="E32" s="2550"/>
      <c r="F32" s="2550"/>
      <c r="G32" s="2550"/>
      <c r="H32" s="2550"/>
      <c r="I32" s="2550"/>
      <c r="J32" s="2550"/>
      <c r="K32" s="2550"/>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1285</v>
      </c>
      <c r="C39" s="1270"/>
      <c r="M39" s="1378"/>
    </row>
    <row r="40" spans="1:13" ht="12.6" customHeight="1" x14ac:dyDescent="0.2">
      <c r="B40" s="1377" t="s">
        <v>1744</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U26" sqref="U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8" t="str">
        <f>'Single Audit Cover'!A7</f>
        <v>Johnsburg CUSD 12</v>
      </c>
      <c r="C1" s="2558"/>
      <c r="D1" s="2558"/>
      <c r="E1" s="2558"/>
      <c r="F1" s="2558"/>
      <c r="G1" s="2558"/>
      <c r="H1" s="2558"/>
      <c r="I1" s="2558"/>
      <c r="J1" s="2558"/>
      <c r="K1" s="2558"/>
      <c r="L1" s="1422"/>
    </row>
    <row r="2" spans="1:12" ht="12.75" customHeight="1" x14ac:dyDescent="0.2">
      <c r="B2" s="2559">
        <f>'Single Audit Cover'!E7</f>
        <v>44063012026</v>
      </c>
      <c r="C2" s="2559"/>
      <c r="D2" s="2559"/>
      <c r="E2" s="2559"/>
      <c r="F2" s="2559"/>
      <c r="G2" s="2559"/>
      <c r="H2" s="2559"/>
      <c r="I2" s="2559"/>
      <c r="J2" s="2559"/>
      <c r="K2" s="2559"/>
      <c r="L2" s="1423"/>
    </row>
    <row r="3" spans="1:12" ht="12.75" customHeight="1" x14ac:dyDescent="0.2">
      <c r="B3" s="2551" t="s">
        <v>1284</v>
      </c>
      <c r="C3" s="2551"/>
      <c r="D3" s="2551"/>
      <c r="E3" s="2551"/>
      <c r="F3" s="2551"/>
      <c r="G3" s="2551"/>
      <c r="H3" s="2551"/>
      <c r="I3" s="2551"/>
      <c r="J3" s="2551"/>
      <c r="K3" s="2551"/>
      <c r="L3" s="1347"/>
    </row>
    <row r="4" spans="1:12" ht="12.75" customHeight="1" x14ac:dyDescent="0.2">
      <c r="B4" s="2551" t="str">
        <f>'Single Audit Cover'!A4</f>
        <v>Year Ending June 30, 2019</v>
      </c>
      <c r="C4" s="2551"/>
      <c r="D4" s="2551"/>
      <c r="E4" s="2551"/>
      <c r="F4" s="2551"/>
      <c r="G4" s="2551"/>
      <c r="H4" s="2551"/>
      <c r="I4" s="2551"/>
      <c r="J4" s="2551"/>
      <c r="K4" s="2551"/>
      <c r="L4" s="1347"/>
    </row>
    <row r="5" spans="1:12" ht="5.25" customHeight="1" x14ac:dyDescent="0.2">
      <c r="B5" s="1230" t="s">
        <v>1168</v>
      </c>
      <c r="C5" s="1230"/>
      <c r="L5" s="322"/>
    </row>
    <row r="6" spans="1:12" ht="30.75" customHeight="1" x14ac:dyDescent="0.2">
      <c r="A6" s="322"/>
      <c r="B6" s="2560" t="s">
        <v>1307</v>
      </c>
      <c r="C6" s="2560"/>
      <c r="D6" s="2560"/>
      <c r="E6" s="2560"/>
      <c r="F6" s="2560"/>
      <c r="G6" s="2560"/>
      <c r="H6" s="2560"/>
      <c r="I6" s="2560"/>
      <c r="J6" s="2560"/>
      <c r="K6" s="2560"/>
      <c r="L6" s="322"/>
    </row>
    <row r="7" spans="1:12" ht="4.5" customHeight="1" x14ac:dyDescent="0.2">
      <c r="B7" s="1349"/>
      <c r="C7" s="1349"/>
      <c r="D7" s="1349"/>
      <c r="E7" s="1349"/>
      <c r="F7" s="1349"/>
      <c r="G7" s="1350"/>
      <c r="H7" s="1349"/>
      <c r="I7" s="1350"/>
      <c r="J7" s="1349"/>
      <c r="K7" s="1349"/>
      <c r="L7" s="322"/>
    </row>
    <row r="8" spans="1:12" ht="13.5" customHeight="1" x14ac:dyDescent="0.2">
      <c r="B8" s="1357" t="s">
        <v>1753</v>
      </c>
      <c r="C8" s="1424" t="s">
        <v>1988</v>
      </c>
      <c r="D8" s="1425" t="s">
        <v>2071</v>
      </c>
      <c r="E8" s="322"/>
      <c r="F8" s="1354" t="s">
        <v>1294</v>
      </c>
      <c r="G8" s="1426"/>
      <c r="H8" s="1427" t="s">
        <v>1306</v>
      </c>
      <c r="I8" s="1426"/>
      <c r="J8" s="1428" t="s">
        <v>1305</v>
      </c>
      <c r="L8" s="322"/>
    </row>
    <row r="9" spans="1:12" ht="13.5" customHeight="1" x14ac:dyDescent="0.2">
      <c r="D9" s="322"/>
      <c r="E9" s="322"/>
      <c r="F9" s="322"/>
      <c r="G9" s="1353"/>
      <c r="H9" s="322"/>
      <c r="I9" s="1429" t="s">
        <v>1291</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1304</v>
      </c>
      <c r="C12" s="1354"/>
      <c r="D12" s="304"/>
      <c r="E12" s="322"/>
      <c r="F12" s="2542"/>
      <c r="G12" s="2542"/>
      <c r="H12" s="2542"/>
      <c r="I12" s="2542"/>
      <c r="J12" s="2542"/>
      <c r="K12" s="2542"/>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1303</v>
      </c>
      <c r="C14" s="1357"/>
      <c r="D14" s="2555"/>
      <c r="E14" s="2555"/>
      <c r="F14" s="2555"/>
      <c r="H14" s="1432" t="s">
        <v>1302</v>
      </c>
      <c r="I14" s="2556"/>
      <c r="J14" s="2556"/>
      <c r="K14" s="2556"/>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1301</v>
      </c>
      <c r="C16" s="1357"/>
      <c r="D16" s="2556"/>
      <c r="E16" s="2556"/>
      <c r="F16" s="2556"/>
      <c r="G16" s="2556"/>
      <c r="H16" s="2556"/>
      <c r="I16" s="2556"/>
      <c r="J16" s="2556"/>
      <c r="K16" s="2556"/>
      <c r="L16" s="322"/>
    </row>
    <row r="17" spans="2:12" ht="13.5" customHeight="1" x14ac:dyDescent="0.2">
      <c r="B17" s="1357" t="s">
        <v>1300</v>
      </c>
      <c r="C17" s="1357"/>
      <c r="D17" s="2557"/>
      <c r="E17" s="2557"/>
      <c r="F17" s="2557"/>
      <c r="G17" s="2557"/>
      <c r="H17" s="2557"/>
      <c r="I17" s="2557"/>
      <c r="J17" s="2557"/>
      <c r="K17" s="2557"/>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1299</v>
      </c>
      <c r="C19" s="1434"/>
      <c r="D19" s="328"/>
      <c r="E19" s="328"/>
      <c r="F19" s="328"/>
      <c r="G19" s="1435"/>
      <c r="H19" s="328"/>
      <c r="I19" s="1435"/>
      <c r="J19" s="322"/>
      <c r="K19" s="322"/>
      <c r="L19" s="322"/>
    </row>
    <row r="20" spans="2:12" ht="35.25" customHeight="1" x14ac:dyDescent="0.2">
      <c r="B20" s="2550"/>
      <c r="C20" s="2550"/>
      <c r="D20" s="2550"/>
      <c r="E20" s="2550"/>
      <c r="F20" s="2550"/>
      <c r="G20" s="2550"/>
      <c r="H20" s="2550"/>
      <c r="I20" s="2550"/>
      <c r="J20" s="2550"/>
      <c r="K20" s="2550"/>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1754</v>
      </c>
      <c r="C22" s="1434"/>
      <c r="D22" s="322"/>
      <c r="E22" s="322"/>
      <c r="F22" s="322"/>
      <c r="G22" s="1353"/>
      <c r="H22" s="322"/>
      <c r="I22" s="1353"/>
      <c r="J22" s="322"/>
      <c r="K22" s="322"/>
      <c r="L22" s="322"/>
    </row>
    <row r="23" spans="2:12" ht="37.5" customHeight="1" x14ac:dyDescent="0.2">
      <c r="B23" s="2550"/>
      <c r="C23" s="2550"/>
      <c r="D23" s="2550"/>
      <c r="E23" s="2550"/>
      <c r="F23" s="2550"/>
      <c r="G23" s="2550"/>
      <c r="H23" s="2550"/>
      <c r="I23" s="2550"/>
      <c r="J23" s="2550"/>
      <c r="K23" s="2550"/>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1755</v>
      </c>
      <c r="C25" s="1434"/>
      <c r="D25" s="322"/>
      <c r="E25" s="322"/>
      <c r="F25" s="322"/>
      <c r="G25" s="1353"/>
      <c r="H25" s="322"/>
      <c r="I25" s="1353"/>
      <c r="J25" s="322"/>
      <c r="K25" s="322"/>
      <c r="L25" s="322"/>
    </row>
    <row r="26" spans="2:12" ht="37.5" customHeight="1" x14ac:dyDescent="0.2">
      <c r="B26" s="2550"/>
      <c r="C26" s="2550"/>
      <c r="D26" s="2550"/>
      <c r="E26" s="2550"/>
      <c r="F26" s="2550"/>
      <c r="G26" s="2550"/>
      <c r="H26" s="2550"/>
      <c r="I26" s="2550"/>
      <c r="J26" s="2550"/>
      <c r="K26" s="2550"/>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1756</v>
      </c>
      <c r="C28" s="1434"/>
      <c r="D28" s="322"/>
      <c r="E28" s="322"/>
      <c r="F28" s="322"/>
      <c r="G28" s="1353"/>
      <c r="H28" s="322"/>
      <c r="I28" s="1353"/>
      <c r="J28" s="322"/>
      <c r="K28" s="322"/>
      <c r="L28" s="322"/>
    </row>
    <row r="29" spans="2:12" ht="37.5" customHeight="1" x14ac:dyDescent="0.2">
      <c r="B29" s="2550"/>
      <c r="C29" s="2550"/>
      <c r="D29" s="2550"/>
      <c r="E29" s="2550"/>
      <c r="F29" s="2550"/>
      <c r="G29" s="2550"/>
      <c r="H29" s="2550"/>
      <c r="I29" s="2550"/>
      <c r="J29" s="2550"/>
      <c r="K29" s="2550"/>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1298</v>
      </c>
      <c r="C31" s="1434"/>
      <c r="D31" s="322"/>
      <c r="E31" s="322"/>
      <c r="F31" s="322"/>
      <c r="G31" s="1353"/>
      <c r="H31" s="322"/>
      <c r="I31" s="1353"/>
      <c r="J31" s="322"/>
      <c r="K31" s="322"/>
      <c r="L31" s="322"/>
    </row>
    <row r="32" spans="2:12" ht="37.5" customHeight="1" x14ac:dyDescent="0.2">
      <c r="B32" s="2550"/>
      <c r="C32" s="2550"/>
      <c r="D32" s="2550"/>
      <c r="E32" s="2550"/>
      <c r="F32" s="2550"/>
      <c r="G32" s="2550"/>
      <c r="H32" s="2550"/>
      <c r="I32" s="2550"/>
      <c r="J32" s="2550"/>
      <c r="K32" s="2550"/>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1297</v>
      </c>
      <c r="C34" s="1354"/>
      <c r="D34" s="322"/>
      <c r="E34" s="322"/>
      <c r="F34" s="322"/>
      <c r="G34" s="1353"/>
      <c r="H34" s="322"/>
      <c r="I34" s="1353"/>
      <c r="J34" s="322"/>
      <c r="K34" s="322"/>
      <c r="L34" s="322"/>
    </row>
    <row r="35" spans="2:12" ht="37.5" customHeight="1" x14ac:dyDescent="0.2">
      <c r="B35" s="2550"/>
      <c r="C35" s="2550"/>
      <c r="D35" s="2550"/>
      <c r="E35" s="2550"/>
      <c r="F35" s="2550"/>
      <c r="G35" s="2550"/>
      <c r="H35" s="2550"/>
      <c r="I35" s="2550"/>
      <c r="J35" s="2550"/>
      <c r="K35" s="2550"/>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1296</v>
      </c>
      <c r="C37" s="1354"/>
      <c r="D37" s="322"/>
      <c r="E37" s="322"/>
      <c r="F37" s="322"/>
      <c r="G37" s="1353"/>
      <c r="H37" s="322"/>
      <c r="I37" s="1353"/>
      <c r="J37" s="322"/>
      <c r="K37" s="322"/>
      <c r="L37" s="322"/>
    </row>
    <row r="38" spans="2:12" ht="35.25" customHeight="1" x14ac:dyDescent="0.2">
      <c r="B38" s="2550"/>
      <c r="C38" s="2550"/>
      <c r="D38" s="2550"/>
      <c r="E38" s="2550"/>
      <c r="F38" s="2550"/>
      <c r="G38" s="2550"/>
      <c r="H38" s="2550"/>
      <c r="I38" s="2550"/>
      <c r="J38" s="2550"/>
      <c r="K38" s="2550"/>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1757</v>
      </c>
      <c r="C40" s="1373"/>
      <c r="D40" s="1348"/>
      <c r="E40" s="1349"/>
      <c r="F40" s="1349"/>
      <c r="G40" s="1350"/>
      <c r="H40" s="1349"/>
      <c r="I40" s="1350"/>
      <c r="J40" s="1349"/>
      <c r="K40" s="1349"/>
    </row>
    <row r="41" spans="2:12" s="322" customFormat="1" ht="33.75" customHeight="1" x14ac:dyDescent="0.2">
      <c r="B41" s="2550"/>
      <c r="C41" s="2550"/>
      <c r="D41" s="2550"/>
      <c r="E41" s="2550"/>
      <c r="F41" s="2550"/>
      <c r="G41" s="2550"/>
      <c r="H41" s="2550"/>
      <c r="I41" s="2550"/>
      <c r="J41" s="2550"/>
      <c r="K41" s="2550"/>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1758</v>
      </c>
      <c r="C44" s="1376"/>
      <c r="D44" s="322"/>
      <c r="E44" s="322"/>
      <c r="F44" s="322"/>
    </row>
    <row r="45" spans="2:12" ht="10.5" customHeight="1" x14ac:dyDescent="0.2">
      <c r="B45" s="1377" t="s">
        <v>1759</v>
      </c>
      <c r="C45" s="1377"/>
      <c r="G45" s="317"/>
      <c r="I45" s="317"/>
    </row>
    <row r="46" spans="2:12" ht="11.1" customHeight="1" x14ac:dyDescent="0.2">
      <c r="B46" s="1377" t="s">
        <v>1760</v>
      </c>
      <c r="C46" s="1377"/>
      <c r="G46" s="317"/>
      <c r="I46" s="317"/>
    </row>
    <row r="47" spans="2:12" ht="11.1" customHeight="1" x14ac:dyDescent="0.2">
      <c r="B47" s="1377" t="s">
        <v>1761</v>
      </c>
      <c r="C47" s="1377"/>
      <c r="G47" s="317"/>
      <c r="I47" s="317"/>
    </row>
    <row r="48" spans="2:12" ht="11.1" customHeight="1" x14ac:dyDescent="0.2">
      <c r="B48" s="1377" t="s">
        <v>1762</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35" t="str">
        <f>'Single Audit Cover'!A7</f>
        <v>Johnsburg CUSD 12</v>
      </c>
      <c r="C1" s="2535"/>
      <c r="D1" s="2535"/>
      <c r="E1" s="1442"/>
    </row>
    <row r="2" spans="2:5" s="1252" customFormat="1" ht="12.75" customHeight="1" x14ac:dyDescent="0.2">
      <c r="B2" s="2537">
        <f>'Single Audit Cover'!E7</f>
        <v>44063012026</v>
      </c>
      <c r="C2" s="2537"/>
      <c r="D2" s="2537"/>
      <c r="E2" s="1443"/>
    </row>
    <row r="3" spans="2:5" ht="12.75" customHeight="1" x14ac:dyDescent="0.2">
      <c r="B3" s="2551" t="s">
        <v>1763</v>
      </c>
      <c r="C3" s="2551"/>
      <c r="D3" s="2551"/>
      <c r="E3" s="1244"/>
    </row>
    <row r="4" spans="2:5" s="1252" customFormat="1" ht="12.75" customHeight="1" x14ac:dyDescent="0.2">
      <c r="B4" s="2561" t="str">
        <f>'Single Audit Cover'!A4</f>
        <v>Year Ending June 30, 2019</v>
      </c>
      <c r="C4" s="2561"/>
      <c r="D4" s="2561"/>
      <c r="E4" s="1444"/>
    </row>
    <row r="5" spans="2:5" s="1252" customFormat="1" ht="40.15" customHeight="1" x14ac:dyDescent="0.2">
      <c r="B5" s="1445" t="s">
        <v>1764</v>
      </c>
      <c r="C5" s="328"/>
      <c r="D5" s="328"/>
      <c r="E5" s="328"/>
    </row>
    <row r="6" spans="2:5" s="1252" customFormat="1" ht="13.5" customHeight="1" x14ac:dyDescent="0.2">
      <c r="B6" s="1446" t="s">
        <v>1314</v>
      </c>
      <c r="C6" s="1446" t="s">
        <v>1313</v>
      </c>
      <c r="D6" s="1446" t="s">
        <v>1765</v>
      </c>
    </row>
    <row r="7" spans="2:5" ht="13.5" customHeight="1" x14ac:dyDescent="0.2">
      <c r="B7" s="1447" t="s">
        <v>2140</v>
      </c>
      <c r="C7" s="324" t="s">
        <v>2141</v>
      </c>
      <c r="D7" s="324" t="s">
        <v>2142</v>
      </c>
      <c r="E7" s="324"/>
    </row>
    <row r="8" spans="2:5" ht="13.5" customHeight="1" x14ac:dyDescent="0.2">
      <c r="B8" s="1447" t="s">
        <v>2143</v>
      </c>
      <c r="C8" s="324" t="s">
        <v>2144</v>
      </c>
      <c r="D8" s="324" t="s">
        <v>2142</v>
      </c>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1312</v>
      </c>
      <c r="C44" s="322"/>
    </row>
    <row r="45" spans="2:5" ht="12.2" customHeight="1" x14ac:dyDescent="0.2">
      <c r="B45" s="1456" t="s">
        <v>1766</v>
      </c>
    </row>
    <row r="46" spans="2:5" ht="12.2" customHeight="1" x14ac:dyDescent="0.2">
      <c r="B46" s="1456" t="s">
        <v>1767</v>
      </c>
    </row>
    <row r="47" spans="2:5" ht="12.2" customHeight="1" x14ac:dyDescent="0.2">
      <c r="B47" s="1457" t="s">
        <v>1311</v>
      </c>
    </row>
    <row r="48" spans="2:5" ht="12.2" customHeight="1" x14ac:dyDescent="0.2">
      <c r="B48" s="1457" t="s">
        <v>1310</v>
      </c>
    </row>
    <row r="49" spans="2:5" ht="12.2" customHeight="1" x14ac:dyDescent="0.2">
      <c r="B49" s="1457" t="s">
        <v>1309</v>
      </c>
    </row>
    <row r="50" spans="2:5" ht="12.2" customHeight="1" x14ac:dyDescent="0.2">
      <c r="B50" s="1457" t="s">
        <v>1308</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0" colorId="8" zoomScale="110" zoomScaleNormal="110" workbookViewId="0">
      <selection activeCell="J31" sqref="J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9" t="s">
        <v>385</v>
      </c>
      <c r="B1" s="2159"/>
      <c r="C1" s="2159"/>
      <c r="D1" s="2159"/>
      <c r="E1" s="2159"/>
      <c r="F1" s="2159"/>
      <c r="G1" s="2159"/>
      <c r="H1" s="2159"/>
      <c r="I1" s="2159"/>
      <c r="J1" s="2159"/>
      <c r="K1" s="2159"/>
      <c r="L1" s="2159"/>
      <c r="M1" s="215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271</v>
      </c>
      <c r="G7" s="222"/>
      <c r="H7" s="222"/>
      <c r="I7" s="222"/>
      <c r="J7" s="352">
        <v>378665533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4.0535040000000001E-2</v>
      </c>
      <c r="E10" s="356" t="s">
        <v>1004</v>
      </c>
      <c r="F10" s="355">
        <v>5.9516500000000002E-3</v>
      </c>
      <c r="G10" s="356" t="s">
        <v>1004</v>
      </c>
      <c r="H10" s="355">
        <v>2.1101000000000002E-3</v>
      </c>
      <c r="I10" s="356" t="s">
        <v>1005</v>
      </c>
      <c r="J10" s="1705">
        <f>ROUND(D10+F10+H10,5)</f>
        <v>4.8599999999999997E-2</v>
      </c>
      <c r="K10" s="222"/>
      <c r="L10" s="355">
        <v>0</v>
      </c>
      <c r="M10" s="222"/>
    </row>
    <row r="11" spans="1:14" ht="7.5" customHeight="1" x14ac:dyDescent="0.2">
      <c r="B11" s="222"/>
      <c r="C11" s="222"/>
      <c r="D11" s="2169" t="str">
        <f>IF(SUM(J10)&lt;=0.0999999,"","Enter the Tax Rates by moving the decimal two places to the left.")</f>
        <v/>
      </c>
      <c r="E11" s="2170"/>
      <c r="F11" s="2170"/>
      <c r="G11" s="2170"/>
      <c r="H11" s="2170"/>
      <c r="I11" s="2170"/>
      <c r="J11" s="217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6">
        <f>SUM('Acct Summary 7-8'!C8,'Acct Summary 7-8'!D8,'Acct Summary 7-8'!F8,'Acct Summary 7-8'!I8)</f>
        <v>25172807</v>
      </c>
      <c r="E16" s="356"/>
      <c r="F16" s="1706">
        <f>SUM('Acct Summary 7-8'!C17,'Acct Summary 7-8'!D17,'Acct Summary 7-8'!F17)</f>
        <v>24870529</v>
      </c>
      <c r="G16" s="356"/>
      <c r="H16" s="1706">
        <f>SUM(D16-F16)</f>
        <v>302278</v>
      </c>
      <c r="I16" s="222"/>
      <c r="J16" s="1706">
        <f>SUM('Acct Summary 7-8'!C81,'Acct Summary 7-8'!D81,'Acct Summary 7-8'!F81,'Acct Summary 7-8'!I81)</f>
        <v>3703065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6">
        <f>'Short-Term Long-Term Debt 24'!F4</f>
        <v>0</v>
      </c>
      <c r="E22" s="356" t="s">
        <v>1004</v>
      </c>
      <c r="F22" s="1706">
        <f>'Short-Term Long-Term Debt 24'!F15</f>
        <v>0</v>
      </c>
      <c r="G22" s="356" t="s">
        <v>1004</v>
      </c>
      <c r="H22" s="1706">
        <f>'Short-Term Long-Term Debt 24'!F21</f>
        <v>0</v>
      </c>
      <c r="I22" s="356" t="s">
        <v>1004</v>
      </c>
      <c r="J22" s="1706">
        <f>'Short-Term Long-Term Debt 24'!F23</f>
        <v>0</v>
      </c>
      <c r="K22" s="356" t="s">
        <v>1004</v>
      </c>
      <c r="L22" s="170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1005</v>
      </c>
      <c r="F24" s="170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08">
        <f>IF(B31="X",(J7*0.069),IF(B32="X",(J7*0.138),"Enter x in a.or b."))</f>
        <v>52255843.554000005</v>
      </c>
      <c r="I31" s="368"/>
      <c r="J31" s="222"/>
      <c r="K31" s="222"/>
      <c r="L31" s="222"/>
      <c r="M31" s="222"/>
    </row>
    <row r="32" spans="1:13" ht="13.35" customHeight="1" x14ac:dyDescent="0.2">
      <c r="B32" s="369" t="s">
        <v>2130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7">
        <f>'Assets-Liab 5-6'!N36</f>
        <v>41165734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60"/>
      <c r="C54" s="2161"/>
      <c r="D54" s="2161"/>
      <c r="E54" s="2161"/>
      <c r="F54" s="2161"/>
      <c r="G54" s="2161"/>
      <c r="H54" s="2161"/>
      <c r="I54" s="2161"/>
      <c r="J54" s="2161"/>
      <c r="K54" s="2161"/>
      <c r="L54" s="2162"/>
      <c r="M54" s="380"/>
    </row>
    <row r="55" spans="1:13" ht="12.75" customHeight="1" x14ac:dyDescent="0.2">
      <c r="B55" s="2163"/>
      <c r="C55" s="2164"/>
      <c r="D55" s="2164"/>
      <c r="E55" s="2164"/>
      <c r="F55" s="2164"/>
      <c r="G55" s="2164"/>
      <c r="H55" s="2164"/>
      <c r="I55" s="2164"/>
      <c r="J55" s="2164"/>
      <c r="K55" s="2164"/>
      <c r="L55" s="2165"/>
      <c r="M55" s="380"/>
    </row>
    <row r="56" spans="1:13" ht="12.75" customHeight="1" x14ac:dyDescent="0.2">
      <c r="B56" s="2163"/>
      <c r="C56" s="2164"/>
      <c r="D56" s="2164"/>
      <c r="E56" s="2164"/>
      <c r="F56" s="2164"/>
      <c r="G56" s="2164"/>
      <c r="H56" s="2164"/>
      <c r="I56" s="2164"/>
      <c r="J56" s="2164"/>
      <c r="K56" s="2164"/>
      <c r="L56" s="2165"/>
      <c r="M56" s="222"/>
    </row>
    <row r="57" spans="1:13" ht="12.75" customHeight="1" x14ac:dyDescent="0.2">
      <c r="B57" s="2163"/>
      <c r="C57" s="2164"/>
      <c r="D57" s="2164"/>
      <c r="E57" s="2164"/>
      <c r="F57" s="2164"/>
      <c r="G57" s="2164"/>
      <c r="H57" s="2164"/>
      <c r="I57" s="2164"/>
      <c r="J57" s="2164"/>
      <c r="K57" s="2164"/>
      <c r="L57" s="2165"/>
      <c r="M57" s="222"/>
    </row>
    <row r="58" spans="1:13" x14ac:dyDescent="0.2">
      <c r="B58" s="2166"/>
      <c r="C58" s="2167"/>
      <c r="D58" s="2167"/>
      <c r="E58" s="2167"/>
      <c r="F58" s="2167"/>
      <c r="G58" s="2167"/>
      <c r="H58" s="2167"/>
      <c r="I58" s="2167"/>
      <c r="J58" s="2167"/>
      <c r="K58" s="2167"/>
      <c r="L58" s="216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1"/>
      <c r="D61" s="217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J31" sqref="J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4"/>
      <c r="B1" s="2175"/>
      <c r="C1" s="2175"/>
      <c r="D1" s="384"/>
      <c r="E1" s="384"/>
      <c r="F1" s="384"/>
      <c r="G1" s="384"/>
      <c r="H1" s="384"/>
      <c r="I1" s="384"/>
      <c r="J1" s="384"/>
      <c r="K1" s="384"/>
      <c r="L1" s="384"/>
      <c r="M1" s="384"/>
      <c r="N1" s="384"/>
      <c r="O1" s="2174"/>
      <c r="P1" s="2175"/>
      <c r="Q1" s="2175"/>
    </row>
    <row r="2" spans="1:18" ht="15" x14ac:dyDescent="0.2">
      <c r="A2" s="2178" t="s">
        <v>555</v>
      </c>
      <c r="B2" s="2178"/>
      <c r="C2" s="2178"/>
      <c r="D2" s="2178"/>
      <c r="E2" s="2178"/>
      <c r="F2" s="2178"/>
      <c r="G2" s="2178"/>
      <c r="H2" s="2178"/>
      <c r="I2" s="2178"/>
      <c r="J2" s="2178"/>
      <c r="K2" s="2178"/>
      <c r="L2" s="2178"/>
      <c r="M2" s="2178"/>
      <c r="N2" s="2178"/>
      <c r="O2" s="2178"/>
      <c r="P2" s="2178"/>
      <c r="Q2" s="2178"/>
      <c r="R2" s="2178"/>
    </row>
    <row r="3" spans="1:18" ht="12.75" x14ac:dyDescent="0.2">
      <c r="A3" s="2179" t="s">
        <v>1412</v>
      </c>
      <c r="B3" s="2179"/>
      <c r="C3" s="2179"/>
      <c r="D3" s="2179"/>
      <c r="E3" s="2179"/>
      <c r="F3" s="2179"/>
      <c r="G3" s="2179"/>
      <c r="H3" s="2179"/>
      <c r="I3" s="2179"/>
      <c r="J3" s="2179"/>
      <c r="K3" s="2179"/>
      <c r="L3" s="2179"/>
      <c r="M3" s="2179"/>
      <c r="N3" s="2179"/>
      <c r="O3" s="2179"/>
      <c r="P3" s="2179"/>
      <c r="Q3" s="2179"/>
      <c r="R3" s="2179"/>
    </row>
    <row r="4" spans="1:18" x14ac:dyDescent="0.2">
      <c r="A4" s="2180" t="s">
        <v>1553</v>
      </c>
      <c r="B4" s="2180"/>
      <c r="C4" s="2180"/>
      <c r="D4" s="2180"/>
      <c r="E4" s="2180"/>
      <c r="F4" s="2180"/>
      <c r="G4" s="2180"/>
      <c r="H4" s="2180"/>
      <c r="I4" s="2180"/>
      <c r="J4" s="2180"/>
      <c r="K4" s="2180"/>
      <c r="L4" s="2180"/>
      <c r="M4" s="2180"/>
      <c r="N4" s="2180"/>
      <c r="O4" s="2180"/>
      <c r="P4" s="2180"/>
      <c r="Q4" s="2180"/>
      <c r="R4" s="218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Johnsburg CUSD 12</v>
      </c>
      <c r="E7" s="391"/>
      <c r="G7" s="252"/>
      <c r="H7" s="387"/>
      <c r="I7" s="387"/>
      <c r="J7" s="387"/>
      <c r="K7" s="387"/>
      <c r="L7" s="329"/>
      <c r="M7" s="329"/>
      <c r="N7" s="329"/>
      <c r="O7" s="329"/>
      <c r="P7" s="329"/>
    </row>
    <row r="8" spans="1:18" ht="12.75" x14ac:dyDescent="0.2">
      <c r="A8" s="329"/>
      <c r="B8" s="329"/>
      <c r="C8" s="389" t="s">
        <v>1124</v>
      </c>
      <c r="D8" s="392">
        <f>COVER!A13</f>
        <v>44063012026</v>
      </c>
      <c r="E8" s="393"/>
      <c r="G8" s="329"/>
      <c r="H8" s="329"/>
      <c r="I8" s="329"/>
      <c r="J8" s="329"/>
      <c r="K8" s="329"/>
      <c r="L8" s="329"/>
      <c r="M8" s="329"/>
      <c r="N8" s="329"/>
      <c r="O8" s="329"/>
      <c r="P8" s="329"/>
    </row>
    <row r="9" spans="1:18" ht="12.75" x14ac:dyDescent="0.2">
      <c r="A9" s="329"/>
      <c r="B9" s="329"/>
      <c r="C9" s="389" t="s">
        <v>712</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3703065</v>
      </c>
      <c r="I12" s="404"/>
      <c r="J12" s="404"/>
      <c r="K12" s="405">
        <f>TRUNC((H12/H13*100000),5)/100000</f>
        <v>0.1491498487</v>
      </c>
      <c r="L12" s="406"/>
      <c r="M12" s="360" t="s">
        <v>1143</v>
      </c>
      <c r="N12" s="360"/>
      <c r="O12" s="407">
        <v>0.35</v>
      </c>
      <c r="P12" s="218"/>
      <c r="Q12" s="218"/>
    </row>
    <row r="13" spans="1:18" s="408" customFormat="1" ht="12.75" x14ac:dyDescent="0.2">
      <c r="A13" s="218"/>
      <c r="B13" s="401"/>
      <c r="C13" s="2176" t="s">
        <v>1323</v>
      </c>
      <c r="D13" s="2177"/>
      <c r="E13" s="218"/>
      <c r="F13" s="409" t="s">
        <v>792</v>
      </c>
      <c r="G13" s="402"/>
      <c r="H13" s="403">
        <f>SUM('Acct Summary 7-8'!C8+'Acct Summary 7-8'!D8+'Acct Summary 7-8'!F8+'Acct Summary 7-8'!I8)+H14</f>
        <v>24827816</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-344991</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24870529</v>
      </c>
      <c r="I17" s="404"/>
      <c r="J17" s="416"/>
      <c r="K17" s="405">
        <f>TRUNC((H17/H18*100000),5)/100000</f>
        <v>1.0017203687</v>
      </c>
      <c r="L17" s="406"/>
      <c r="M17" s="417" t="s">
        <v>1170</v>
      </c>
      <c r="O17" s="418" t="str">
        <f>IF(AND(O16="2", J20 &gt; 2),"1",IF(AND(O16 = "1", J20 &gt; 2),"2",IF(AND(O16="1", J20 &gt;1),"1","0")))</f>
        <v>0</v>
      </c>
      <c r="P17" s="218"/>
    </row>
    <row r="18" spans="1:18" s="408" customFormat="1" ht="11.25" x14ac:dyDescent="0.2">
      <c r="A18" s="218"/>
      <c r="B18" s="401"/>
      <c r="C18" s="2176" t="s">
        <v>1316</v>
      </c>
      <c r="D18" s="2177"/>
      <c r="E18" s="218"/>
      <c r="F18" s="419" t="s">
        <v>793</v>
      </c>
      <c r="G18" s="402"/>
      <c r="H18" s="403">
        <f>SUM('Acct Summary 7-8'!C8+'Acct Summary 7-8'!D8+'Acct Summary 7-8'!F8+'Acct Summary 7-8'!I8)+H19</f>
        <v>24827816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-344991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28.569369200000001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73" t="s">
        <v>1411</v>
      </c>
      <c r="D24" s="2173"/>
      <c r="E24" s="218"/>
      <c r="F24" s="218" t="s">
        <v>444</v>
      </c>
      <c r="G24" s="402"/>
      <c r="H24" s="403">
        <f>SUM('Assets-Liab 5-6'!C4+'Assets-Liab 5-6'!D4+'Assets-Liab 5-6'!F4+'Assets-Liab 5-6'!I4+'Assets-Liab 5-6'!C5+'Assets-Liab 5-6'!D5+'Assets-Liab 5-6'!F5+'Assets-Liab 5-6'!I5)</f>
        <v>5966194</v>
      </c>
      <c r="I24" s="422"/>
      <c r="J24" s="422"/>
      <c r="K24" s="423">
        <f>TRUNC(((H24/H25*100000)/100000),2)</f>
        <v>86.36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69084.802779999998</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15642673.168230001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41165734</v>
      </c>
      <c r="I32" s="420"/>
      <c r="J32" s="420"/>
      <c r="K32" s="423">
        <f>TRUNC(100-((((H32/H33*100))*100)/100),2)</f>
        <v>21.22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52255843.554000005</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7" activePane="bottomLeft" state="frozen"/>
      <selection activeCell="J31" sqref="J31"/>
      <selection pane="bottomLeft" activeCell="A3" sqref="A3:B3"/>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8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8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83" t="s">
        <v>972</v>
      </c>
      <c r="B3" s="2184"/>
      <c r="C3" s="1532"/>
      <c r="D3" s="1533"/>
      <c r="E3" s="1533"/>
      <c r="F3" s="1533"/>
      <c r="G3" s="1533"/>
      <c r="H3" s="1533"/>
      <c r="I3" s="1533"/>
      <c r="J3" s="1533"/>
      <c r="K3" s="1533"/>
      <c r="L3" s="1533"/>
      <c r="M3" s="1534"/>
      <c r="N3" s="1535"/>
    </row>
    <row r="4" spans="1:14" ht="13.5" customHeight="1" x14ac:dyDescent="0.2">
      <c r="A4" s="463" t="s">
        <v>1650</v>
      </c>
      <c r="B4" s="464"/>
      <c r="C4" s="1910">
        <v>4376982</v>
      </c>
      <c r="D4" s="1911">
        <v>729994</v>
      </c>
      <c r="E4" s="1911">
        <v>1548257</v>
      </c>
      <c r="F4" s="1911">
        <v>425413</v>
      </c>
      <c r="G4" s="1911">
        <v>158666</v>
      </c>
      <c r="H4" s="1911">
        <v>408</v>
      </c>
      <c r="I4" s="1911">
        <v>433805</v>
      </c>
      <c r="J4" s="1912">
        <v>0</v>
      </c>
      <c r="K4" s="1991">
        <v>0</v>
      </c>
      <c r="L4" s="1911">
        <v>203564</v>
      </c>
      <c r="M4" s="467"/>
      <c r="N4" s="468"/>
    </row>
    <row r="5" spans="1:14" x14ac:dyDescent="0.2">
      <c r="A5" s="463" t="s">
        <v>991</v>
      </c>
      <c r="B5" s="469">
        <v>120</v>
      </c>
      <c r="C5" s="1910"/>
      <c r="D5" s="1911"/>
      <c r="E5" s="1911"/>
      <c r="F5" s="1911"/>
      <c r="G5" s="1911"/>
      <c r="H5" s="1911"/>
      <c r="I5" s="1911"/>
      <c r="J5" s="1912"/>
      <c r="K5" s="1913"/>
      <c r="L5" s="470"/>
      <c r="M5" s="467"/>
      <c r="N5" s="468"/>
    </row>
    <row r="6" spans="1:14" ht="13.5" customHeight="1" x14ac:dyDescent="0.2">
      <c r="A6" s="471" t="s">
        <v>416</v>
      </c>
      <c r="B6" s="469">
        <v>130</v>
      </c>
      <c r="C6" s="1910">
        <v>7350583</v>
      </c>
      <c r="D6" s="1911">
        <v>1063365</v>
      </c>
      <c r="E6" s="1911">
        <v>1433501</v>
      </c>
      <c r="F6" s="1911">
        <v>377006</v>
      </c>
      <c r="G6" s="1913">
        <v>306697</v>
      </c>
      <c r="H6" s="1913">
        <v>0</v>
      </c>
      <c r="I6" s="1911">
        <v>0</v>
      </c>
      <c r="J6" s="1914">
        <v>0</v>
      </c>
      <c r="K6" s="1913">
        <v>0</v>
      </c>
      <c r="L6" s="472"/>
      <c r="M6" s="467"/>
      <c r="N6" s="468"/>
    </row>
    <row r="7" spans="1:14" ht="13.5" customHeight="1" x14ac:dyDescent="0.2">
      <c r="A7" s="471" t="s">
        <v>417</v>
      </c>
      <c r="B7" s="469">
        <v>140</v>
      </c>
      <c r="C7" s="1915">
        <v>0</v>
      </c>
      <c r="D7" s="1912">
        <v>0</v>
      </c>
      <c r="E7" s="1915">
        <v>0</v>
      </c>
      <c r="F7" s="1912">
        <v>0</v>
      </c>
      <c r="G7" s="1912">
        <v>0</v>
      </c>
      <c r="H7" s="1912">
        <v>0</v>
      </c>
      <c r="I7" s="1912">
        <v>3700000</v>
      </c>
      <c r="J7" s="1912">
        <v>0</v>
      </c>
      <c r="K7" s="1912">
        <v>0</v>
      </c>
      <c r="L7" s="473"/>
      <c r="M7" s="467"/>
      <c r="N7" s="468"/>
    </row>
    <row r="8" spans="1:14" ht="13.5" customHeight="1" x14ac:dyDescent="0.2">
      <c r="A8" s="471" t="s">
        <v>268</v>
      </c>
      <c r="B8" s="469">
        <v>150</v>
      </c>
      <c r="C8" s="1915">
        <v>156184</v>
      </c>
      <c r="D8" s="1912">
        <v>0</v>
      </c>
      <c r="E8" s="1915">
        <v>0</v>
      </c>
      <c r="F8" s="1912">
        <v>156201</v>
      </c>
      <c r="G8" s="1916">
        <v>0</v>
      </c>
      <c r="H8" s="1912">
        <v>0</v>
      </c>
      <c r="I8" s="1914">
        <v>0</v>
      </c>
      <c r="J8" s="1914">
        <v>0</v>
      </c>
      <c r="K8" s="1917">
        <v>0</v>
      </c>
      <c r="L8" s="476"/>
      <c r="M8" s="467"/>
      <c r="N8" s="468"/>
    </row>
    <row r="9" spans="1:14" ht="13.5" customHeight="1" x14ac:dyDescent="0.2">
      <c r="A9" s="471" t="s">
        <v>269</v>
      </c>
      <c r="B9" s="469">
        <v>160</v>
      </c>
      <c r="C9" s="1915">
        <v>31085</v>
      </c>
      <c r="D9" s="1912">
        <v>0</v>
      </c>
      <c r="E9" s="1915">
        <v>0</v>
      </c>
      <c r="F9" s="1912">
        <v>0</v>
      </c>
      <c r="G9" s="1912">
        <v>0</v>
      </c>
      <c r="H9" s="1916">
        <v>0</v>
      </c>
      <c r="I9" s="1912">
        <v>0</v>
      </c>
      <c r="J9" s="1912">
        <v>0</v>
      </c>
      <c r="K9" s="1912">
        <v>0</v>
      </c>
      <c r="L9" s="466"/>
      <c r="M9" s="467"/>
      <c r="N9" s="468"/>
    </row>
    <row r="10" spans="1:14" ht="13.5" customHeight="1" x14ac:dyDescent="0.2">
      <c r="A10" s="471" t="s">
        <v>990</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270</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418</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643</v>
      </c>
      <c r="B13" s="1682"/>
      <c r="C13" s="1710">
        <f>SUM(C4:C12)</f>
        <v>11914834</v>
      </c>
      <c r="D13" s="1710">
        <f t="shared" ref="D13:L13" si="0">SUM(D4:D12)</f>
        <v>1793359</v>
      </c>
      <c r="E13" s="1710">
        <f t="shared" si="0"/>
        <v>2981758</v>
      </c>
      <c r="F13" s="1710">
        <f t="shared" si="0"/>
        <v>958620</v>
      </c>
      <c r="G13" s="1710">
        <f t="shared" si="0"/>
        <v>465363</v>
      </c>
      <c r="H13" s="1710">
        <f t="shared" si="0"/>
        <v>408</v>
      </c>
      <c r="I13" s="1710">
        <f t="shared" si="0"/>
        <v>4133805</v>
      </c>
      <c r="J13" s="1710">
        <f t="shared" si="0"/>
        <v>0</v>
      </c>
      <c r="K13" s="1710">
        <f t="shared" si="0"/>
        <v>0</v>
      </c>
      <c r="L13" s="1710">
        <f t="shared" si="0"/>
        <v>203564</v>
      </c>
      <c r="M13" s="467"/>
      <c r="N13" s="468"/>
    </row>
    <row r="14" spans="1:14" ht="18" customHeight="1" thickTop="1" x14ac:dyDescent="0.2">
      <c r="A14" s="2185" t="s">
        <v>147</v>
      </c>
      <c r="B14" s="2186"/>
      <c r="C14" s="1536"/>
      <c r="D14" s="1537"/>
      <c r="E14" s="1537"/>
      <c r="F14" s="1537"/>
      <c r="G14" s="1537"/>
      <c r="H14" s="1537"/>
      <c r="I14" s="1537"/>
      <c r="J14" s="1537"/>
      <c r="K14" s="1537"/>
      <c r="L14" s="1537"/>
      <c r="M14" s="1538"/>
      <c r="N14" s="1539"/>
    </row>
    <row r="15" spans="1:14" s="481" customFormat="1" ht="12.75" customHeight="1" x14ac:dyDescent="0.2">
      <c r="A15" s="478" t="s">
        <v>1400</v>
      </c>
      <c r="B15" s="479">
        <v>210</v>
      </c>
      <c r="C15" s="473"/>
      <c r="D15" s="473"/>
      <c r="E15" s="473"/>
      <c r="F15" s="473"/>
      <c r="G15" s="473"/>
      <c r="H15" s="473"/>
      <c r="I15" s="473"/>
      <c r="J15" s="473"/>
      <c r="K15" s="473"/>
      <c r="L15" s="473"/>
      <c r="M15" s="474"/>
      <c r="N15" s="480"/>
    </row>
    <row r="16" spans="1:14" s="481" customFormat="1" ht="12.75" customHeight="1" x14ac:dyDescent="0.2">
      <c r="A16" s="478" t="s">
        <v>1401</v>
      </c>
      <c r="B16" s="479">
        <v>220</v>
      </c>
      <c r="C16" s="473"/>
      <c r="D16" s="473"/>
      <c r="E16" s="473"/>
      <c r="F16" s="473"/>
      <c r="G16" s="473"/>
      <c r="H16" s="473"/>
      <c r="I16" s="473"/>
      <c r="J16" s="473"/>
      <c r="K16" s="473"/>
      <c r="L16" s="473"/>
      <c r="M16" s="1912">
        <v>2677288</v>
      </c>
      <c r="N16" s="480"/>
    </row>
    <row r="17" spans="1:14" s="481" customFormat="1" ht="12.75" customHeight="1" x14ac:dyDescent="0.2">
      <c r="A17" s="478" t="s">
        <v>1402</v>
      </c>
      <c r="B17" s="479">
        <v>230</v>
      </c>
      <c r="C17" s="473"/>
      <c r="D17" s="473"/>
      <c r="E17" s="473"/>
      <c r="F17" s="473"/>
      <c r="G17" s="473"/>
      <c r="H17" s="473"/>
      <c r="I17" s="473"/>
      <c r="J17" s="473"/>
      <c r="K17" s="473"/>
      <c r="L17" s="473"/>
      <c r="M17" s="1912">
        <v>62115688</v>
      </c>
      <c r="N17" s="480"/>
    </row>
    <row r="18" spans="1:14" s="481" customFormat="1" ht="12.75" customHeight="1" x14ac:dyDescent="0.2">
      <c r="A18" s="478" t="s">
        <v>1403</v>
      </c>
      <c r="B18" s="479">
        <v>240</v>
      </c>
      <c r="C18" s="473"/>
      <c r="D18" s="473"/>
      <c r="E18" s="473"/>
      <c r="F18" s="473"/>
      <c r="G18" s="473"/>
      <c r="H18" s="473"/>
      <c r="I18" s="473"/>
      <c r="J18" s="473"/>
      <c r="K18" s="473"/>
      <c r="L18" s="473"/>
      <c r="M18" s="1912">
        <v>1189575</v>
      </c>
      <c r="N18" s="480"/>
    </row>
    <row r="19" spans="1:14" s="481" customFormat="1" ht="12.75" customHeight="1" x14ac:dyDescent="0.2">
      <c r="A19" s="478" t="s">
        <v>1404</v>
      </c>
      <c r="B19" s="479">
        <v>250</v>
      </c>
      <c r="C19" s="473"/>
      <c r="D19" s="473"/>
      <c r="E19" s="473"/>
      <c r="F19" s="473"/>
      <c r="G19" s="473"/>
      <c r="H19" s="473"/>
      <c r="I19" s="473"/>
      <c r="J19" s="473"/>
      <c r="K19" s="473"/>
      <c r="L19" s="473"/>
      <c r="M19" s="1912">
        <v>7618030</v>
      </c>
      <c r="N19" s="480"/>
    </row>
    <row r="20" spans="1:14" s="481" customFormat="1" ht="12.75" customHeight="1" x14ac:dyDescent="0.2">
      <c r="A20" s="478" t="s">
        <v>1405</v>
      </c>
      <c r="B20" s="479">
        <v>260</v>
      </c>
      <c r="C20" s="473"/>
      <c r="D20" s="473"/>
      <c r="E20" s="473"/>
      <c r="F20" s="473"/>
      <c r="G20" s="473"/>
      <c r="H20" s="473"/>
      <c r="I20" s="473"/>
      <c r="J20" s="473"/>
      <c r="K20" s="473"/>
      <c r="L20" s="473"/>
      <c r="M20" s="1912">
        <v>63928</v>
      </c>
      <c r="N20" s="480"/>
    </row>
    <row r="21" spans="1:14" s="481" customFormat="1" ht="12.75" customHeight="1" x14ac:dyDescent="0.2">
      <c r="A21" s="478" t="s">
        <v>1406</v>
      </c>
      <c r="B21" s="479">
        <v>340</v>
      </c>
      <c r="C21" s="473"/>
      <c r="D21" s="473"/>
      <c r="E21" s="473"/>
      <c r="F21" s="473"/>
      <c r="G21" s="473"/>
      <c r="H21" s="473"/>
      <c r="I21" s="473"/>
      <c r="J21" s="473"/>
      <c r="K21" s="473"/>
      <c r="L21" s="473"/>
      <c r="M21" s="482"/>
      <c r="N21" s="1912">
        <f>+E39</f>
        <v>1470278</v>
      </c>
    </row>
    <row r="22" spans="1:14" s="481" customFormat="1" ht="12.75" customHeight="1" x14ac:dyDescent="0.2">
      <c r="A22" s="478" t="s">
        <v>1407</v>
      </c>
      <c r="B22" s="479">
        <v>350</v>
      </c>
      <c r="C22" s="473"/>
      <c r="D22" s="473"/>
      <c r="E22" s="473"/>
      <c r="F22" s="473"/>
      <c r="G22" s="473"/>
      <c r="H22" s="473"/>
      <c r="I22" s="473"/>
      <c r="J22" s="473"/>
      <c r="K22" s="473"/>
      <c r="L22" s="473"/>
      <c r="M22" s="482"/>
      <c r="N22" s="483">
        <f>'Short-Term Long-Term Debt 24'!J49</f>
        <v>39695456</v>
      </c>
    </row>
    <row r="23" spans="1:14" ht="13.5" customHeight="1" thickBot="1" x14ac:dyDescent="0.25">
      <c r="A23" s="1709" t="s">
        <v>642</v>
      </c>
      <c r="B23" s="1714"/>
      <c r="C23" s="467"/>
      <c r="D23" s="467"/>
      <c r="E23" s="467"/>
      <c r="F23" s="467"/>
      <c r="G23" s="467"/>
      <c r="H23" s="467"/>
      <c r="I23" s="467"/>
      <c r="J23" s="467"/>
      <c r="K23" s="467"/>
      <c r="L23" s="467"/>
      <c r="M23" s="1661">
        <f>SUM(M15:M22)</f>
        <v>73664509</v>
      </c>
      <c r="N23" s="1661">
        <f>SUM(N21:N22)</f>
        <v>41165734</v>
      </c>
    </row>
    <row r="24" spans="1:14" ht="18" customHeight="1" thickTop="1" x14ac:dyDescent="0.2">
      <c r="A24" s="2187" t="s">
        <v>597</v>
      </c>
      <c r="B24" s="2188"/>
      <c r="C24" s="1541"/>
      <c r="D24" s="1538"/>
      <c r="E24" s="1538"/>
      <c r="F24" s="1538"/>
      <c r="G24" s="1538"/>
      <c r="H24" s="1538"/>
      <c r="I24" s="1538"/>
      <c r="J24" s="1538"/>
      <c r="K24" s="1538"/>
      <c r="L24" s="1538"/>
      <c r="M24" s="1537"/>
      <c r="N24" s="1542"/>
    </row>
    <row r="25" spans="1:14" x14ac:dyDescent="0.2">
      <c r="A25" s="471" t="s">
        <v>644</v>
      </c>
      <c r="B25" s="469">
        <v>410</v>
      </c>
      <c r="C25" s="474">
        <v>3000000</v>
      </c>
      <c r="D25" s="474">
        <v>700000</v>
      </c>
      <c r="E25" s="474">
        <v>0</v>
      </c>
      <c r="F25" s="474">
        <v>0</v>
      </c>
      <c r="G25" s="474">
        <v>0</v>
      </c>
      <c r="H25" s="1917">
        <v>0</v>
      </c>
      <c r="I25" s="467"/>
      <c r="J25" s="474">
        <v>0</v>
      </c>
      <c r="K25" s="474">
        <v>0</v>
      </c>
      <c r="L25" s="467"/>
      <c r="M25" s="467"/>
      <c r="N25" s="467"/>
    </row>
    <row r="26" spans="1:14" x14ac:dyDescent="0.2">
      <c r="A26" s="471" t="s">
        <v>645</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646</v>
      </c>
      <c r="B27" s="469">
        <v>430</v>
      </c>
      <c r="C27" s="1912">
        <v>49658</v>
      </c>
      <c r="D27" s="1912">
        <v>45490</v>
      </c>
      <c r="E27" s="1912">
        <v>0</v>
      </c>
      <c r="F27" s="1912">
        <v>10887</v>
      </c>
      <c r="G27" s="1912">
        <v>0</v>
      </c>
      <c r="H27" s="1912">
        <v>0</v>
      </c>
      <c r="I27" s="1912">
        <v>0</v>
      </c>
      <c r="J27" s="1912">
        <v>0</v>
      </c>
      <c r="K27" s="1912">
        <v>0</v>
      </c>
      <c r="L27" s="467"/>
      <c r="M27" s="467"/>
      <c r="N27" s="467"/>
    </row>
    <row r="28" spans="1:14" ht="13.5" customHeight="1" x14ac:dyDescent="0.2">
      <c r="A28" s="471" t="s">
        <v>647</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648</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649</v>
      </c>
      <c r="B30" s="469">
        <v>470</v>
      </c>
      <c r="C30" s="1912">
        <v>1667015</v>
      </c>
      <c r="D30" s="1914">
        <v>0</v>
      </c>
      <c r="E30" s="1912">
        <v>0</v>
      </c>
      <c r="F30" s="1912">
        <v>0</v>
      </c>
      <c r="G30" s="1912">
        <v>0</v>
      </c>
      <c r="H30" s="1912">
        <v>0</v>
      </c>
      <c r="I30" s="1912">
        <v>0</v>
      </c>
      <c r="J30" s="1912">
        <v>0</v>
      </c>
      <c r="K30" s="474">
        <v>0</v>
      </c>
      <c r="L30" s="467"/>
      <c r="M30" s="467"/>
      <c r="N30" s="467"/>
    </row>
    <row r="31" spans="1:14" ht="13.5" customHeight="1" x14ac:dyDescent="0.2">
      <c r="A31" s="471" t="s">
        <v>650</v>
      </c>
      <c r="B31" s="469">
        <v>480</v>
      </c>
      <c r="C31" s="1911">
        <v>268944</v>
      </c>
      <c r="D31" s="1912">
        <v>84597</v>
      </c>
      <c r="E31" s="1912">
        <v>0</v>
      </c>
      <c r="F31" s="1911">
        <v>1793</v>
      </c>
      <c r="G31" s="1912">
        <v>20702</v>
      </c>
      <c r="H31" s="1912">
        <v>0</v>
      </c>
      <c r="I31" s="1912">
        <v>0</v>
      </c>
      <c r="J31" s="1912">
        <v>0</v>
      </c>
      <c r="K31" s="1912">
        <v>0</v>
      </c>
      <c r="L31" s="467"/>
      <c r="M31" s="467"/>
      <c r="N31" s="467"/>
    </row>
    <row r="32" spans="1:14" ht="13.5" customHeight="1" x14ac:dyDescent="0.2">
      <c r="A32" s="484" t="s">
        <v>651</v>
      </c>
      <c r="B32" s="485">
        <v>490</v>
      </c>
      <c r="C32" s="1921">
        <v>7750447</v>
      </c>
      <c r="D32" s="1921">
        <v>1121208</v>
      </c>
      <c r="E32" s="1914">
        <v>1511480</v>
      </c>
      <c r="F32" s="1914">
        <v>397514</v>
      </c>
      <c r="G32" s="1914">
        <v>323376</v>
      </c>
      <c r="H32" s="1914">
        <v>0</v>
      </c>
      <c r="I32" s="1914">
        <v>0</v>
      </c>
      <c r="J32" s="1914">
        <v>0</v>
      </c>
      <c r="K32" s="1917">
        <v>0</v>
      </c>
      <c r="L32" s="467"/>
      <c r="M32" s="467"/>
      <c r="N32" s="467"/>
    </row>
    <row r="33" spans="1:14" ht="13.5" customHeight="1" x14ac:dyDescent="0.2">
      <c r="A33" s="486" t="s">
        <v>302</v>
      </c>
      <c r="B33" s="485">
        <v>493</v>
      </c>
      <c r="C33" s="1912">
        <v>0</v>
      </c>
      <c r="D33" s="1912">
        <v>0</v>
      </c>
      <c r="E33" s="1912">
        <v>0</v>
      </c>
      <c r="F33" s="1912">
        <v>0</v>
      </c>
      <c r="G33" s="1912">
        <v>0</v>
      </c>
      <c r="H33" s="1912">
        <v>0</v>
      </c>
      <c r="I33" s="1912">
        <v>0</v>
      </c>
      <c r="J33" s="1912">
        <v>0</v>
      </c>
      <c r="K33" s="1912">
        <v>0</v>
      </c>
      <c r="L33" s="1912">
        <v>203564</v>
      </c>
      <c r="M33" s="467"/>
      <c r="N33" s="468"/>
    </row>
    <row r="34" spans="1:14" ht="13.5" customHeight="1" thickBot="1" x14ac:dyDescent="0.25">
      <c r="A34" s="1711" t="s">
        <v>653</v>
      </c>
      <c r="B34" s="1712"/>
      <c r="C34" s="1713">
        <f>SUM(C25:C33)</f>
        <v>12736064</v>
      </c>
      <c r="D34" s="1713">
        <f t="shared" ref="D34:K34" si="1">SUM(D25:D33)</f>
        <v>1951295</v>
      </c>
      <c r="E34" s="1713">
        <f t="shared" si="1"/>
        <v>1511480</v>
      </c>
      <c r="F34" s="1713">
        <f t="shared" si="1"/>
        <v>410194</v>
      </c>
      <c r="G34" s="1713">
        <f t="shared" si="1"/>
        <v>344078</v>
      </c>
      <c r="H34" s="1713">
        <f t="shared" si="1"/>
        <v>0</v>
      </c>
      <c r="I34" s="1713">
        <f t="shared" si="1"/>
        <v>0</v>
      </c>
      <c r="J34" s="1713">
        <f t="shared" si="1"/>
        <v>0</v>
      </c>
      <c r="K34" s="1713">
        <f t="shared" si="1"/>
        <v>0</v>
      </c>
      <c r="L34" s="1694">
        <f>SUM(L33)</f>
        <v>203564</v>
      </c>
      <c r="M34" s="467"/>
      <c r="N34" s="476"/>
    </row>
    <row r="35" spans="1:14" ht="18" customHeight="1" thickTop="1" x14ac:dyDescent="0.2">
      <c r="A35" s="2189" t="s">
        <v>528</v>
      </c>
      <c r="B35" s="2190"/>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41165734</v>
      </c>
    </row>
    <row r="37" spans="1:14" ht="13.5" thickBot="1" x14ac:dyDescent="0.25">
      <c r="A37" s="1709" t="s">
        <v>652</v>
      </c>
      <c r="B37" s="1714"/>
      <c r="C37" s="473"/>
      <c r="D37" s="473"/>
      <c r="E37" s="473"/>
      <c r="F37" s="473"/>
      <c r="G37" s="473"/>
      <c r="H37" s="473"/>
      <c r="I37" s="473"/>
      <c r="J37" s="473"/>
      <c r="K37" s="473"/>
      <c r="L37" s="476"/>
      <c r="M37" s="467"/>
      <c r="N37" s="1661">
        <f>SUM(N36:N36)</f>
        <v>41165734</v>
      </c>
    </row>
    <row r="38" spans="1:14" s="329" customFormat="1" ht="13.5" customHeight="1" thickTop="1" x14ac:dyDescent="0.2">
      <c r="A38" s="489" t="s">
        <v>419</v>
      </c>
      <c r="B38" s="479">
        <v>714</v>
      </c>
      <c r="C38" s="1911"/>
      <c r="D38" s="1911"/>
      <c r="E38" s="1911"/>
      <c r="F38" s="1911"/>
      <c r="G38" s="1911"/>
      <c r="H38" s="1911"/>
      <c r="I38" s="1911"/>
      <c r="J38" s="1912"/>
      <c r="K38" s="1911"/>
      <c r="L38" s="477"/>
      <c r="M38" s="490"/>
      <c r="N38" s="490"/>
    </row>
    <row r="39" spans="1:14" s="329" customFormat="1" ht="13.5" customHeight="1" x14ac:dyDescent="0.2">
      <c r="A39" s="489" t="s">
        <v>341</v>
      </c>
      <c r="B39" s="479">
        <v>730</v>
      </c>
      <c r="C39" s="1911">
        <v>-821230</v>
      </c>
      <c r="D39" s="1911">
        <v>-157936</v>
      </c>
      <c r="E39" s="1911">
        <v>1470278</v>
      </c>
      <c r="F39" s="1911">
        <v>548426</v>
      </c>
      <c r="G39" s="1911">
        <v>121285</v>
      </c>
      <c r="H39" s="1911">
        <v>408</v>
      </c>
      <c r="I39" s="1911">
        <v>4133805</v>
      </c>
      <c r="J39" s="1912">
        <v>0</v>
      </c>
      <c r="K39" s="1911">
        <v>0</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73664509</v>
      </c>
      <c r="N40" s="490"/>
    </row>
    <row r="41" spans="1:14" ht="13.5" customHeight="1" thickBot="1" x14ac:dyDescent="0.25">
      <c r="A41" s="1709" t="s">
        <v>654</v>
      </c>
      <c r="B41" s="1679"/>
      <c r="C41" s="1661">
        <f>(SUM(C34,C37,C38,C39))</f>
        <v>11914834</v>
      </c>
      <c r="D41" s="1661">
        <f t="shared" ref="D41:L41" si="2">SUM(D34,D37,D38:D39)</f>
        <v>1793359</v>
      </c>
      <c r="E41" s="1661">
        <f t="shared" si="2"/>
        <v>2981758</v>
      </c>
      <c r="F41" s="1661">
        <f t="shared" si="2"/>
        <v>958620</v>
      </c>
      <c r="G41" s="1661">
        <f t="shared" si="2"/>
        <v>465363</v>
      </c>
      <c r="H41" s="1661">
        <f t="shared" si="2"/>
        <v>408</v>
      </c>
      <c r="I41" s="1661">
        <f t="shared" si="2"/>
        <v>4133805</v>
      </c>
      <c r="J41" s="1661">
        <f t="shared" si="2"/>
        <v>0</v>
      </c>
      <c r="K41" s="1661">
        <f t="shared" si="2"/>
        <v>0</v>
      </c>
      <c r="L41" s="1661">
        <f t="shared" si="2"/>
        <v>203564</v>
      </c>
      <c r="M41" s="1661">
        <f>SUM(M40)</f>
        <v>73664509</v>
      </c>
      <c r="N41" s="1661">
        <f>SUM(N37)</f>
        <v>41165734</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3" activePane="bottomLeft" state="frozen"/>
      <selection activeCell="J31" sqref="J31"/>
      <selection pane="bottomLeft" activeCell="A3" sqref="A3:B3"/>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9"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200"/>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211" t="s">
        <v>1174</v>
      </c>
      <c r="B3" s="2212"/>
      <c r="C3" s="1546"/>
      <c r="D3" s="1547"/>
      <c r="E3" s="1547"/>
      <c r="F3" s="1547"/>
      <c r="G3" s="1547"/>
      <c r="H3" s="1547"/>
      <c r="I3" s="1547"/>
      <c r="J3" s="1547"/>
      <c r="K3" s="1548"/>
      <c r="L3" s="499"/>
    </row>
    <row r="4" spans="1:13" ht="15.75" customHeight="1" x14ac:dyDescent="0.2">
      <c r="A4" s="1901" t="s">
        <v>1498</v>
      </c>
      <c r="B4" s="1902">
        <v>1000</v>
      </c>
      <c r="C4" s="1715">
        <f>'Revenues 9-14'!C109</f>
        <v>16469259</v>
      </c>
      <c r="D4" s="1715">
        <f>'Revenues 9-14'!D109</f>
        <v>2488287</v>
      </c>
      <c r="E4" s="1715">
        <f>'Revenues 9-14'!E109</f>
        <v>3035415</v>
      </c>
      <c r="F4" s="1715">
        <f>'Revenues 9-14'!F109</f>
        <v>754603</v>
      </c>
      <c r="G4" s="1715">
        <f>'Revenues 9-14'!G109</f>
        <v>794378</v>
      </c>
      <c r="H4" s="1715">
        <f>'Revenues 9-14'!H109</f>
        <v>472</v>
      </c>
      <c r="I4" s="1715">
        <f>'Revenues 9-14'!I109</f>
        <v>0</v>
      </c>
      <c r="J4" s="1715">
        <f>'Revenues 9-14'!J109</f>
        <v>0</v>
      </c>
      <c r="K4" s="1715">
        <f>'Revenues 9-14'!K109</f>
        <v>0</v>
      </c>
      <c r="L4" s="347"/>
    </row>
    <row r="5" spans="1:13" ht="15.75" customHeight="1" x14ac:dyDescent="0.2">
      <c r="A5" s="1549" t="s">
        <v>1499</v>
      </c>
      <c r="B5" s="1550">
        <v>2000</v>
      </c>
      <c r="C5" s="1716">
        <f>'Revenues 9-14'!C114</f>
        <v>0</v>
      </c>
      <c r="D5" s="1716">
        <f>'Revenues 9-14'!D114</f>
        <v>0</v>
      </c>
      <c r="E5" s="501"/>
      <c r="F5" s="1716">
        <f>'Revenues 9-14'!F114</f>
        <v>0</v>
      </c>
      <c r="G5" s="1716">
        <f>'Revenues 9-14'!G114</f>
        <v>0</v>
      </c>
      <c r="H5" s="502" t="s">
        <v>1168</v>
      </c>
      <c r="I5" s="503" t="s">
        <v>1168</v>
      </c>
      <c r="J5" s="504" t="s">
        <v>1168</v>
      </c>
      <c r="K5" s="505" t="s">
        <v>1168</v>
      </c>
      <c r="L5" s="347"/>
    </row>
    <row r="6" spans="1:13" ht="15.75" customHeight="1" x14ac:dyDescent="0.2">
      <c r="A6" s="1549" t="s">
        <v>1500</v>
      </c>
      <c r="B6" s="1551">
        <v>3000</v>
      </c>
      <c r="C6" s="1716">
        <f>'Revenues 9-14'!C170</f>
        <v>3667455</v>
      </c>
      <c r="D6" s="1716">
        <f>'Revenues 9-14'!D170</f>
        <v>0</v>
      </c>
      <c r="E6" s="1716">
        <f>'Revenues 9-14'!E170</f>
        <v>0</v>
      </c>
      <c r="F6" s="1716">
        <f>'Revenues 9-14'!F170</f>
        <v>829011</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1501</v>
      </c>
      <c r="B7" s="1551">
        <v>4000</v>
      </c>
      <c r="C7" s="1716">
        <f>'Revenues 9-14'!C267</f>
        <v>964192</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1171</v>
      </c>
      <c r="B8" s="1682"/>
      <c r="C8" s="1661">
        <f>SUM(C4:C7)</f>
        <v>21100906</v>
      </c>
      <c r="D8" s="1661">
        <f t="shared" ref="D8:K8" si="0">SUM(D4:D7)</f>
        <v>2488287</v>
      </c>
      <c r="E8" s="1661">
        <f t="shared" si="0"/>
        <v>3035415</v>
      </c>
      <c r="F8" s="1661">
        <f t="shared" si="0"/>
        <v>1583614</v>
      </c>
      <c r="G8" s="1661">
        <f t="shared" si="0"/>
        <v>794378</v>
      </c>
      <c r="H8" s="1661">
        <f t="shared" si="0"/>
        <v>472</v>
      </c>
      <c r="I8" s="1661">
        <f t="shared" si="0"/>
        <v>0</v>
      </c>
      <c r="J8" s="1661">
        <f t="shared" si="0"/>
        <v>0</v>
      </c>
      <c r="K8" s="1661">
        <f t="shared" si="0"/>
        <v>0</v>
      </c>
      <c r="L8" s="347"/>
    </row>
    <row r="9" spans="1:13" ht="15.75" thickTop="1" x14ac:dyDescent="0.2">
      <c r="A9" s="507" t="s">
        <v>1652</v>
      </c>
      <c r="B9" s="508">
        <v>3998</v>
      </c>
      <c r="C9" s="477">
        <v>10046448</v>
      </c>
      <c r="D9" s="509">
        <v>0</v>
      </c>
      <c r="E9" s="477">
        <v>0</v>
      </c>
      <c r="F9" s="477">
        <v>0</v>
      </c>
      <c r="G9" s="510">
        <v>0</v>
      </c>
      <c r="H9" s="477">
        <v>0</v>
      </c>
      <c r="I9" s="502" t="s">
        <v>1168</v>
      </c>
      <c r="J9" s="474">
        <v>0</v>
      </c>
      <c r="K9" s="477">
        <v>0</v>
      </c>
      <c r="L9" s="347"/>
    </row>
    <row r="10" spans="1:13" s="512" customFormat="1" ht="13.5" thickBot="1" x14ac:dyDescent="0.25">
      <c r="A10" s="1709" t="s">
        <v>1172</v>
      </c>
      <c r="B10" s="1682"/>
      <c r="C10" s="1661">
        <f>SUM(C8:C9)</f>
        <v>31147354</v>
      </c>
      <c r="D10" s="1661">
        <f t="shared" ref="D10:K10" si="1">SUM(D8:D9)</f>
        <v>2488287</v>
      </c>
      <c r="E10" s="1661">
        <f t="shared" si="1"/>
        <v>3035415</v>
      </c>
      <c r="F10" s="1661">
        <f t="shared" si="1"/>
        <v>1583614</v>
      </c>
      <c r="G10" s="1661">
        <f t="shared" si="1"/>
        <v>794378</v>
      </c>
      <c r="H10" s="1661">
        <f t="shared" si="1"/>
        <v>472</v>
      </c>
      <c r="I10" s="1661">
        <f t="shared" si="1"/>
        <v>0</v>
      </c>
      <c r="J10" s="1661">
        <f t="shared" si="1"/>
        <v>0</v>
      </c>
      <c r="K10" s="1661">
        <f t="shared" si="1"/>
        <v>0</v>
      </c>
      <c r="L10" s="511"/>
    </row>
    <row r="11" spans="1:13" s="512" customFormat="1" ht="16.7" customHeight="1" thickTop="1" x14ac:dyDescent="0.2">
      <c r="A11" s="2185" t="s">
        <v>1175</v>
      </c>
      <c r="B11" s="2186"/>
      <c r="C11" s="1543"/>
      <c r="D11" s="1544"/>
      <c r="E11" s="1544"/>
      <c r="F11" s="1544"/>
      <c r="G11" s="1544"/>
      <c r="H11" s="1544"/>
      <c r="I11" s="1544"/>
      <c r="J11" s="1544"/>
      <c r="K11" s="1545"/>
      <c r="L11" s="511"/>
    </row>
    <row r="12" spans="1:13" ht="15.75" customHeight="1" x14ac:dyDescent="0.2">
      <c r="A12" s="1549" t="s">
        <v>455</v>
      </c>
      <c r="B12" s="1551">
        <v>1000</v>
      </c>
      <c r="C12" s="1715">
        <f>'Expenditures 15-22'!K33</f>
        <v>12852771</v>
      </c>
      <c r="D12" s="513" t="s">
        <v>1168</v>
      </c>
      <c r="E12" s="467" t="s">
        <v>1168</v>
      </c>
      <c r="F12" s="467" t="s">
        <v>1168</v>
      </c>
      <c r="G12" s="1715">
        <f>'Expenditures 15-22'!K229</f>
        <v>260331</v>
      </c>
      <c r="H12" s="514"/>
      <c r="I12" s="467" t="s">
        <v>1168</v>
      </c>
      <c r="J12" s="467" t="s">
        <v>1168</v>
      </c>
      <c r="K12" s="514" t="s">
        <v>1168</v>
      </c>
      <c r="L12" s="347"/>
    </row>
    <row r="13" spans="1:13" ht="15.75" customHeight="1" x14ac:dyDescent="0.2">
      <c r="A13" s="1549" t="s">
        <v>456</v>
      </c>
      <c r="B13" s="1551">
        <v>2000</v>
      </c>
      <c r="C13" s="1716">
        <f>'Expenditures 15-22'!K74</f>
        <v>6269872</v>
      </c>
      <c r="D13" s="1716">
        <f>'Expenditures 15-22'!K129</f>
        <v>2026742</v>
      </c>
      <c r="E13" s="468" t="s">
        <v>1168</v>
      </c>
      <c r="F13" s="1716">
        <f>'Expenditures 15-22'!K184</f>
        <v>2726911</v>
      </c>
      <c r="G13" s="1716">
        <f>'Expenditures 15-22'!K279</f>
        <v>497679</v>
      </c>
      <c r="H13" s="1716">
        <f>'Expenditures 15-22'!K303</f>
        <v>116356</v>
      </c>
      <c r="I13" s="467" t="s">
        <v>1168</v>
      </c>
      <c r="J13" s="1716">
        <f>'Expenditures 15-22'!K330</f>
        <v>0</v>
      </c>
      <c r="K13" s="1720">
        <f>'Expenditures 15-22'!K352</f>
        <v>0</v>
      </c>
      <c r="L13" s="347"/>
    </row>
    <row r="14" spans="1:13" ht="15.75" customHeight="1" x14ac:dyDescent="0.2">
      <c r="A14" s="1549" t="s">
        <v>448</v>
      </c>
      <c r="B14" s="1551">
        <v>3000</v>
      </c>
      <c r="C14" s="1716">
        <f>'Expenditures 15-22'!K75</f>
        <v>2332</v>
      </c>
      <c r="D14" s="1716">
        <f>'Expenditures 15-22'!K130</f>
        <v>0</v>
      </c>
      <c r="E14" s="513" t="s">
        <v>1168</v>
      </c>
      <c r="F14" s="1716">
        <f>'Expenditures 15-22'!K185</f>
        <v>0</v>
      </c>
      <c r="G14" s="1716">
        <f>'Expenditures 15-22'!K280</f>
        <v>0</v>
      </c>
      <c r="H14" s="505"/>
      <c r="I14" s="467" t="s">
        <v>1168</v>
      </c>
      <c r="J14" s="467" t="s">
        <v>1168</v>
      </c>
      <c r="K14" s="505" t="s">
        <v>1168</v>
      </c>
      <c r="L14" s="347"/>
    </row>
    <row r="15" spans="1:13" ht="15.75" customHeight="1" x14ac:dyDescent="0.2">
      <c r="A15" s="1549" t="s">
        <v>107</v>
      </c>
      <c r="B15" s="1551">
        <v>4000</v>
      </c>
      <c r="C15" s="1716">
        <f>'Expenditures 15-22'!K102</f>
        <v>600127</v>
      </c>
      <c r="D15" s="1716">
        <f>'Expenditures 15-22'!K139</f>
        <v>0</v>
      </c>
      <c r="E15" s="1716">
        <f>'Expenditures 15-22'!K160</f>
        <v>0</v>
      </c>
      <c r="F15" s="1716">
        <f>'Expenditures 15-22'!K196</f>
        <v>0</v>
      </c>
      <c r="G15" s="1716">
        <f>'Expenditures 15-22'!K285</f>
        <v>0</v>
      </c>
      <c r="H15" s="1716">
        <f>'Expenditures 15-22'!K310</f>
        <v>0</v>
      </c>
      <c r="I15" s="467" t="s">
        <v>1168</v>
      </c>
      <c r="J15" s="1808">
        <f>'Expenditures 15-22'!K334</f>
        <v>0</v>
      </c>
      <c r="K15" s="1716">
        <f>'Expenditures 15-22'!K357</f>
        <v>0</v>
      </c>
      <c r="L15" s="347"/>
    </row>
    <row r="16" spans="1:13" ht="15.75" customHeight="1" x14ac:dyDescent="0.2">
      <c r="A16" s="1549" t="s">
        <v>449</v>
      </c>
      <c r="B16" s="1551">
        <v>5000</v>
      </c>
      <c r="C16" s="1716">
        <f>'Expenditures 15-22'!K112</f>
        <v>51983</v>
      </c>
      <c r="D16" s="1716">
        <f>'Expenditures 15-22'!K149</f>
        <v>0</v>
      </c>
      <c r="E16" s="1716">
        <f>'Expenditures 15-22'!K172</f>
        <v>3344991</v>
      </c>
      <c r="F16" s="1716">
        <f>'Expenditures 15-22'!K208</f>
        <v>339791</v>
      </c>
      <c r="G16" s="1716">
        <f>'Expenditures 15-22'!K293</f>
        <v>0</v>
      </c>
      <c r="H16" s="516"/>
      <c r="I16" s="467" t="s">
        <v>1168</v>
      </c>
      <c r="J16" s="1721">
        <f>'Expenditures 15-22'!K340</f>
        <v>0</v>
      </c>
      <c r="K16" s="1716">
        <f>'Expenditures 15-22'!K365</f>
        <v>0</v>
      </c>
      <c r="L16" s="347"/>
    </row>
    <row r="17" spans="1:12" ht="13.5" thickBot="1" x14ac:dyDescent="0.25">
      <c r="A17" s="1681" t="s">
        <v>48</v>
      </c>
      <c r="B17" s="1682"/>
      <c r="C17" s="1661">
        <f t="shared" ref="C17:H17" si="2">SUM(C12:C16)</f>
        <v>19777085</v>
      </c>
      <c r="D17" s="1661">
        <f t="shared" si="2"/>
        <v>2026742</v>
      </c>
      <c r="E17" s="1661">
        <f t="shared" si="2"/>
        <v>3344991</v>
      </c>
      <c r="F17" s="1661">
        <f t="shared" si="2"/>
        <v>3066702</v>
      </c>
      <c r="G17" s="1661">
        <f t="shared" si="2"/>
        <v>758010</v>
      </c>
      <c r="H17" s="1661">
        <f t="shared" si="2"/>
        <v>116356</v>
      </c>
      <c r="I17" s="467"/>
      <c r="J17" s="1661">
        <f>SUM(J12:J16)</f>
        <v>0</v>
      </c>
      <c r="K17" s="1661">
        <f>SUM(K12:K16)</f>
        <v>0</v>
      </c>
      <c r="L17" s="347"/>
    </row>
    <row r="18" spans="1:12" ht="15" customHeight="1" thickTop="1" x14ac:dyDescent="0.2">
      <c r="A18" s="1717" t="s">
        <v>1653</v>
      </c>
      <c r="B18" s="1718">
        <v>4180</v>
      </c>
      <c r="C18" s="1715">
        <f t="shared" ref="C18:H18" si="3">C9</f>
        <v>10046448</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504</v>
      </c>
      <c r="B19" s="1682"/>
      <c r="C19" s="1661">
        <f t="shared" ref="C19:H19" si="4">SUM(C17:C18)</f>
        <v>29823533</v>
      </c>
      <c r="D19" s="1661">
        <f t="shared" si="4"/>
        <v>2026742</v>
      </c>
      <c r="E19" s="1661">
        <f t="shared" si="4"/>
        <v>3344991</v>
      </c>
      <c r="F19" s="1661">
        <f t="shared" si="4"/>
        <v>3066702</v>
      </c>
      <c r="G19" s="1661">
        <f t="shared" si="4"/>
        <v>758010</v>
      </c>
      <c r="H19" s="1661">
        <f t="shared" si="4"/>
        <v>116356</v>
      </c>
      <c r="I19" s="467"/>
      <c r="J19" s="1661">
        <f>SUM(J17:J18)</f>
        <v>0</v>
      </c>
      <c r="K19" s="1661">
        <f>SUM(K17:K18)</f>
        <v>0</v>
      </c>
      <c r="L19" s="347"/>
    </row>
    <row r="20" spans="1:12" ht="16.5" thickTop="1" thickBot="1" x14ac:dyDescent="0.25">
      <c r="A20" s="2201" t="s">
        <v>1654</v>
      </c>
      <c r="B20" s="2202"/>
      <c r="C20" s="1719">
        <f>C8-C17</f>
        <v>1323821</v>
      </c>
      <c r="D20" s="1719">
        <f t="shared" ref="D20:K20" si="5">D8-D17</f>
        <v>461545</v>
      </c>
      <c r="E20" s="1719">
        <f t="shared" si="5"/>
        <v>-309576</v>
      </c>
      <c r="F20" s="1719">
        <f t="shared" si="5"/>
        <v>-1483088</v>
      </c>
      <c r="G20" s="1719">
        <f t="shared" si="5"/>
        <v>36368</v>
      </c>
      <c r="H20" s="1719">
        <f t="shared" si="5"/>
        <v>-115884</v>
      </c>
      <c r="I20" s="1719">
        <f t="shared" si="5"/>
        <v>0</v>
      </c>
      <c r="J20" s="1719">
        <f t="shared" si="5"/>
        <v>0</v>
      </c>
      <c r="K20" s="1719">
        <f t="shared" si="5"/>
        <v>0</v>
      </c>
      <c r="L20" s="347"/>
    </row>
    <row r="21" spans="1:12" ht="16.7" customHeight="1" thickTop="1" x14ac:dyDescent="0.2">
      <c r="A21" s="2213" t="s">
        <v>594</v>
      </c>
      <c r="B21" s="2214"/>
      <c r="C21" s="1543"/>
      <c r="D21" s="1544"/>
      <c r="E21" s="1544"/>
      <c r="F21" s="1544"/>
      <c r="G21" s="1544"/>
      <c r="H21" s="1544"/>
      <c r="I21" s="1544"/>
      <c r="J21" s="1544"/>
      <c r="K21" s="1545"/>
      <c r="L21" s="517"/>
    </row>
    <row r="22" spans="1:12" ht="15.75" customHeight="1" collapsed="1" x14ac:dyDescent="0.2">
      <c r="A22" s="2209" t="s">
        <v>595</v>
      </c>
      <c r="B22" s="2210"/>
      <c r="C22" s="473"/>
      <c r="D22" s="473"/>
      <c r="E22" s="473"/>
      <c r="F22" s="473"/>
      <c r="G22" s="473"/>
      <c r="H22" s="473"/>
      <c r="I22" s="473"/>
      <c r="J22" s="473"/>
      <c r="K22" s="473"/>
      <c r="L22" s="347"/>
    </row>
    <row r="23" spans="1:12" s="481" customFormat="1" ht="15.75" customHeight="1" x14ac:dyDescent="0.2">
      <c r="A23" s="2205" t="s">
        <v>292</v>
      </c>
      <c r="B23" s="2206"/>
      <c r="C23" s="476"/>
      <c r="D23" s="473"/>
      <c r="E23" s="473"/>
      <c r="F23" s="473"/>
      <c r="G23" s="473"/>
      <c r="H23" s="473"/>
      <c r="I23" s="473"/>
      <c r="J23" s="473"/>
      <c r="K23" s="473"/>
      <c r="L23" s="517"/>
    </row>
    <row r="24" spans="1:12" s="481" customFormat="1" ht="13.5" customHeight="1" x14ac:dyDescent="0.2">
      <c r="A24" s="1462" t="s">
        <v>1655</v>
      </c>
      <c r="B24" s="518">
        <v>7110</v>
      </c>
      <c r="C24" s="1922"/>
      <c r="D24" s="473"/>
      <c r="E24" s="473"/>
      <c r="F24" s="473"/>
      <c r="G24" s="473"/>
      <c r="H24" s="473"/>
      <c r="I24" s="473"/>
      <c r="J24" s="473"/>
      <c r="K24" s="473"/>
      <c r="L24" s="517"/>
    </row>
    <row r="25" spans="1:12" s="481" customFormat="1" ht="13.5" customHeight="1" x14ac:dyDescent="0.2">
      <c r="A25" s="1462" t="s">
        <v>1656</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0</v>
      </c>
      <c r="D27" s="1922">
        <v>0</v>
      </c>
      <c r="E27" s="519"/>
      <c r="F27" s="1922">
        <v>0</v>
      </c>
      <c r="G27" s="476"/>
      <c r="H27" s="476"/>
      <c r="I27" s="476"/>
      <c r="J27" s="476"/>
      <c r="K27" s="476"/>
      <c r="L27" s="517"/>
    </row>
    <row r="28" spans="1:12" s="481" customFormat="1" ht="13.5" customHeight="1" x14ac:dyDescent="0.2">
      <c r="A28" s="1462" t="s">
        <v>1397</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293</v>
      </c>
      <c r="B29" s="479">
        <v>7150</v>
      </c>
      <c r="C29" s="472"/>
      <c r="D29" s="1922">
        <v>0</v>
      </c>
      <c r="E29" s="472"/>
      <c r="F29" s="472"/>
      <c r="G29" s="472"/>
      <c r="H29" s="472"/>
      <c r="I29" s="472"/>
      <c r="J29" s="472"/>
      <c r="K29" s="472"/>
      <c r="L29" s="517"/>
    </row>
    <row r="30" spans="1:12" s="481" customFormat="1" ht="26.25" x14ac:dyDescent="0.2">
      <c r="A30" s="1462" t="s">
        <v>1791</v>
      </c>
      <c r="B30" s="520">
        <v>7160</v>
      </c>
      <c r="C30" s="473"/>
      <c r="D30" s="1922">
        <v>0</v>
      </c>
      <c r="E30" s="473"/>
      <c r="F30" s="473"/>
      <c r="G30" s="473"/>
      <c r="H30" s="473"/>
      <c r="I30" s="473"/>
      <c r="J30" s="473"/>
      <c r="K30" s="473"/>
      <c r="L30" s="517"/>
    </row>
    <row r="31" spans="1:12" s="481" customFormat="1" ht="26.25" x14ac:dyDescent="0.2">
      <c r="A31" s="1462" t="s">
        <v>1795</v>
      </c>
      <c r="B31" s="520">
        <v>7170</v>
      </c>
      <c r="C31" s="473"/>
      <c r="D31" s="473"/>
      <c r="E31" s="1923">
        <v>0</v>
      </c>
      <c r="F31" s="473"/>
      <c r="G31" s="473"/>
      <c r="H31" s="473"/>
      <c r="I31" s="473"/>
      <c r="J31" s="473"/>
      <c r="K31" s="473"/>
      <c r="L31" s="517"/>
    </row>
    <row r="32" spans="1:12" s="481" customFormat="1" ht="15.75" customHeight="1" x14ac:dyDescent="0.2">
      <c r="A32" s="2207" t="s">
        <v>980</v>
      </c>
      <c r="B32" s="2208"/>
      <c r="C32" s="473"/>
      <c r="D32" s="473"/>
      <c r="E32" s="472"/>
      <c r="F32" s="473"/>
      <c r="G32" s="473"/>
      <c r="H32" s="473"/>
      <c r="I32" s="473"/>
      <c r="J32" s="473"/>
      <c r="K32" s="473"/>
      <c r="L32" s="517"/>
    </row>
    <row r="33" spans="1:12" s="481" customFormat="1" x14ac:dyDescent="0.2">
      <c r="A33" s="1462" t="s">
        <v>411</v>
      </c>
      <c r="B33" s="518">
        <v>7210</v>
      </c>
      <c r="C33" s="1922">
        <v>0</v>
      </c>
      <c r="D33" s="1922">
        <v>0</v>
      </c>
      <c r="E33" s="1922">
        <v>0</v>
      </c>
      <c r="F33" s="1922">
        <v>0</v>
      </c>
      <c r="G33" s="473"/>
      <c r="H33" s="1922">
        <v>0</v>
      </c>
      <c r="I33" s="1922">
        <v>0</v>
      </c>
      <c r="J33" s="1922">
        <v>0</v>
      </c>
      <c r="K33" s="1922">
        <v>0</v>
      </c>
      <c r="L33" s="517"/>
    </row>
    <row r="34" spans="1:12" s="481" customFormat="1" x14ac:dyDescent="0.2">
      <c r="A34" s="1462" t="s">
        <v>1000</v>
      </c>
      <c r="B34" s="518">
        <v>7220</v>
      </c>
      <c r="C34" s="1922">
        <v>0</v>
      </c>
      <c r="D34" s="1922">
        <v>0</v>
      </c>
      <c r="E34" s="1922">
        <v>0</v>
      </c>
      <c r="F34" s="1922">
        <v>0</v>
      </c>
      <c r="G34" s="473"/>
      <c r="H34" s="474">
        <v>0</v>
      </c>
      <c r="I34" s="474">
        <v>0</v>
      </c>
      <c r="J34" s="474">
        <v>0</v>
      </c>
      <c r="K34" s="474">
        <v>0</v>
      </c>
      <c r="L34" s="517"/>
    </row>
    <row r="35" spans="1:12" s="481" customFormat="1" x14ac:dyDescent="0.2">
      <c r="A35" s="1462" t="s">
        <v>989</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1657</v>
      </c>
      <c r="B36" s="518">
        <v>7300</v>
      </c>
      <c r="C36" s="1922">
        <v>0</v>
      </c>
      <c r="D36" s="1922">
        <v>0</v>
      </c>
      <c r="E36" s="1922">
        <v>0</v>
      </c>
      <c r="F36" s="1922">
        <v>0</v>
      </c>
      <c r="G36" s="1922">
        <v>0</v>
      </c>
      <c r="H36" s="1922">
        <v>0</v>
      </c>
      <c r="I36" s="472"/>
      <c r="J36" s="1922">
        <v>0</v>
      </c>
      <c r="K36" s="1922">
        <v>0</v>
      </c>
      <c r="L36" s="517"/>
    </row>
    <row r="37" spans="1:12" s="481" customFormat="1" x14ac:dyDescent="0.2">
      <c r="A37" s="1462" t="s">
        <v>440</v>
      </c>
      <c r="B37" s="518">
        <v>7400</v>
      </c>
      <c r="C37" s="472"/>
      <c r="D37" s="472"/>
      <c r="E37" s="1716">
        <f>SUM(C54:D57,H54:H57)</f>
        <v>31470</v>
      </c>
      <c r="F37" s="472"/>
      <c r="G37" s="472"/>
      <c r="H37" s="472"/>
      <c r="I37" s="473"/>
      <c r="J37" s="472"/>
      <c r="K37" s="472"/>
      <c r="L37" s="517"/>
    </row>
    <row r="38" spans="1:12" s="481" customFormat="1" x14ac:dyDescent="0.2">
      <c r="A38" s="1462" t="s">
        <v>441</v>
      </c>
      <c r="B38" s="518">
        <v>7500</v>
      </c>
      <c r="C38" s="473"/>
      <c r="D38" s="473"/>
      <c r="E38" s="1716">
        <f>SUM(C58:D61,H58:H61)</f>
        <v>5421</v>
      </c>
      <c r="F38" s="473"/>
      <c r="G38" s="473"/>
      <c r="H38" s="473"/>
      <c r="I38" s="473"/>
      <c r="J38" s="473"/>
      <c r="K38" s="473"/>
      <c r="L38" s="517"/>
    </row>
    <row r="39" spans="1:12" s="481" customFormat="1" x14ac:dyDescent="0.2">
      <c r="A39" s="1462" t="s">
        <v>442</v>
      </c>
      <c r="B39" s="518">
        <v>7600</v>
      </c>
      <c r="C39" s="473"/>
      <c r="D39" s="473"/>
      <c r="E39" s="1716">
        <f>SUM(C62:D65)</f>
        <v>290000</v>
      </c>
      <c r="F39" s="473"/>
      <c r="G39" s="473"/>
      <c r="H39" s="473"/>
      <c r="I39" s="473"/>
      <c r="J39" s="473"/>
      <c r="K39" s="473"/>
      <c r="L39" s="517"/>
    </row>
    <row r="40" spans="1:12" s="481" customFormat="1" ht="13.5" customHeight="1" x14ac:dyDescent="0.2">
      <c r="A40" s="1462" t="s">
        <v>641</v>
      </c>
      <c r="B40" s="479">
        <v>7700</v>
      </c>
      <c r="C40" s="473"/>
      <c r="D40" s="473"/>
      <c r="E40" s="1716">
        <f>SUM(C66:D69)</f>
        <v>18100</v>
      </c>
      <c r="F40" s="473"/>
      <c r="G40" s="473"/>
      <c r="H40" s="476"/>
      <c r="I40" s="473"/>
      <c r="J40" s="473"/>
      <c r="K40" s="473"/>
      <c r="L40" s="517"/>
    </row>
    <row r="41" spans="1:12" s="481" customFormat="1" ht="13.5" customHeight="1" x14ac:dyDescent="0.2">
      <c r="A41" s="1462" t="s">
        <v>639</v>
      </c>
      <c r="B41" s="479">
        <v>7800</v>
      </c>
      <c r="C41" s="476"/>
      <c r="D41" s="476"/>
      <c r="E41" s="519"/>
      <c r="F41" s="476"/>
      <c r="G41" s="476"/>
      <c r="H41" s="1716">
        <f>SUM(C70:D73)</f>
        <v>0</v>
      </c>
      <c r="I41" s="473"/>
      <c r="J41" s="473"/>
      <c r="K41" s="476"/>
      <c r="L41" s="517"/>
    </row>
    <row r="42" spans="1:12" s="481" customFormat="1" ht="13.5" customHeight="1" x14ac:dyDescent="0.2">
      <c r="A42" s="1462" t="s">
        <v>640</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372</v>
      </c>
      <c r="B43" s="479">
        <v>7990</v>
      </c>
      <c r="C43" s="1922">
        <v>0</v>
      </c>
      <c r="D43" s="1922">
        <v>0</v>
      </c>
      <c r="E43" s="1922">
        <v>0</v>
      </c>
      <c r="F43" s="1922">
        <v>1548813</v>
      </c>
      <c r="G43" s="1922">
        <v>0</v>
      </c>
      <c r="H43" s="1922">
        <v>0</v>
      </c>
      <c r="I43" s="1922">
        <v>0</v>
      </c>
      <c r="J43" s="1922">
        <v>0</v>
      </c>
      <c r="K43" s="1922">
        <v>0</v>
      </c>
      <c r="L43" s="517"/>
    </row>
    <row r="44" spans="1:12" s="481" customFormat="1" ht="13.5" customHeight="1" thickBot="1" x14ac:dyDescent="0.25">
      <c r="A44" s="2215" t="s">
        <v>373</v>
      </c>
      <c r="B44" s="2216"/>
      <c r="C44" s="1676">
        <f>SUM(C24:C43)</f>
        <v>0</v>
      </c>
      <c r="D44" s="1676">
        <f t="shared" ref="D44:K44" si="6">SUM(D24:D43)</f>
        <v>0</v>
      </c>
      <c r="E44" s="1676">
        <f t="shared" si="6"/>
        <v>344991</v>
      </c>
      <c r="F44" s="1676">
        <f t="shared" si="6"/>
        <v>1548813</v>
      </c>
      <c r="G44" s="1676">
        <f t="shared" si="6"/>
        <v>0</v>
      </c>
      <c r="H44" s="1676">
        <f t="shared" si="6"/>
        <v>0</v>
      </c>
      <c r="I44" s="1676">
        <f t="shared" si="6"/>
        <v>0</v>
      </c>
      <c r="J44" s="1676">
        <f t="shared" si="6"/>
        <v>0</v>
      </c>
      <c r="K44" s="1676">
        <f t="shared" si="6"/>
        <v>0</v>
      </c>
      <c r="L44" s="517"/>
    </row>
    <row r="45" spans="1:12" ht="15.75" customHeight="1" thickTop="1" x14ac:dyDescent="0.2">
      <c r="A45" s="2209" t="s">
        <v>108</v>
      </c>
      <c r="B45" s="2210"/>
      <c r="C45" s="521"/>
      <c r="D45" s="521"/>
      <c r="E45" s="521"/>
      <c r="F45" s="521"/>
      <c r="G45" s="521"/>
      <c r="H45" s="521"/>
      <c r="I45" s="521"/>
      <c r="J45" s="521"/>
      <c r="K45" s="521"/>
      <c r="L45" s="347"/>
    </row>
    <row r="46" spans="1:12" s="481" customFormat="1" ht="15.75" customHeight="1" x14ac:dyDescent="0.2">
      <c r="A46" s="2217" t="s">
        <v>109</v>
      </c>
      <c r="B46" s="2218"/>
      <c r="C46" s="473"/>
      <c r="D46" s="473"/>
      <c r="E46" s="473"/>
      <c r="F46" s="473"/>
      <c r="G46" s="473"/>
      <c r="H46" s="473"/>
      <c r="I46" s="476"/>
      <c r="J46" s="473"/>
      <c r="K46" s="473"/>
      <c r="L46" s="522"/>
    </row>
    <row r="47" spans="1:12" s="481" customFormat="1" ht="15" x14ac:dyDescent="0.2">
      <c r="A47" s="1463" t="s">
        <v>1658</v>
      </c>
      <c r="B47" s="479">
        <v>8110</v>
      </c>
      <c r="C47" s="473"/>
      <c r="D47" s="473"/>
      <c r="E47" s="473"/>
      <c r="F47" s="473"/>
      <c r="G47" s="473"/>
      <c r="H47" s="473"/>
      <c r="I47" s="1716">
        <f>SUM(C24,C25:H25,J25:K25)</f>
        <v>0</v>
      </c>
      <c r="J47" s="473"/>
      <c r="K47" s="473"/>
      <c r="L47" s="522"/>
    </row>
    <row r="48" spans="1:12" s="481" customFormat="1" ht="15" x14ac:dyDescent="0.2">
      <c r="A48" s="1463" t="s">
        <v>1659</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0</v>
      </c>
      <c r="G49" s="476"/>
      <c r="H49" s="476"/>
      <c r="I49" s="473"/>
      <c r="J49" s="476"/>
      <c r="K49" s="473"/>
      <c r="L49" s="517"/>
    </row>
    <row r="50" spans="1:12" s="481" customFormat="1" x14ac:dyDescent="0.2">
      <c r="A50" s="1463" t="s">
        <v>1397</v>
      </c>
      <c r="B50" s="479">
        <v>8140</v>
      </c>
      <c r="C50" s="1922">
        <v>0</v>
      </c>
      <c r="D50" s="1922">
        <v>0</v>
      </c>
      <c r="E50" s="1922">
        <v>0</v>
      </c>
      <c r="F50" s="1922">
        <v>0</v>
      </c>
      <c r="G50" s="1922">
        <v>0</v>
      </c>
      <c r="H50" s="1922">
        <v>0</v>
      </c>
      <c r="I50" s="473"/>
      <c r="J50" s="1922">
        <v>0</v>
      </c>
      <c r="K50" s="473"/>
      <c r="L50" s="517"/>
    </row>
    <row r="51" spans="1:12" s="481" customFormat="1" x14ac:dyDescent="0.2">
      <c r="A51" s="1463" t="s">
        <v>293</v>
      </c>
      <c r="B51" s="479">
        <v>8150</v>
      </c>
      <c r="C51" s="472"/>
      <c r="D51" s="472"/>
      <c r="E51" s="472"/>
      <c r="F51" s="472"/>
      <c r="G51" s="472"/>
      <c r="H51" s="1716">
        <f>SUM(D29)</f>
        <v>0</v>
      </c>
      <c r="I51" s="473"/>
      <c r="J51" s="472"/>
      <c r="K51" s="476"/>
      <c r="L51" s="517"/>
    </row>
    <row r="52" spans="1:12" s="481" customFormat="1" ht="26.25" x14ac:dyDescent="0.2">
      <c r="A52" s="1463" t="s">
        <v>1794</v>
      </c>
      <c r="B52" s="479">
        <v>8160</v>
      </c>
      <c r="C52" s="473"/>
      <c r="D52" s="473"/>
      <c r="E52" s="473"/>
      <c r="F52" s="473"/>
      <c r="G52" s="473"/>
      <c r="H52" s="473"/>
      <c r="I52" s="473"/>
      <c r="J52" s="473"/>
      <c r="K52" s="1716">
        <f>D30</f>
        <v>0</v>
      </c>
      <c r="L52" s="517"/>
    </row>
    <row r="53" spans="1:12" s="481" customFormat="1" ht="26.25" x14ac:dyDescent="0.2">
      <c r="A53" s="1463" t="s">
        <v>1793</v>
      </c>
      <c r="B53" s="479">
        <v>8170</v>
      </c>
      <c r="C53" s="476"/>
      <c r="D53" s="476"/>
      <c r="E53" s="473"/>
      <c r="F53" s="473"/>
      <c r="G53" s="473"/>
      <c r="H53" s="476"/>
      <c r="I53" s="473"/>
      <c r="J53" s="473"/>
      <c r="K53" s="1716">
        <f>E31</f>
        <v>0</v>
      </c>
      <c r="L53" s="517"/>
    </row>
    <row r="54" spans="1:12" s="481" customFormat="1" ht="13.5" thickBot="1" x14ac:dyDescent="0.25">
      <c r="A54" s="1463" t="s">
        <v>691</v>
      </c>
      <c r="B54" s="479">
        <v>8410</v>
      </c>
      <c r="C54" s="1924">
        <v>31470</v>
      </c>
      <c r="D54" s="1924">
        <v>0</v>
      </c>
      <c r="E54" s="473"/>
      <c r="F54" s="473"/>
      <c r="G54" s="473"/>
      <c r="H54" s="1928">
        <v>0</v>
      </c>
      <c r="I54" s="473"/>
      <c r="J54" s="473"/>
      <c r="K54" s="472"/>
      <c r="L54" s="517"/>
    </row>
    <row r="55" spans="1:12" s="481" customFormat="1" ht="14.25" thickTop="1" thickBot="1" x14ac:dyDescent="0.25">
      <c r="A55" s="1464" t="s">
        <v>692</v>
      </c>
      <c r="B55" s="479">
        <v>8420</v>
      </c>
      <c r="C55" s="1925">
        <v>0</v>
      </c>
      <c r="D55" s="1925">
        <v>0</v>
      </c>
      <c r="E55" s="473"/>
      <c r="F55" s="473"/>
      <c r="G55" s="473"/>
      <c r="H55" s="1928">
        <v>0</v>
      </c>
      <c r="I55" s="473"/>
      <c r="J55" s="473"/>
      <c r="K55" s="473"/>
      <c r="L55" s="517"/>
    </row>
    <row r="56" spans="1:12" s="481" customFormat="1" ht="14.25" thickTop="1" thickBot="1" x14ac:dyDescent="0.25">
      <c r="A56" s="1463" t="s">
        <v>580</v>
      </c>
      <c r="B56" s="479">
        <v>8430</v>
      </c>
      <c r="C56" s="1925">
        <v>0</v>
      </c>
      <c r="D56" s="1925">
        <v>0</v>
      </c>
      <c r="E56" s="473"/>
      <c r="F56" s="473"/>
      <c r="G56" s="473"/>
      <c r="H56" s="1928">
        <v>0</v>
      </c>
      <c r="I56" s="473"/>
      <c r="J56" s="473"/>
      <c r="K56" s="473"/>
      <c r="L56" s="517"/>
    </row>
    <row r="57" spans="1:12" s="481" customFormat="1" ht="14.25" thickTop="1" thickBot="1" x14ac:dyDescent="0.25">
      <c r="A57" s="1464" t="s">
        <v>577</v>
      </c>
      <c r="B57" s="479">
        <v>8440</v>
      </c>
      <c r="C57" s="1925">
        <v>0</v>
      </c>
      <c r="D57" s="1925">
        <v>0</v>
      </c>
      <c r="E57" s="473"/>
      <c r="F57" s="473"/>
      <c r="G57" s="473"/>
      <c r="H57" s="1928">
        <v>0</v>
      </c>
      <c r="I57" s="473"/>
      <c r="J57" s="473"/>
      <c r="K57" s="473"/>
      <c r="L57" s="517"/>
    </row>
    <row r="58" spans="1:12" s="481" customFormat="1" ht="14.25" thickTop="1" thickBot="1" x14ac:dyDescent="0.25">
      <c r="A58" s="1463" t="s">
        <v>578</v>
      </c>
      <c r="B58" s="479">
        <v>8510</v>
      </c>
      <c r="C58" s="1925">
        <v>5421</v>
      </c>
      <c r="D58" s="1925">
        <v>0</v>
      </c>
      <c r="E58" s="473"/>
      <c r="F58" s="473"/>
      <c r="G58" s="473"/>
      <c r="H58" s="1928">
        <v>0</v>
      </c>
      <c r="I58" s="473"/>
      <c r="J58" s="473"/>
      <c r="K58" s="473"/>
      <c r="L58" s="517"/>
    </row>
    <row r="59" spans="1:12" s="481" customFormat="1" ht="14.25" thickTop="1" thickBot="1" x14ac:dyDescent="0.25">
      <c r="A59" s="1465" t="s">
        <v>693</v>
      </c>
      <c r="B59" s="479">
        <v>8520</v>
      </c>
      <c r="C59" s="1925">
        <v>0</v>
      </c>
      <c r="D59" s="1925">
        <v>0</v>
      </c>
      <c r="E59" s="473"/>
      <c r="F59" s="473"/>
      <c r="G59" s="473"/>
      <c r="H59" s="1928">
        <v>0</v>
      </c>
      <c r="I59" s="473"/>
      <c r="J59" s="473"/>
      <c r="K59" s="473"/>
      <c r="L59" s="517"/>
    </row>
    <row r="60" spans="1:12" s="481" customFormat="1" ht="14.25" thickTop="1" thickBot="1" x14ac:dyDescent="0.25">
      <c r="A60" s="1463" t="s">
        <v>579</v>
      </c>
      <c r="B60" s="479">
        <v>8530</v>
      </c>
      <c r="C60" s="1925">
        <v>0</v>
      </c>
      <c r="D60" s="1925">
        <v>0</v>
      </c>
      <c r="E60" s="473"/>
      <c r="F60" s="473"/>
      <c r="G60" s="473"/>
      <c r="H60" s="1928">
        <v>0</v>
      </c>
      <c r="I60" s="473"/>
      <c r="J60" s="473"/>
      <c r="K60" s="473"/>
      <c r="L60" s="517"/>
    </row>
    <row r="61" spans="1:12" s="481" customFormat="1" ht="14.25" thickTop="1" thickBot="1" x14ac:dyDescent="0.25">
      <c r="A61" s="1464" t="s">
        <v>742</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743</v>
      </c>
      <c r="B62" s="479">
        <v>8610</v>
      </c>
      <c r="C62" s="1925">
        <v>0</v>
      </c>
      <c r="D62" s="1925">
        <v>0</v>
      </c>
      <c r="E62" s="473"/>
      <c r="F62" s="473"/>
      <c r="G62" s="473"/>
      <c r="H62" s="473"/>
      <c r="I62" s="473"/>
      <c r="J62" s="473"/>
      <c r="K62" s="473"/>
      <c r="L62" s="517"/>
    </row>
    <row r="63" spans="1:12" s="481" customFormat="1" ht="14.25" thickTop="1" thickBot="1" x14ac:dyDescent="0.25">
      <c r="A63" s="1464" t="s">
        <v>694</v>
      </c>
      <c r="B63" s="479">
        <v>8620</v>
      </c>
      <c r="C63" s="1925">
        <v>0</v>
      </c>
      <c r="D63" s="1925">
        <v>0</v>
      </c>
      <c r="E63" s="473"/>
      <c r="F63" s="473"/>
      <c r="G63" s="473"/>
      <c r="H63" s="473"/>
      <c r="I63" s="473"/>
      <c r="J63" s="473"/>
      <c r="K63" s="473"/>
      <c r="L63" s="517"/>
    </row>
    <row r="64" spans="1:12" s="481" customFormat="1" ht="13.5" customHeight="1" thickTop="1" thickBot="1" x14ac:dyDescent="0.25">
      <c r="A64" s="1463" t="s">
        <v>744</v>
      </c>
      <c r="B64" s="479">
        <v>8630</v>
      </c>
      <c r="C64" s="1925">
        <v>0</v>
      </c>
      <c r="D64" s="1925">
        <v>290000</v>
      </c>
      <c r="E64" s="473"/>
      <c r="F64" s="473"/>
      <c r="G64" s="473"/>
      <c r="H64" s="473"/>
      <c r="I64" s="473"/>
      <c r="J64" s="473"/>
      <c r="K64" s="473"/>
      <c r="L64" s="517"/>
    </row>
    <row r="65" spans="1:12" s="481" customFormat="1" ht="14.25" thickTop="1" thickBot="1" x14ac:dyDescent="0.25">
      <c r="A65" s="1464" t="s">
        <v>745</v>
      </c>
      <c r="B65" s="479">
        <v>8640</v>
      </c>
      <c r="C65" s="1925">
        <v>0</v>
      </c>
      <c r="D65" s="1925">
        <v>0</v>
      </c>
      <c r="E65" s="473"/>
      <c r="F65" s="473"/>
      <c r="G65" s="473"/>
      <c r="H65" s="473"/>
      <c r="I65" s="473"/>
      <c r="J65" s="473"/>
      <c r="K65" s="473"/>
      <c r="L65" s="517"/>
    </row>
    <row r="66" spans="1:12" s="481" customFormat="1" ht="14.25" thickTop="1" thickBot="1" x14ac:dyDescent="0.25">
      <c r="A66" s="1463" t="s">
        <v>746</v>
      </c>
      <c r="B66" s="479">
        <v>8710</v>
      </c>
      <c r="C66" s="1925">
        <v>0</v>
      </c>
      <c r="D66" s="1925">
        <v>0</v>
      </c>
      <c r="E66" s="473"/>
      <c r="F66" s="473"/>
      <c r="G66" s="473"/>
      <c r="H66" s="473"/>
      <c r="I66" s="473"/>
      <c r="J66" s="473"/>
      <c r="K66" s="473"/>
      <c r="L66" s="517"/>
    </row>
    <row r="67" spans="1:12" s="481" customFormat="1" ht="14.25" thickTop="1" thickBot="1" x14ac:dyDescent="0.25">
      <c r="A67" s="1464" t="s">
        <v>695</v>
      </c>
      <c r="B67" s="479">
        <v>8720</v>
      </c>
      <c r="C67" s="1925">
        <v>0</v>
      </c>
      <c r="D67" s="1925">
        <v>0</v>
      </c>
      <c r="E67" s="473"/>
      <c r="F67" s="473"/>
      <c r="G67" s="473"/>
      <c r="H67" s="473"/>
      <c r="I67" s="473"/>
      <c r="J67" s="473"/>
      <c r="K67" s="473"/>
      <c r="L67" s="517"/>
    </row>
    <row r="68" spans="1:12" s="481" customFormat="1" ht="14.25" thickTop="1" thickBot="1" x14ac:dyDescent="0.25">
      <c r="A68" s="1465" t="s">
        <v>747</v>
      </c>
      <c r="B68" s="479">
        <v>8730</v>
      </c>
      <c r="C68" s="1925">
        <v>0</v>
      </c>
      <c r="D68" s="1925">
        <v>18100</v>
      </c>
      <c r="E68" s="473"/>
      <c r="F68" s="473"/>
      <c r="G68" s="473"/>
      <c r="H68" s="473"/>
      <c r="I68" s="473"/>
      <c r="J68" s="473"/>
      <c r="K68" s="473"/>
      <c r="L68" s="517"/>
    </row>
    <row r="69" spans="1:12" s="481" customFormat="1" ht="14.25" thickTop="1" thickBot="1" x14ac:dyDescent="0.25">
      <c r="A69" s="1464" t="s">
        <v>748</v>
      </c>
      <c r="B69" s="479">
        <v>8740</v>
      </c>
      <c r="C69" s="1925">
        <v>0</v>
      </c>
      <c r="D69" s="1925">
        <v>0</v>
      </c>
      <c r="E69" s="473"/>
      <c r="F69" s="473"/>
      <c r="G69" s="473"/>
      <c r="H69" s="473"/>
      <c r="I69" s="473"/>
      <c r="J69" s="473"/>
      <c r="K69" s="473"/>
      <c r="L69" s="517"/>
    </row>
    <row r="70" spans="1:12" s="481" customFormat="1" ht="14.25" thickTop="1" thickBot="1" x14ac:dyDescent="0.25">
      <c r="A70" s="1463" t="s">
        <v>749</v>
      </c>
      <c r="B70" s="479">
        <v>8810</v>
      </c>
      <c r="C70" s="1925">
        <v>0</v>
      </c>
      <c r="D70" s="1925">
        <v>0</v>
      </c>
      <c r="E70" s="473"/>
      <c r="F70" s="473"/>
      <c r="G70" s="473"/>
      <c r="H70" s="473"/>
      <c r="I70" s="473"/>
      <c r="J70" s="473"/>
      <c r="K70" s="473"/>
      <c r="L70" s="517"/>
    </row>
    <row r="71" spans="1:12" s="481" customFormat="1" ht="14.25" thickTop="1" thickBot="1" x14ac:dyDescent="0.25">
      <c r="A71" s="1463" t="s">
        <v>753</v>
      </c>
      <c r="B71" s="479">
        <v>8820</v>
      </c>
      <c r="C71" s="1925">
        <v>0</v>
      </c>
      <c r="D71" s="1925">
        <v>0</v>
      </c>
      <c r="E71" s="473"/>
      <c r="F71" s="473"/>
      <c r="G71" s="473"/>
      <c r="H71" s="473"/>
      <c r="I71" s="473"/>
      <c r="J71" s="473"/>
      <c r="K71" s="473"/>
      <c r="L71" s="517"/>
    </row>
    <row r="72" spans="1:12" s="481" customFormat="1" ht="14.25" thickTop="1" thickBot="1" x14ac:dyDescent="0.25">
      <c r="A72" s="1463" t="s">
        <v>750</v>
      </c>
      <c r="B72" s="479">
        <v>8830</v>
      </c>
      <c r="C72" s="1925">
        <v>0</v>
      </c>
      <c r="D72" s="1925">
        <v>0</v>
      </c>
      <c r="E72" s="473"/>
      <c r="F72" s="473"/>
      <c r="G72" s="473"/>
      <c r="H72" s="473"/>
      <c r="I72" s="473"/>
      <c r="J72" s="473"/>
      <c r="K72" s="473"/>
      <c r="L72" s="517"/>
    </row>
    <row r="73" spans="1:12" s="481" customFormat="1" ht="14.25" thickTop="1" thickBot="1" x14ac:dyDescent="0.25">
      <c r="A73" s="1463" t="s">
        <v>751</v>
      </c>
      <c r="B73" s="479">
        <v>8840</v>
      </c>
      <c r="C73" s="1925">
        <v>0</v>
      </c>
      <c r="D73" s="1925">
        <v>0</v>
      </c>
      <c r="E73" s="473"/>
      <c r="F73" s="473"/>
      <c r="G73" s="473"/>
      <c r="H73" s="473"/>
      <c r="I73" s="473"/>
      <c r="J73" s="473"/>
      <c r="K73" s="476"/>
      <c r="L73" s="517"/>
    </row>
    <row r="74" spans="1:12" s="481" customFormat="1" ht="14.25" thickTop="1" thickBot="1" x14ac:dyDescent="0.25">
      <c r="A74" s="1463" t="s">
        <v>374</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438</v>
      </c>
      <c r="B75" s="479">
        <v>8990</v>
      </c>
      <c r="C75" s="1925">
        <v>0</v>
      </c>
      <c r="D75" s="1925">
        <v>0</v>
      </c>
      <c r="E75" s="1928">
        <v>0</v>
      </c>
      <c r="F75" s="1929">
        <v>0</v>
      </c>
      <c r="G75" s="1929">
        <v>0</v>
      </c>
      <c r="H75" s="1929">
        <v>0</v>
      </c>
      <c r="I75" s="1928">
        <v>0</v>
      </c>
      <c r="J75" s="1928">
        <v>0</v>
      </c>
      <c r="K75" s="1929">
        <v>0</v>
      </c>
      <c r="L75" s="517"/>
    </row>
    <row r="76" spans="1:12" s="481" customFormat="1" ht="14.25" thickTop="1" thickBot="1" x14ac:dyDescent="0.25">
      <c r="A76" s="2191" t="s">
        <v>439</v>
      </c>
      <c r="B76" s="2192"/>
      <c r="C76" s="1676">
        <f t="shared" ref="C76:K76" si="7">SUM(C47:C75)</f>
        <v>36891</v>
      </c>
      <c r="D76" s="1676">
        <f t="shared" si="7"/>
        <v>308100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93" t="s">
        <v>1176</v>
      </c>
      <c r="B77" s="2194"/>
      <c r="C77" s="1676">
        <f t="shared" ref="C77:K77" si="8">C44-C76</f>
        <v>-36891</v>
      </c>
      <c r="D77" s="1676">
        <f t="shared" si="8"/>
        <v>-308100</v>
      </c>
      <c r="E77" s="1676">
        <f t="shared" si="8"/>
        <v>344991</v>
      </c>
      <c r="F77" s="1676">
        <f t="shared" si="8"/>
        <v>1548813</v>
      </c>
      <c r="G77" s="1676">
        <f t="shared" si="8"/>
        <v>0</v>
      </c>
      <c r="H77" s="1676">
        <f t="shared" si="8"/>
        <v>0</v>
      </c>
      <c r="I77" s="1676">
        <f t="shared" si="8"/>
        <v>0</v>
      </c>
      <c r="J77" s="1676">
        <f t="shared" si="8"/>
        <v>0</v>
      </c>
      <c r="K77" s="1676">
        <f t="shared" si="8"/>
        <v>0</v>
      </c>
      <c r="L77" s="347"/>
    </row>
    <row r="78" spans="1:12" ht="21.75" customHeight="1" thickTop="1" thickBot="1" x14ac:dyDescent="0.25">
      <c r="A78" s="2197" t="s">
        <v>596</v>
      </c>
      <c r="B78" s="2198"/>
      <c r="C78" s="1675">
        <f t="shared" ref="C78:K78" si="9">C20+C77</f>
        <v>1286930</v>
      </c>
      <c r="D78" s="1675">
        <f t="shared" si="9"/>
        <v>153445</v>
      </c>
      <c r="E78" s="1675">
        <f t="shared" si="9"/>
        <v>35415</v>
      </c>
      <c r="F78" s="1675">
        <f t="shared" si="9"/>
        <v>65725</v>
      </c>
      <c r="G78" s="1675">
        <f t="shared" si="9"/>
        <v>36368</v>
      </c>
      <c r="H78" s="1675">
        <f t="shared" si="9"/>
        <v>-115884</v>
      </c>
      <c r="I78" s="1675">
        <f t="shared" si="9"/>
        <v>0</v>
      </c>
      <c r="J78" s="1675">
        <f t="shared" si="9"/>
        <v>0</v>
      </c>
      <c r="K78" s="1675">
        <f t="shared" si="9"/>
        <v>0</v>
      </c>
      <c r="L78" s="524"/>
    </row>
    <row r="79" spans="1:12" ht="13.5" thickTop="1" x14ac:dyDescent="0.2">
      <c r="A79" s="1467" t="s">
        <v>1946</v>
      </c>
      <c r="B79" s="525"/>
      <c r="C79" s="474">
        <v>-2108160</v>
      </c>
      <c r="D79" s="1930">
        <v>-311381</v>
      </c>
      <c r="E79" s="1930">
        <v>1434863</v>
      </c>
      <c r="F79" s="1930">
        <v>482701</v>
      </c>
      <c r="G79" s="1930">
        <v>84917</v>
      </c>
      <c r="H79" s="1930">
        <v>116292</v>
      </c>
      <c r="I79" s="1930">
        <v>4133805</v>
      </c>
      <c r="J79" s="1930">
        <v>0</v>
      </c>
      <c r="K79" s="1930">
        <v>0</v>
      </c>
      <c r="L79" s="347"/>
    </row>
    <row r="80" spans="1:12" x14ac:dyDescent="0.2">
      <c r="A80" s="2203" t="s">
        <v>1792</v>
      </c>
      <c r="B80" s="2204"/>
      <c r="C80" s="466"/>
      <c r="D80" s="466"/>
      <c r="E80" s="466"/>
      <c r="F80" s="466"/>
      <c r="G80" s="466"/>
      <c r="H80" s="466"/>
      <c r="I80" s="466"/>
      <c r="J80" s="466"/>
      <c r="K80" s="466"/>
      <c r="L80" s="347"/>
    </row>
    <row r="81" spans="1:12" ht="13.5" thickBot="1" x14ac:dyDescent="0.25">
      <c r="A81" s="2195" t="s">
        <v>1947</v>
      </c>
      <c r="B81" s="2196"/>
      <c r="C81" s="1661">
        <f>(SUM(C78:C80))</f>
        <v>-821230</v>
      </c>
      <c r="D81" s="1661">
        <f>SUM(D78:D80)</f>
        <v>-157936</v>
      </c>
      <c r="E81" s="1661">
        <f t="shared" ref="E81:K81" si="10">SUM(E78:E80)</f>
        <v>1470278</v>
      </c>
      <c r="F81" s="1661">
        <f t="shared" si="10"/>
        <v>548426</v>
      </c>
      <c r="G81" s="1661">
        <f t="shared" si="10"/>
        <v>121285</v>
      </c>
      <c r="H81" s="1661">
        <f t="shared" si="10"/>
        <v>408</v>
      </c>
      <c r="I81" s="1661">
        <f t="shared" si="10"/>
        <v>4133805</v>
      </c>
      <c r="J81" s="1661">
        <f t="shared" si="10"/>
        <v>0</v>
      </c>
      <c r="K81" s="1661">
        <f t="shared" si="10"/>
        <v>0</v>
      </c>
      <c r="L81" s="347"/>
    </row>
    <row r="82" spans="1:12" ht="0.75" customHeight="1" thickTop="1" thickBot="1" x14ac:dyDescent="0.25">
      <c r="A82" s="526" t="s">
        <v>342</v>
      </c>
      <c r="B82" s="527"/>
      <c r="C82" s="528">
        <f>(C81-C79)</f>
        <v>1286930</v>
      </c>
      <c r="D82" s="528">
        <f t="shared" ref="D82:K82" si="11">(D81-D79)</f>
        <v>153445</v>
      </c>
      <c r="E82" s="528">
        <f t="shared" si="11"/>
        <v>35415</v>
      </c>
      <c r="F82" s="528">
        <f t="shared" si="11"/>
        <v>65725</v>
      </c>
      <c r="G82" s="528">
        <f t="shared" si="11"/>
        <v>36368</v>
      </c>
      <c r="H82" s="528">
        <f t="shared" si="11"/>
        <v>-115884</v>
      </c>
      <c r="I82" s="528">
        <f t="shared" si="11"/>
        <v>0</v>
      </c>
      <c r="J82" s="528">
        <f t="shared" si="11"/>
        <v>0</v>
      </c>
      <c r="K82" s="528">
        <f t="shared" si="11"/>
        <v>0</v>
      </c>
    </row>
    <row r="83" spans="1:12" ht="14.25" hidden="1" thickTop="1" thickBot="1" x14ac:dyDescent="0.25">
      <c r="A83" s="529" t="s">
        <v>343</v>
      </c>
      <c r="B83" s="464"/>
      <c r="C83" s="530">
        <f>C82/C81</f>
        <v>-1.5670762149458739</v>
      </c>
      <c r="D83" s="530">
        <f t="shared" ref="D83:K83" si="12">D82/D81</f>
        <v>-0.97156443116198965</v>
      </c>
      <c r="E83" s="530">
        <f t="shared" si="12"/>
        <v>2.4087281452895303E-2</v>
      </c>
      <c r="F83" s="530">
        <f t="shared" si="12"/>
        <v>0.11984296878703782</v>
      </c>
      <c r="G83" s="530">
        <f t="shared" si="12"/>
        <v>0.29985571175330833</v>
      </c>
      <c r="H83" s="530">
        <f t="shared" si="12"/>
        <v>-284.02941176470586</v>
      </c>
      <c r="I83" s="530">
        <f t="shared" si="12"/>
        <v>0</v>
      </c>
      <c r="J83" s="530" t="e">
        <f t="shared" si="12"/>
        <v>#DIV/0!</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95" activePane="bottomLeft" state="frozen"/>
      <selection activeCell="AF22" sqref="AF22"/>
      <selection pane="bottomLeft" activeCell="C206" sqref="C206"/>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9" t="s">
        <v>1799</v>
      </c>
      <c r="B1" s="452"/>
      <c r="C1" s="453" t="s">
        <v>424</v>
      </c>
      <c r="D1" s="453" t="s">
        <v>425</v>
      </c>
      <c r="E1" s="453" t="s">
        <v>426</v>
      </c>
      <c r="F1" s="453" t="s">
        <v>427</v>
      </c>
      <c r="G1" s="453" t="s">
        <v>428</v>
      </c>
      <c r="H1" s="453" t="s">
        <v>429</v>
      </c>
      <c r="I1" s="453" t="s">
        <v>430</v>
      </c>
      <c r="J1" s="453" t="s">
        <v>431</v>
      </c>
      <c r="K1" s="453" t="s">
        <v>755</v>
      </c>
    </row>
    <row r="2" spans="1:12" ht="36" x14ac:dyDescent="0.2">
      <c r="A2" s="2200"/>
      <c r="B2" s="531" t="s">
        <v>377</v>
      </c>
      <c r="C2" s="532" t="s">
        <v>1154</v>
      </c>
      <c r="D2" s="532" t="s">
        <v>869</v>
      </c>
      <c r="E2" s="532" t="s">
        <v>437</v>
      </c>
      <c r="F2" s="532" t="s">
        <v>155</v>
      </c>
      <c r="G2" s="532" t="s">
        <v>988</v>
      </c>
      <c r="H2" s="532" t="s">
        <v>436</v>
      </c>
      <c r="I2" s="532" t="s">
        <v>406</v>
      </c>
      <c r="J2" s="532" t="s">
        <v>435</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378</v>
      </c>
      <c r="B4" s="1564">
        <v>1100</v>
      </c>
      <c r="C4" s="533"/>
      <c r="D4" s="533"/>
      <c r="E4" s="533"/>
      <c r="F4" s="534"/>
      <c r="G4" s="535"/>
      <c r="H4" s="536"/>
      <c r="I4" s="536"/>
      <c r="J4" s="536"/>
      <c r="K4" s="536"/>
    </row>
    <row r="5" spans="1:12" ht="15" x14ac:dyDescent="0.2">
      <c r="A5" s="486" t="s">
        <v>1660</v>
      </c>
      <c r="B5" s="537"/>
      <c r="C5" s="477">
        <v>14931751</v>
      </c>
      <c r="D5" s="477">
        <v>2363460</v>
      </c>
      <c r="E5" s="1926">
        <v>3001211</v>
      </c>
      <c r="F5" s="1934">
        <v>714631</v>
      </c>
      <c r="G5" s="1932">
        <v>371196</v>
      </c>
      <c r="H5" s="1932">
        <v>0</v>
      </c>
      <c r="I5" s="1932">
        <v>0</v>
      </c>
      <c r="J5" s="1936">
        <v>0</v>
      </c>
      <c r="K5" s="1935">
        <v>0</v>
      </c>
    </row>
    <row r="6" spans="1:12" ht="15" x14ac:dyDescent="0.2">
      <c r="A6" s="463" t="s">
        <v>1661</v>
      </c>
      <c r="B6" s="469">
        <v>1130</v>
      </c>
      <c r="C6" s="1926">
        <v>0</v>
      </c>
      <c r="D6" s="1926">
        <v>0</v>
      </c>
      <c r="E6" s="472"/>
      <c r="F6" s="472"/>
      <c r="G6" s="467"/>
      <c r="H6" s="467"/>
      <c r="I6" s="467"/>
      <c r="J6" s="467"/>
      <c r="K6" s="467"/>
    </row>
    <row r="7" spans="1:12" x14ac:dyDescent="0.2">
      <c r="A7" s="463" t="s">
        <v>110</v>
      </c>
      <c r="B7" s="538">
        <v>1140</v>
      </c>
      <c r="C7" s="1926">
        <v>229588</v>
      </c>
      <c r="D7" s="1926">
        <v>0</v>
      </c>
      <c r="E7" s="467"/>
      <c r="F7" s="1933">
        <v>0</v>
      </c>
      <c r="G7" s="1933">
        <v>0</v>
      </c>
      <c r="H7" s="1933">
        <v>0</v>
      </c>
      <c r="I7" s="467"/>
      <c r="J7" s="467"/>
      <c r="K7" s="467"/>
    </row>
    <row r="8" spans="1:12" x14ac:dyDescent="0.2">
      <c r="A8" s="463" t="s">
        <v>412</v>
      </c>
      <c r="B8" s="469">
        <v>1150</v>
      </c>
      <c r="C8" s="472"/>
      <c r="D8" s="472"/>
      <c r="E8" s="473"/>
      <c r="F8" s="473"/>
      <c r="G8" s="477">
        <v>371197</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413</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15161339</v>
      </c>
      <c r="D12" s="1680">
        <f t="shared" si="0"/>
        <v>2363460</v>
      </c>
      <c r="E12" s="1680">
        <f t="shared" si="0"/>
        <v>3001211</v>
      </c>
      <c r="F12" s="1680">
        <f t="shared" si="0"/>
        <v>714631</v>
      </c>
      <c r="G12" s="1680">
        <f t="shared" si="0"/>
        <v>742393</v>
      </c>
      <c r="H12" s="1680">
        <f t="shared" si="0"/>
        <v>0</v>
      </c>
      <c r="I12" s="1680">
        <f t="shared" si="0"/>
        <v>0</v>
      </c>
      <c r="J12" s="1680">
        <f t="shared" si="0"/>
        <v>0</v>
      </c>
      <c r="K12" s="1661">
        <f t="shared" si="0"/>
        <v>0</v>
      </c>
    </row>
    <row r="13" spans="1:12" ht="15.75" customHeight="1" thickTop="1" x14ac:dyDescent="0.2">
      <c r="A13" s="1565" t="s">
        <v>450</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1662</v>
      </c>
      <c r="B16" s="538">
        <v>1230</v>
      </c>
      <c r="C16" s="1940">
        <v>146522</v>
      </c>
      <c r="D16" s="1935">
        <v>0</v>
      </c>
      <c r="E16" s="1935">
        <v>0</v>
      </c>
      <c r="F16" s="1935">
        <v>0</v>
      </c>
      <c r="G16" s="1935">
        <v>47761</v>
      </c>
      <c r="H16" s="1935">
        <v>0</v>
      </c>
      <c r="I16" s="1935">
        <v>0</v>
      </c>
      <c r="J16" s="1936">
        <v>0</v>
      </c>
      <c r="K16" s="1935">
        <v>0</v>
      </c>
    </row>
    <row r="17" spans="1:11" ht="12.75" customHeight="1" x14ac:dyDescent="0.2">
      <c r="A17" s="463" t="s">
        <v>806</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536</v>
      </c>
      <c r="B18" s="1682"/>
      <c r="C18" s="1683">
        <f>SUM(C14:C17)</f>
        <v>146522</v>
      </c>
      <c r="D18" s="1683">
        <f t="shared" ref="D18:K18" si="1">SUM(D14:D17)</f>
        <v>0</v>
      </c>
      <c r="E18" s="1683">
        <f t="shared" si="1"/>
        <v>0</v>
      </c>
      <c r="F18" s="1683">
        <f t="shared" si="1"/>
        <v>0</v>
      </c>
      <c r="G18" s="1683">
        <f t="shared" si="1"/>
        <v>47761</v>
      </c>
      <c r="H18" s="1683">
        <f t="shared" si="1"/>
        <v>0</v>
      </c>
      <c r="I18" s="1683">
        <f t="shared" si="1"/>
        <v>0</v>
      </c>
      <c r="J18" s="1683">
        <f t="shared" si="1"/>
        <v>0</v>
      </c>
      <c r="K18" s="1684">
        <f t="shared" si="1"/>
        <v>0</v>
      </c>
    </row>
    <row r="19" spans="1:11" ht="15.75" customHeight="1" thickTop="1" x14ac:dyDescent="0.2">
      <c r="A19" s="1565" t="s">
        <v>451</v>
      </c>
      <c r="B19" s="1566">
        <v>1300</v>
      </c>
      <c r="C19" s="542"/>
      <c r="D19" s="542"/>
      <c r="E19" s="542"/>
      <c r="F19" s="542"/>
      <c r="G19" s="541"/>
      <c r="H19" s="542"/>
      <c r="I19" s="542"/>
      <c r="J19" s="542"/>
      <c r="K19" s="543"/>
    </row>
    <row r="20" spans="1:11" x14ac:dyDescent="0.2">
      <c r="A20" s="463" t="s">
        <v>1072</v>
      </c>
      <c r="B20" s="469">
        <v>1311</v>
      </c>
      <c r="C20" s="1935">
        <v>0</v>
      </c>
      <c r="D20" s="467"/>
      <c r="E20" s="467"/>
      <c r="F20" s="467"/>
      <c r="G20" s="467"/>
      <c r="H20" s="467"/>
      <c r="I20" s="467"/>
      <c r="J20" s="467"/>
      <c r="K20" s="467"/>
    </row>
    <row r="21" spans="1:11" ht="12.75" customHeight="1" x14ac:dyDescent="0.2">
      <c r="A21" s="463" t="s">
        <v>831</v>
      </c>
      <c r="B21" s="469">
        <v>1312</v>
      </c>
      <c r="C21" s="1940">
        <v>0</v>
      </c>
      <c r="D21" s="467"/>
      <c r="E21" s="467"/>
      <c r="F21" s="467"/>
      <c r="G21" s="467"/>
      <c r="H21" s="467"/>
      <c r="I21" s="467"/>
      <c r="J21" s="467"/>
      <c r="K21" s="467"/>
    </row>
    <row r="22" spans="1:11" ht="12.75" customHeight="1" x14ac:dyDescent="0.2">
      <c r="A22" s="463" t="s">
        <v>1073</v>
      </c>
      <c r="B22" s="469">
        <v>1313</v>
      </c>
      <c r="C22" s="1940">
        <v>0</v>
      </c>
      <c r="D22" s="467"/>
      <c r="E22" s="467"/>
      <c r="F22" s="467"/>
      <c r="G22" s="467"/>
      <c r="H22" s="467"/>
      <c r="I22" s="467"/>
      <c r="J22" s="467"/>
      <c r="K22" s="467"/>
    </row>
    <row r="23" spans="1:11" ht="12.75" customHeight="1" x14ac:dyDescent="0.2">
      <c r="A23" s="463" t="s">
        <v>1074</v>
      </c>
      <c r="B23" s="469">
        <v>1314</v>
      </c>
      <c r="C23" s="1939">
        <v>0</v>
      </c>
      <c r="D23" s="467"/>
      <c r="E23" s="467"/>
      <c r="F23" s="467"/>
      <c r="G23" s="467"/>
      <c r="H23" s="467"/>
      <c r="I23" s="467"/>
      <c r="J23" s="467"/>
      <c r="K23" s="467"/>
    </row>
    <row r="24" spans="1:11" ht="12.75" customHeight="1" x14ac:dyDescent="0.2">
      <c r="A24" s="463" t="s">
        <v>1026</v>
      </c>
      <c r="B24" s="469">
        <v>1321</v>
      </c>
      <c r="C24" s="1940">
        <v>0</v>
      </c>
      <c r="D24" s="467"/>
      <c r="E24" s="467"/>
      <c r="F24" s="467"/>
      <c r="G24" s="467"/>
      <c r="H24" s="467"/>
      <c r="I24" s="467"/>
      <c r="J24" s="467"/>
      <c r="K24" s="467"/>
    </row>
    <row r="25" spans="1:11" ht="12.75" customHeight="1" x14ac:dyDescent="0.2">
      <c r="A25" s="463" t="s">
        <v>832</v>
      </c>
      <c r="B25" s="469">
        <v>1322</v>
      </c>
      <c r="C25" s="1940">
        <v>0</v>
      </c>
      <c r="D25" s="467"/>
      <c r="E25" s="467"/>
      <c r="F25" s="467"/>
      <c r="G25" s="467"/>
      <c r="H25" s="467"/>
      <c r="I25" s="467"/>
      <c r="J25" s="467"/>
      <c r="K25" s="467"/>
    </row>
    <row r="26" spans="1:11" ht="12.75" customHeight="1" x14ac:dyDescent="0.2">
      <c r="A26" s="463" t="s">
        <v>1100</v>
      </c>
      <c r="B26" s="469">
        <v>1323</v>
      </c>
      <c r="C26" s="1940">
        <v>0</v>
      </c>
      <c r="D26" s="467"/>
      <c r="E26" s="467"/>
      <c r="F26" s="467"/>
      <c r="G26" s="467"/>
      <c r="H26" s="467"/>
      <c r="I26" s="467"/>
      <c r="J26" s="467"/>
      <c r="K26" s="467"/>
    </row>
    <row r="27" spans="1:11" ht="12.75" customHeight="1" x14ac:dyDescent="0.2">
      <c r="A27" s="463" t="s">
        <v>1022</v>
      </c>
      <c r="B27" s="469">
        <v>1324</v>
      </c>
      <c r="C27" s="1939">
        <v>0</v>
      </c>
      <c r="D27" s="467"/>
      <c r="E27" s="467"/>
      <c r="F27" s="467"/>
      <c r="G27" s="467"/>
      <c r="H27" s="467"/>
      <c r="I27" s="467"/>
      <c r="J27" s="467"/>
      <c r="K27" s="467"/>
    </row>
    <row r="28" spans="1:11" ht="12.75" customHeight="1" x14ac:dyDescent="0.2">
      <c r="A28" s="463" t="s">
        <v>1023</v>
      </c>
      <c r="B28" s="469">
        <v>1331</v>
      </c>
      <c r="C28" s="1940">
        <v>0</v>
      </c>
      <c r="D28" s="467"/>
      <c r="E28" s="467"/>
      <c r="F28" s="467"/>
      <c r="G28" s="467"/>
      <c r="H28" s="467"/>
      <c r="I28" s="467"/>
      <c r="J28" s="467"/>
      <c r="K28" s="467"/>
    </row>
    <row r="29" spans="1:11" ht="12.75" customHeight="1" x14ac:dyDescent="0.2">
      <c r="A29" s="463" t="s">
        <v>833</v>
      </c>
      <c r="B29" s="469">
        <v>1332</v>
      </c>
      <c r="C29" s="1940">
        <v>0</v>
      </c>
      <c r="D29" s="467"/>
      <c r="E29" s="467"/>
      <c r="F29" s="467"/>
      <c r="G29" s="467"/>
      <c r="H29" s="467"/>
      <c r="I29" s="467"/>
      <c r="J29" s="467"/>
      <c r="K29" s="467"/>
    </row>
    <row r="30" spans="1:11" ht="12.75" customHeight="1" x14ac:dyDescent="0.2">
      <c r="A30" s="463" t="s">
        <v>1025</v>
      </c>
      <c r="B30" s="469">
        <v>1333</v>
      </c>
      <c r="C30" s="1940">
        <v>0</v>
      </c>
      <c r="D30" s="467"/>
      <c r="E30" s="467"/>
      <c r="F30" s="467"/>
      <c r="G30" s="467"/>
      <c r="H30" s="467"/>
      <c r="I30" s="467"/>
      <c r="J30" s="467"/>
      <c r="K30" s="467"/>
    </row>
    <row r="31" spans="1:11" ht="12.75" customHeight="1" x14ac:dyDescent="0.2">
      <c r="A31" s="463" t="s">
        <v>1024</v>
      </c>
      <c r="B31" s="469">
        <v>1334</v>
      </c>
      <c r="C31" s="1939">
        <v>0</v>
      </c>
      <c r="D31" s="467"/>
      <c r="E31" s="467"/>
      <c r="F31" s="467"/>
      <c r="G31" s="467"/>
      <c r="H31" s="467"/>
      <c r="I31" s="467"/>
      <c r="J31" s="467"/>
      <c r="K31" s="467"/>
    </row>
    <row r="32" spans="1:11" ht="12.75" customHeight="1" x14ac:dyDescent="0.2">
      <c r="A32" s="463" t="s">
        <v>493</v>
      </c>
      <c r="B32" s="469">
        <v>1341</v>
      </c>
      <c r="C32" s="1940">
        <v>0</v>
      </c>
      <c r="D32" s="467"/>
      <c r="E32" s="467"/>
      <c r="F32" s="467"/>
      <c r="G32" s="467"/>
      <c r="H32" s="467"/>
      <c r="I32" s="467"/>
      <c r="J32" s="467"/>
      <c r="K32" s="467"/>
    </row>
    <row r="33" spans="1:11" ht="12.75" customHeight="1" x14ac:dyDescent="0.2">
      <c r="A33" s="463" t="s">
        <v>834</v>
      </c>
      <c r="B33" s="469">
        <v>1342</v>
      </c>
      <c r="C33" s="1940">
        <v>106867</v>
      </c>
      <c r="D33" s="467"/>
      <c r="E33" s="467"/>
      <c r="F33" s="467"/>
      <c r="G33" s="467"/>
      <c r="H33" s="467"/>
      <c r="I33" s="467"/>
      <c r="J33" s="467"/>
      <c r="K33" s="467"/>
    </row>
    <row r="34" spans="1:11" ht="12.75" customHeight="1" x14ac:dyDescent="0.2">
      <c r="A34" s="463" t="s">
        <v>494</v>
      </c>
      <c r="B34" s="469">
        <v>1343</v>
      </c>
      <c r="C34" s="1940">
        <v>0</v>
      </c>
      <c r="D34" s="467"/>
      <c r="E34" s="467"/>
      <c r="F34" s="467"/>
      <c r="G34" s="467"/>
      <c r="H34" s="467"/>
      <c r="I34" s="467"/>
      <c r="J34" s="467"/>
      <c r="K34" s="467"/>
    </row>
    <row r="35" spans="1:11" ht="12.75" customHeight="1" x14ac:dyDescent="0.2">
      <c r="A35" s="463" t="s">
        <v>492</v>
      </c>
      <c r="B35" s="469">
        <v>1344</v>
      </c>
      <c r="C35" s="1939">
        <v>0</v>
      </c>
      <c r="D35" s="467"/>
      <c r="E35" s="467"/>
      <c r="F35" s="467"/>
      <c r="G35" s="467"/>
      <c r="H35" s="467"/>
      <c r="I35" s="467"/>
      <c r="J35" s="467"/>
      <c r="K35" s="467"/>
    </row>
    <row r="36" spans="1:11" ht="12.75" customHeight="1" x14ac:dyDescent="0.2">
      <c r="A36" s="463" t="s">
        <v>830</v>
      </c>
      <c r="B36" s="469">
        <v>1351</v>
      </c>
      <c r="C36" s="1940">
        <v>0</v>
      </c>
      <c r="D36" s="467"/>
      <c r="E36" s="467"/>
      <c r="F36" s="467"/>
      <c r="G36" s="467"/>
      <c r="H36" s="467"/>
      <c r="I36" s="467"/>
      <c r="J36" s="467"/>
      <c r="K36" s="467"/>
    </row>
    <row r="37" spans="1:11" ht="12.75" customHeight="1" x14ac:dyDescent="0.2">
      <c r="A37" s="463" t="s">
        <v>835</v>
      </c>
      <c r="B37" s="469">
        <v>1352</v>
      </c>
      <c r="C37" s="1940">
        <v>0</v>
      </c>
      <c r="D37" s="467"/>
      <c r="E37" s="467"/>
      <c r="F37" s="467"/>
      <c r="G37" s="467"/>
      <c r="H37" s="467"/>
      <c r="I37" s="467"/>
      <c r="J37" s="467"/>
      <c r="K37" s="467"/>
    </row>
    <row r="38" spans="1:11" ht="12.75" customHeight="1" x14ac:dyDescent="0.2">
      <c r="A38" s="463" t="s">
        <v>592</v>
      </c>
      <c r="B38" s="469">
        <v>1353</v>
      </c>
      <c r="C38" s="1940">
        <v>0</v>
      </c>
      <c r="D38" s="467"/>
      <c r="E38" s="467"/>
      <c r="F38" s="467"/>
      <c r="G38" s="467"/>
      <c r="H38" s="467"/>
      <c r="I38" s="467"/>
      <c r="J38" s="467"/>
      <c r="K38" s="467"/>
    </row>
    <row r="39" spans="1:11" ht="12.75" customHeight="1" x14ac:dyDescent="0.2">
      <c r="A39" s="1468" t="s">
        <v>593</v>
      </c>
      <c r="B39" s="544">
        <v>1354</v>
      </c>
      <c r="C39" s="1939">
        <v>0</v>
      </c>
      <c r="D39" s="467"/>
      <c r="E39" s="467"/>
      <c r="F39" s="467"/>
      <c r="G39" s="467"/>
      <c r="H39" s="467"/>
      <c r="I39" s="467"/>
      <c r="J39" s="467"/>
      <c r="K39" s="467"/>
    </row>
    <row r="40" spans="1:11" ht="12.75" customHeight="1" thickBot="1" x14ac:dyDescent="0.25">
      <c r="A40" s="1681" t="s">
        <v>537</v>
      </c>
      <c r="B40" s="1682"/>
      <c r="C40" s="1661">
        <f>SUM(C20:C39)</f>
        <v>106867</v>
      </c>
      <c r="D40" s="467"/>
      <c r="E40" s="467"/>
      <c r="F40" s="467"/>
      <c r="G40" s="467"/>
      <c r="H40" s="467"/>
      <c r="I40" s="467"/>
      <c r="J40" s="467"/>
      <c r="K40" s="467"/>
    </row>
    <row r="41" spans="1:11" ht="15.75" customHeight="1" thickTop="1" x14ac:dyDescent="0.2">
      <c r="A41" s="1565" t="s">
        <v>273</v>
      </c>
      <c r="B41" s="1566">
        <v>1400</v>
      </c>
      <c r="C41" s="467"/>
      <c r="D41" s="467"/>
      <c r="E41" s="467"/>
      <c r="F41" s="514"/>
      <c r="G41" s="467"/>
      <c r="H41" s="467"/>
      <c r="I41" s="467"/>
      <c r="J41" s="467"/>
      <c r="K41" s="467"/>
    </row>
    <row r="42" spans="1:11" ht="12.75" customHeight="1" x14ac:dyDescent="0.2">
      <c r="A42" s="463" t="s">
        <v>1075</v>
      </c>
      <c r="B42" s="469">
        <v>1411</v>
      </c>
      <c r="C42" s="467"/>
      <c r="D42" s="467"/>
      <c r="E42" s="467"/>
      <c r="F42" s="477">
        <v>0</v>
      </c>
      <c r="G42" s="467"/>
      <c r="H42" s="467"/>
      <c r="I42" s="467"/>
      <c r="J42" s="467"/>
      <c r="K42" s="467"/>
    </row>
    <row r="43" spans="1:11" ht="12.75" customHeight="1" x14ac:dyDescent="0.2">
      <c r="A43" s="463" t="s">
        <v>836</v>
      </c>
      <c r="B43" s="469">
        <v>1412</v>
      </c>
      <c r="C43" s="467"/>
      <c r="D43" s="467"/>
      <c r="E43" s="467"/>
      <c r="F43" s="1935">
        <v>0</v>
      </c>
      <c r="G43" s="467"/>
      <c r="H43" s="467"/>
      <c r="I43" s="467"/>
      <c r="J43" s="467"/>
      <c r="K43" s="467"/>
    </row>
    <row r="44" spans="1:11" ht="12.75" customHeight="1" x14ac:dyDescent="0.2">
      <c r="A44" s="463" t="s">
        <v>383</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604</v>
      </c>
      <c r="G45" s="467"/>
      <c r="H45" s="467"/>
      <c r="I45" s="467"/>
      <c r="J45" s="467"/>
      <c r="K45" s="467"/>
    </row>
    <row r="46" spans="1:11" ht="12.75" customHeight="1" x14ac:dyDescent="0.2">
      <c r="A46" s="463" t="s">
        <v>1173</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837</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1105</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1106</v>
      </c>
      <c r="B56" s="545">
        <v>1442</v>
      </c>
      <c r="C56" s="467"/>
      <c r="D56" s="467"/>
      <c r="E56" s="467"/>
      <c r="F56" s="1935">
        <v>0</v>
      </c>
      <c r="G56" s="467"/>
      <c r="H56" s="467"/>
      <c r="I56" s="467"/>
      <c r="J56" s="467"/>
      <c r="K56" s="467"/>
    </row>
    <row r="57" spans="1:11" ht="12.75" customHeight="1" x14ac:dyDescent="0.2">
      <c r="A57" s="1469" t="s">
        <v>488</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877</v>
      </c>
      <c r="B59" s="545">
        <v>1451</v>
      </c>
      <c r="C59" s="467"/>
      <c r="D59" s="467"/>
      <c r="E59" s="467"/>
      <c r="F59" s="1935">
        <v>0</v>
      </c>
      <c r="G59" s="467"/>
      <c r="H59" s="467"/>
      <c r="I59" s="467"/>
      <c r="J59" s="467"/>
      <c r="K59" s="467"/>
    </row>
    <row r="60" spans="1:11" ht="12.75" customHeight="1" x14ac:dyDescent="0.2">
      <c r="A60" s="1469" t="s">
        <v>1107</v>
      </c>
      <c r="B60" s="545">
        <v>1452</v>
      </c>
      <c r="C60" s="467"/>
      <c r="D60" s="467"/>
      <c r="E60" s="467"/>
      <c r="F60" s="1935">
        <v>0</v>
      </c>
      <c r="G60" s="467"/>
      <c r="H60" s="467"/>
      <c r="I60" s="467"/>
      <c r="J60" s="467"/>
      <c r="K60" s="467"/>
    </row>
    <row r="61" spans="1:11" ht="12.75" customHeight="1" x14ac:dyDescent="0.2">
      <c r="A61" s="551" t="s">
        <v>878</v>
      </c>
      <c r="B61" s="545">
        <v>1453</v>
      </c>
      <c r="C61" s="467"/>
      <c r="D61" s="467"/>
      <c r="E61" s="467"/>
      <c r="F61" s="1935">
        <v>0</v>
      </c>
      <c r="G61" s="467"/>
      <c r="H61" s="467"/>
      <c r="I61" s="467"/>
      <c r="J61" s="467"/>
      <c r="K61" s="467"/>
    </row>
    <row r="62" spans="1:11" ht="12.75" customHeight="1" x14ac:dyDescent="0.2">
      <c r="A62" s="1470" t="s">
        <v>879</v>
      </c>
      <c r="B62" s="546">
        <v>1454</v>
      </c>
      <c r="C62" s="467"/>
      <c r="D62" s="467"/>
      <c r="E62" s="467"/>
      <c r="F62" s="1936">
        <v>0</v>
      </c>
      <c r="G62" s="467"/>
      <c r="H62" s="467"/>
      <c r="I62" s="467"/>
      <c r="J62" s="467"/>
      <c r="K62" s="467"/>
    </row>
    <row r="63" spans="1:11" ht="12.75" customHeight="1" thickBot="1" x14ac:dyDescent="0.25">
      <c r="A63" s="1681" t="s">
        <v>484</v>
      </c>
      <c r="B63" s="1682"/>
      <c r="C63" s="467"/>
      <c r="D63" s="467"/>
      <c r="E63" s="467"/>
      <c r="F63" s="1661">
        <f>SUM(F42:F62)</f>
        <v>604</v>
      </c>
      <c r="G63" s="467"/>
      <c r="H63" s="467"/>
      <c r="I63" s="467"/>
      <c r="J63" s="467"/>
      <c r="K63" s="467"/>
    </row>
    <row r="64" spans="1:11" ht="15.75" customHeight="1" thickTop="1" x14ac:dyDescent="0.2">
      <c r="A64" s="1565" t="s">
        <v>453</v>
      </c>
      <c r="B64" s="1566">
        <v>1500</v>
      </c>
      <c r="C64" s="467"/>
      <c r="D64" s="467"/>
      <c r="E64" s="467"/>
      <c r="F64" s="467"/>
      <c r="G64" s="467"/>
      <c r="H64" s="467"/>
      <c r="I64" s="467"/>
      <c r="J64" s="467"/>
      <c r="K64" s="467"/>
    </row>
    <row r="65" spans="1:11" ht="12.75" customHeight="1" x14ac:dyDescent="0.2">
      <c r="A65" s="463" t="s">
        <v>546</v>
      </c>
      <c r="B65" s="469">
        <v>1510</v>
      </c>
      <c r="C65" s="1935">
        <v>44063</v>
      </c>
      <c r="D65" s="1935">
        <v>14511</v>
      </c>
      <c r="E65" s="1935">
        <v>34204</v>
      </c>
      <c r="F65" s="1936">
        <v>1922</v>
      </c>
      <c r="G65" s="1935">
        <v>4224</v>
      </c>
      <c r="H65" s="1935">
        <v>472</v>
      </c>
      <c r="I65" s="1935">
        <v>0</v>
      </c>
      <c r="J65" s="1936">
        <v>0</v>
      </c>
      <c r="K65" s="1935">
        <v>0</v>
      </c>
    </row>
    <row r="66" spans="1:11" ht="12.75" customHeight="1" x14ac:dyDescent="0.2">
      <c r="A66" s="463" t="s">
        <v>678</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485</v>
      </c>
      <c r="B67" s="1682"/>
      <c r="C67" s="1661">
        <f>SUM(C65:C66)</f>
        <v>44063</v>
      </c>
      <c r="D67" s="1661">
        <f t="shared" ref="D67:K67" si="2">SUM(D65:D66)</f>
        <v>14511</v>
      </c>
      <c r="E67" s="1661">
        <f t="shared" si="2"/>
        <v>34204</v>
      </c>
      <c r="F67" s="1661">
        <f t="shared" si="2"/>
        <v>1922</v>
      </c>
      <c r="G67" s="1661">
        <f t="shared" si="2"/>
        <v>4224</v>
      </c>
      <c r="H67" s="1661">
        <f t="shared" si="2"/>
        <v>472</v>
      </c>
      <c r="I67" s="1661">
        <f t="shared" si="2"/>
        <v>0</v>
      </c>
      <c r="J67" s="1661">
        <f t="shared" si="2"/>
        <v>0</v>
      </c>
      <c r="K67" s="1661">
        <f t="shared" si="2"/>
        <v>0</v>
      </c>
    </row>
    <row r="68" spans="1:11" ht="15.75" customHeight="1" thickTop="1" x14ac:dyDescent="0.2">
      <c r="A68" s="1565" t="s">
        <v>454</v>
      </c>
      <c r="B68" s="1567">
        <v>1600</v>
      </c>
      <c r="C68" s="541"/>
      <c r="D68" s="467"/>
      <c r="E68" s="467"/>
      <c r="F68" s="467"/>
      <c r="G68" s="467"/>
      <c r="H68" s="467"/>
      <c r="I68" s="467"/>
      <c r="J68" s="467"/>
      <c r="K68" s="467"/>
    </row>
    <row r="69" spans="1:11" ht="12.75" customHeight="1" x14ac:dyDescent="0.2">
      <c r="A69" s="463" t="s">
        <v>665</v>
      </c>
      <c r="B69" s="469">
        <v>1611</v>
      </c>
      <c r="C69" s="1935">
        <v>372149</v>
      </c>
      <c r="D69" s="467"/>
      <c r="E69" s="467"/>
      <c r="F69" s="467"/>
      <c r="G69" s="467"/>
      <c r="H69" s="467"/>
      <c r="I69" s="467"/>
      <c r="J69" s="467"/>
      <c r="K69" s="467"/>
    </row>
    <row r="70" spans="1:11" ht="12.75" customHeight="1" x14ac:dyDescent="0.2">
      <c r="A70" s="463" t="s">
        <v>996</v>
      </c>
      <c r="B70" s="469">
        <v>1612</v>
      </c>
      <c r="C70" s="1940">
        <v>0</v>
      </c>
      <c r="D70" s="467"/>
      <c r="E70" s="467"/>
      <c r="F70" s="467"/>
      <c r="G70" s="467"/>
      <c r="H70" s="467"/>
      <c r="I70" s="467"/>
      <c r="J70" s="467"/>
      <c r="K70" s="467"/>
    </row>
    <row r="71" spans="1:11" ht="12.75" customHeight="1" x14ac:dyDescent="0.2">
      <c r="A71" s="463" t="s">
        <v>272</v>
      </c>
      <c r="B71" s="469">
        <v>1613</v>
      </c>
      <c r="C71" s="1940">
        <v>0</v>
      </c>
      <c r="D71" s="467"/>
      <c r="E71" s="467"/>
      <c r="F71" s="467"/>
      <c r="G71" s="467"/>
      <c r="H71" s="467"/>
      <c r="I71" s="467"/>
      <c r="J71" s="467"/>
      <c r="K71" s="467"/>
    </row>
    <row r="72" spans="1:11" ht="12.75" customHeight="1" x14ac:dyDescent="0.2">
      <c r="A72" s="463" t="s">
        <v>24</v>
      </c>
      <c r="B72" s="469">
        <v>1614</v>
      </c>
      <c r="C72" s="1940">
        <v>0</v>
      </c>
      <c r="D72" s="467"/>
      <c r="E72" s="467"/>
      <c r="F72" s="467"/>
      <c r="G72" s="467"/>
      <c r="H72" s="467"/>
      <c r="I72" s="467"/>
      <c r="J72" s="467"/>
      <c r="K72" s="467"/>
    </row>
    <row r="73" spans="1:11" ht="12.75" customHeight="1" x14ac:dyDescent="0.2">
      <c r="A73" s="463" t="s">
        <v>997</v>
      </c>
      <c r="B73" s="469">
        <v>1620</v>
      </c>
      <c r="C73" s="1940">
        <v>0</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547</v>
      </c>
      <c r="B75" s="1682"/>
      <c r="C75" s="1661">
        <f>SUM(C69:C74)</f>
        <v>372149</v>
      </c>
      <c r="D75" s="467"/>
      <c r="E75" s="467"/>
      <c r="F75" s="467"/>
      <c r="G75" s="467"/>
      <c r="H75" s="467"/>
      <c r="I75" s="467"/>
      <c r="J75" s="467"/>
      <c r="K75" s="467"/>
    </row>
    <row r="76" spans="1:11" ht="15.75" customHeight="1" thickTop="1" x14ac:dyDescent="0.2">
      <c r="A76" s="1565" t="s">
        <v>880</v>
      </c>
      <c r="B76" s="1567">
        <v>1700</v>
      </c>
      <c r="C76" s="541"/>
      <c r="D76" s="467"/>
      <c r="E76" s="467"/>
      <c r="F76" s="467"/>
      <c r="G76" s="467"/>
      <c r="H76" s="467"/>
      <c r="I76" s="467"/>
      <c r="J76" s="467"/>
      <c r="K76" s="467"/>
    </row>
    <row r="77" spans="1:11" ht="12.75" customHeight="1" x14ac:dyDescent="0.2">
      <c r="A77" s="463" t="s">
        <v>548</v>
      </c>
      <c r="B77" s="469">
        <v>1711</v>
      </c>
      <c r="C77" s="509">
        <v>27684</v>
      </c>
      <c r="D77" s="1935">
        <v>0</v>
      </c>
      <c r="E77" s="467"/>
      <c r="F77" s="467"/>
      <c r="G77" s="467"/>
      <c r="H77" s="467"/>
      <c r="I77" s="467"/>
      <c r="J77" s="467"/>
      <c r="K77" s="467"/>
    </row>
    <row r="78" spans="1:11" ht="12.75" customHeight="1" x14ac:dyDescent="0.2">
      <c r="A78" s="463" t="s">
        <v>76</v>
      </c>
      <c r="B78" s="469">
        <v>1719</v>
      </c>
      <c r="C78" s="1940">
        <v>23175</v>
      </c>
      <c r="D78" s="1935">
        <v>0</v>
      </c>
      <c r="E78" s="467"/>
      <c r="F78" s="467"/>
      <c r="G78" s="467"/>
      <c r="H78" s="467"/>
      <c r="I78" s="467"/>
      <c r="J78" s="467"/>
      <c r="K78" s="467"/>
    </row>
    <row r="79" spans="1:11" ht="12.75" customHeight="1" x14ac:dyDescent="0.2">
      <c r="A79" s="463" t="s">
        <v>549</v>
      </c>
      <c r="B79" s="469">
        <v>1720</v>
      </c>
      <c r="C79" s="1940">
        <v>61580</v>
      </c>
      <c r="D79" s="1935">
        <v>16184</v>
      </c>
      <c r="E79" s="467"/>
      <c r="F79" s="467"/>
      <c r="G79" s="467"/>
      <c r="H79" s="467"/>
      <c r="I79" s="467"/>
      <c r="J79" s="467"/>
      <c r="K79" s="467"/>
    </row>
    <row r="80" spans="1:11" ht="12.75" customHeight="1" x14ac:dyDescent="0.2">
      <c r="A80" s="463" t="s">
        <v>550</v>
      </c>
      <c r="B80" s="469">
        <v>1730</v>
      </c>
      <c r="C80" s="1940">
        <v>0</v>
      </c>
      <c r="D80" s="1935">
        <v>0</v>
      </c>
      <c r="E80" s="467"/>
      <c r="F80" s="467"/>
      <c r="G80" s="467"/>
      <c r="H80" s="467"/>
      <c r="I80" s="467"/>
      <c r="J80" s="467"/>
      <c r="K80" s="467"/>
    </row>
    <row r="81" spans="1:11" ht="12.75" customHeight="1" x14ac:dyDescent="0.2">
      <c r="A81" s="463" t="s">
        <v>26</v>
      </c>
      <c r="B81" s="469">
        <v>1790</v>
      </c>
      <c r="C81" s="1940">
        <v>754</v>
      </c>
      <c r="D81" s="1935">
        <v>0</v>
      </c>
      <c r="E81" s="467"/>
      <c r="F81" s="467"/>
      <c r="G81" s="467"/>
      <c r="H81" s="467"/>
      <c r="I81" s="467"/>
      <c r="J81" s="467"/>
      <c r="K81" s="467"/>
    </row>
    <row r="82" spans="1:11" ht="12.75" customHeight="1" thickBot="1" x14ac:dyDescent="0.25">
      <c r="A82" s="1681" t="s">
        <v>241</v>
      </c>
      <c r="B82" s="1682"/>
      <c r="C82" s="1680">
        <f>SUM(C77:C81)</f>
        <v>113193</v>
      </c>
      <c r="D82" s="1661">
        <f>SUM(D77:D81)</f>
        <v>16184</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551</v>
      </c>
      <c r="B84" s="469">
        <v>1811</v>
      </c>
      <c r="C84" s="1935">
        <v>326627</v>
      </c>
      <c r="D84" s="467"/>
      <c r="E84" s="467"/>
      <c r="F84" s="467"/>
      <c r="G84" s="467"/>
      <c r="H84" s="467"/>
      <c r="I84" s="467"/>
      <c r="J84" s="467"/>
      <c r="K84" s="467"/>
    </row>
    <row r="85" spans="1:11" ht="12.75" customHeight="1" x14ac:dyDescent="0.2">
      <c r="A85" s="463" t="s">
        <v>552</v>
      </c>
      <c r="B85" s="469">
        <v>1812</v>
      </c>
      <c r="C85" s="1940">
        <v>0</v>
      </c>
      <c r="D85" s="467"/>
      <c r="E85" s="467"/>
      <c r="F85" s="467"/>
      <c r="G85" s="467"/>
      <c r="H85" s="467"/>
      <c r="I85" s="467"/>
      <c r="J85" s="467"/>
      <c r="K85" s="467"/>
    </row>
    <row r="86" spans="1:11" ht="12.75" customHeight="1" x14ac:dyDescent="0.2">
      <c r="A86" s="463" t="s">
        <v>998</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553</v>
      </c>
      <c r="B88" s="469">
        <v>1821</v>
      </c>
      <c r="C88" s="1940">
        <v>1969</v>
      </c>
      <c r="D88" s="467"/>
      <c r="E88" s="467"/>
      <c r="F88" s="467"/>
      <c r="G88" s="467"/>
      <c r="H88" s="467"/>
      <c r="I88" s="467"/>
      <c r="J88" s="467"/>
      <c r="K88" s="467"/>
    </row>
    <row r="89" spans="1:11" ht="12.75" customHeight="1" x14ac:dyDescent="0.2">
      <c r="A89" s="463" t="s">
        <v>713</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761</v>
      </c>
      <c r="B92" s="469">
        <v>1890</v>
      </c>
      <c r="C92" s="1940">
        <v>0</v>
      </c>
      <c r="D92" s="467"/>
      <c r="E92" s="467"/>
      <c r="F92" s="467"/>
      <c r="G92" s="467"/>
      <c r="H92" s="467"/>
      <c r="I92" s="467"/>
      <c r="J92" s="467"/>
      <c r="K92" s="467"/>
    </row>
    <row r="93" spans="1:11" ht="12.75" customHeight="1" thickBot="1" x14ac:dyDescent="0.25">
      <c r="A93" s="1681" t="s">
        <v>243</v>
      </c>
      <c r="B93" s="1682"/>
      <c r="C93" s="1661">
        <f>SUM(C84:C92)</f>
        <v>328596</v>
      </c>
      <c r="D93" s="467"/>
      <c r="E93" s="467"/>
      <c r="F93" s="467"/>
      <c r="G93" s="467"/>
      <c r="H93" s="467"/>
      <c r="I93" s="467"/>
      <c r="J93" s="467"/>
      <c r="K93" s="467"/>
    </row>
    <row r="94" spans="1:11" ht="15.75" customHeight="1" thickTop="1" x14ac:dyDescent="0.2">
      <c r="A94" s="1565" t="s">
        <v>1136</v>
      </c>
      <c r="B94" s="1567">
        <v>1900</v>
      </c>
      <c r="C94" s="541"/>
      <c r="D94" s="514"/>
      <c r="E94" s="467"/>
      <c r="F94" s="467"/>
      <c r="G94" s="467"/>
      <c r="H94" s="467"/>
      <c r="I94" s="467"/>
      <c r="J94" s="467"/>
      <c r="K94" s="467"/>
    </row>
    <row r="95" spans="1:11" ht="12.75" customHeight="1" x14ac:dyDescent="0.2">
      <c r="A95" s="463" t="s">
        <v>1063</v>
      </c>
      <c r="B95" s="469">
        <v>1910</v>
      </c>
      <c r="C95" s="1935">
        <v>0</v>
      </c>
      <c r="D95" s="1940">
        <v>20613</v>
      </c>
      <c r="E95" s="514"/>
      <c r="F95" s="514"/>
      <c r="G95" s="514"/>
      <c r="H95" s="514"/>
      <c r="I95" s="514"/>
      <c r="J95" s="514"/>
      <c r="K95" s="514"/>
    </row>
    <row r="96" spans="1:11" ht="12.75" customHeight="1" x14ac:dyDescent="0.2">
      <c r="A96" s="463" t="s">
        <v>390</v>
      </c>
      <c r="B96" s="469">
        <v>1920</v>
      </c>
      <c r="C96" s="1940">
        <v>66921</v>
      </c>
      <c r="D96" s="1940">
        <v>46000</v>
      </c>
      <c r="E96" s="1938">
        <v>0</v>
      </c>
      <c r="F96" s="474">
        <v>0</v>
      </c>
      <c r="G96" s="474">
        <v>0</v>
      </c>
      <c r="H96" s="474">
        <v>0</v>
      </c>
      <c r="I96" s="474">
        <v>0</v>
      </c>
      <c r="J96" s="474">
        <v>0</v>
      </c>
      <c r="K96" s="474">
        <v>0</v>
      </c>
    </row>
    <row r="97" spans="1:12" ht="12.75" customHeight="1" x14ac:dyDescent="0.2">
      <c r="A97" s="1468" t="s">
        <v>244</v>
      </c>
      <c r="B97" s="547">
        <v>1930</v>
      </c>
      <c r="C97" s="1939">
        <v>0</v>
      </c>
      <c r="D97" s="1936">
        <v>24614</v>
      </c>
      <c r="E97" s="1937">
        <v>0</v>
      </c>
      <c r="F97" s="1936">
        <v>0</v>
      </c>
      <c r="G97" s="1942">
        <v>0</v>
      </c>
      <c r="H97" s="1942">
        <v>0</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820</v>
      </c>
      <c r="B99" s="469">
        <v>1950</v>
      </c>
      <c r="C99" s="1939">
        <v>52024</v>
      </c>
      <c r="D99" s="1935">
        <v>0</v>
      </c>
      <c r="E99" s="1935">
        <v>0</v>
      </c>
      <c r="F99" s="1935">
        <v>0</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16031</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344</v>
      </c>
      <c r="B103" s="469">
        <v>1983</v>
      </c>
      <c r="C103" s="467"/>
      <c r="D103" s="467"/>
      <c r="E103" s="548">
        <v>0</v>
      </c>
      <c r="F103" s="467"/>
      <c r="G103" s="467"/>
      <c r="H103" s="1943">
        <v>0</v>
      </c>
      <c r="I103" s="467"/>
      <c r="J103" s="503"/>
      <c r="K103" s="503"/>
    </row>
    <row r="104" spans="1:12" ht="12.75" customHeight="1" x14ac:dyDescent="0.2">
      <c r="A104" s="463" t="s">
        <v>829</v>
      </c>
      <c r="B104" s="469">
        <v>1991</v>
      </c>
      <c r="C104" s="1939">
        <v>0</v>
      </c>
      <c r="D104" s="1935">
        <v>0</v>
      </c>
      <c r="E104" s="477">
        <v>0</v>
      </c>
      <c r="F104" s="1942">
        <v>0</v>
      </c>
      <c r="G104" s="1942">
        <v>0</v>
      </c>
      <c r="H104" s="1941">
        <v>0</v>
      </c>
      <c r="I104" s="467"/>
      <c r="J104" s="467"/>
      <c r="K104" s="467"/>
    </row>
    <row r="105" spans="1:12" ht="12.75" customHeight="1" x14ac:dyDescent="0.2">
      <c r="A105" s="463" t="s">
        <v>821</v>
      </c>
      <c r="B105" s="469">
        <v>1992</v>
      </c>
      <c r="C105" s="1935">
        <v>3267</v>
      </c>
      <c r="D105" s="549"/>
      <c r="E105" s="467"/>
      <c r="F105" s="467"/>
      <c r="G105" s="467"/>
      <c r="H105" s="503"/>
      <c r="I105" s="467"/>
      <c r="J105" s="467"/>
      <c r="K105" s="467"/>
    </row>
    <row r="106" spans="1:12" ht="12.75" customHeight="1" x14ac:dyDescent="0.2">
      <c r="A106" s="463" t="s">
        <v>1429</v>
      </c>
      <c r="B106" s="469">
        <v>1993</v>
      </c>
      <c r="C106" s="1935">
        <v>0</v>
      </c>
      <c r="D106" s="1939">
        <v>0</v>
      </c>
      <c r="E106" s="1936">
        <v>0</v>
      </c>
      <c r="F106" s="1942">
        <v>0</v>
      </c>
      <c r="G106" s="1942">
        <v>0</v>
      </c>
      <c r="H106" s="1942">
        <v>0</v>
      </c>
      <c r="I106" s="514"/>
      <c r="J106" s="1942">
        <v>0</v>
      </c>
      <c r="K106" s="1942">
        <v>0</v>
      </c>
    </row>
    <row r="107" spans="1:12" ht="12.75" customHeight="1" x14ac:dyDescent="0.2">
      <c r="A107" s="463" t="s">
        <v>78</v>
      </c>
      <c r="B107" s="469">
        <v>1999</v>
      </c>
      <c r="C107" s="1940">
        <v>58287</v>
      </c>
      <c r="D107" s="1935">
        <v>2905</v>
      </c>
      <c r="E107" s="1935">
        <v>0</v>
      </c>
      <c r="F107" s="1941">
        <v>37446</v>
      </c>
      <c r="G107" s="1941">
        <v>0</v>
      </c>
      <c r="H107" s="1941">
        <v>0</v>
      </c>
      <c r="I107" s="1941">
        <v>0</v>
      </c>
      <c r="J107" s="1942">
        <v>0</v>
      </c>
      <c r="K107" s="1941">
        <v>0</v>
      </c>
    </row>
    <row r="108" spans="1:12" ht="12.75" customHeight="1" thickBot="1" x14ac:dyDescent="0.25">
      <c r="A108" s="1681" t="s">
        <v>486</v>
      </c>
      <c r="B108" s="1685"/>
      <c r="C108" s="1680">
        <f>SUM(C95:C107)</f>
        <v>196530</v>
      </c>
      <c r="D108" s="1680">
        <f t="shared" ref="D108:K108" si="3">SUM(D95:D107)</f>
        <v>94132</v>
      </c>
      <c r="E108" s="1680">
        <f t="shared" si="3"/>
        <v>0</v>
      </c>
      <c r="F108" s="1680">
        <f t="shared" si="3"/>
        <v>37446</v>
      </c>
      <c r="G108" s="1680">
        <f t="shared" si="3"/>
        <v>0</v>
      </c>
      <c r="H108" s="1680">
        <f t="shared" si="3"/>
        <v>0</v>
      </c>
      <c r="I108" s="1680">
        <f t="shared" si="3"/>
        <v>0</v>
      </c>
      <c r="J108" s="1680">
        <f t="shared" si="3"/>
        <v>0</v>
      </c>
      <c r="K108" s="1661">
        <f t="shared" si="3"/>
        <v>0</v>
      </c>
    </row>
    <row r="109" spans="1:12" ht="14.25" thickTop="1" thickBot="1" x14ac:dyDescent="0.25">
      <c r="A109" s="1686" t="s">
        <v>248</v>
      </c>
      <c r="B109" s="1687" t="s">
        <v>569</v>
      </c>
      <c r="C109" s="1688">
        <f t="shared" ref="C109:K109" si="4">SUM(C12,C18,C40,C63,C67,C75,C82,C93,C108,)</f>
        <v>16469259</v>
      </c>
      <c r="D109" s="1688">
        <f t="shared" si="4"/>
        <v>2488287</v>
      </c>
      <c r="E109" s="1688">
        <f t="shared" si="4"/>
        <v>3035415</v>
      </c>
      <c r="F109" s="1688">
        <f t="shared" si="4"/>
        <v>754603</v>
      </c>
      <c r="G109" s="1688">
        <f t="shared" si="4"/>
        <v>794378</v>
      </c>
      <c r="H109" s="1688">
        <f t="shared" si="4"/>
        <v>472</v>
      </c>
      <c r="I109" s="1688">
        <f t="shared" si="4"/>
        <v>0</v>
      </c>
      <c r="J109" s="1688">
        <f t="shared" si="4"/>
        <v>0</v>
      </c>
      <c r="K109" s="1675">
        <f t="shared" si="4"/>
        <v>0</v>
      </c>
    </row>
    <row r="110" spans="1:12" ht="30" customHeight="1" thickTop="1" x14ac:dyDescent="0.2">
      <c r="A110" s="1558" t="s">
        <v>345</v>
      </c>
      <c r="B110" s="1559"/>
      <c r="C110" s="1544"/>
      <c r="D110" s="1544"/>
      <c r="E110" s="1544"/>
      <c r="F110" s="1544"/>
      <c r="G110" s="1544"/>
      <c r="H110" s="1544"/>
      <c r="I110" s="1544"/>
      <c r="J110" s="1544"/>
      <c r="K110" s="1545"/>
    </row>
    <row r="111" spans="1:12" ht="12.75" customHeight="1" x14ac:dyDescent="0.2">
      <c r="A111" s="486" t="s">
        <v>822</v>
      </c>
      <c r="B111" s="485">
        <v>2100</v>
      </c>
      <c r="C111" s="509">
        <v>0</v>
      </c>
      <c r="D111" s="477">
        <v>0</v>
      </c>
      <c r="E111" s="549"/>
      <c r="F111" s="477">
        <v>0</v>
      </c>
      <c r="G111" s="477">
        <v>0</v>
      </c>
      <c r="H111" s="549"/>
      <c r="I111" s="467"/>
      <c r="J111" s="467"/>
      <c r="K111" s="467"/>
    </row>
    <row r="112" spans="1:12" ht="12.75" customHeight="1" x14ac:dyDescent="0.2">
      <c r="A112" s="463" t="s">
        <v>823</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805</v>
      </c>
      <c r="B114" s="1690" t="s">
        <v>568</v>
      </c>
      <c r="C114" s="1691">
        <f>SUM(C111:C113)</f>
        <v>0</v>
      </c>
      <c r="D114" s="1691">
        <f>SUM(D111:D113)</f>
        <v>0</v>
      </c>
      <c r="E114" s="549" t="s">
        <v>1168</v>
      </c>
      <c r="F114" s="1691">
        <f>SUM(F111:F113)</f>
        <v>0</v>
      </c>
      <c r="G114" s="1691">
        <f>SUM(G111:G113)</f>
        <v>0</v>
      </c>
      <c r="H114" s="549"/>
      <c r="I114" s="467"/>
      <c r="J114" s="467"/>
      <c r="K114" s="467"/>
    </row>
    <row r="115" spans="1:11" ht="16.7" customHeight="1" thickTop="1" x14ac:dyDescent="0.2">
      <c r="A115" s="1560" t="s">
        <v>802</v>
      </c>
      <c r="B115" s="1561"/>
      <c r="C115" s="1543"/>
      <c r="D115" s="1544"/>
      <c r="E115" s="1544"/>
      <c r="F115" s="1544"/>
      <c r="G115" s="1544"/>
      <c r="H115" s="1544"/>
      <c r="I115" s="1544"/>
      <c r="J115" s="1544"/>
      <c r="K115" s="1545"/>
    </row>
    <row r="116" spans="1:11" ht="18" customHeight="1" x14ac:dyDescent="0.2">
      <c r="A116" s="1568" t="s">
        <v>1490</v>
      </c>
      <c r="B116" s="1569"/>
      <c r="C116" s="515"/>
      <c r="D116" s="514"/>
      <c r="E116" s="549"/>
      <c r="F116" s="514"/>
      <c r="G116" s="514"/>
      <c r="H116" s="549"/>
      <c r="I116" s="467"/>
      <c r="J116" s="514"/>
      <c r="K116" s="514"/>
    </row>
    <row r="117" spans="1:11" ht="12.75" customHeight="1" x14ac:dyDescent="0.2">
      <c r="A117" s="463" t="s">
        <v>1666</v>
      </c>
      <c r="B117" s="550">
        <v>3001</v>
      </c>
      <c r="C117" s="509">
        <v>3174544</v>
      </c>
      <c r="D117" s="477">
        <v>0</v>
      </c>
      <c r="E117" s="1941">
        <v>0</v>
      </c>
      <c r="F117" s="477">
        <v>0</v>
      </c>
      <c r="G117" s="477">
        <v>0</v>
      </c>
      <c r="H117" s="1941">
        <v>0</v>
      </c>
      <c r="I117" s="467"/>
      <c r="J117" s="1942">
        <v>0</v>
      </c>
      <c r="K117" s="1941">
        <v>0</v>
      </c>
    </row>
    <row r="118" spans="1:11" ht="12.75" customHeight="1" x14ac:dyDescent="0.2">
      <c r="A118" s="463" t="s">
        <v>1796</v>
      </c>
      <c r="B118" s="550">
        <v>3002</v>
      </c>
      <c r="C118" s="1944">
        <v>0</v>
      </c>
      <c r="D118" s="1941">
        <v>0</v>
      </c>
      <c r="E118" s="1941">
        <v>0</v>
      </c>
      <c r="F118" s="1941">
        <v>0</v>
      </c>
      <c r="G118" s="1941">
        <v>0</v>
      </c>
      <c r="H118" s="1941">
        <v>0</v>
      </c>
      <c r="I118" s="467"/>
      <c r="J118" s="1942">
        <v>0</v>
      </c>
      <c r="K118" s="1941">
        <v>0</v>
      </c>
    </row>
    <row r="119" spans="1:11" ht="12.75" customHeight="1" x14ac:dyDescent="0.2">
      <c r="A119" s="463" t="s">
        <v>1797</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1933</v>
      </c>
      <c r="B120" s="550">
        <v>3030</v>
      </c>
      <c r="C120" s="1944">
        <v>0</v>
      </c>
      <c r="D120" s="1941">
        <v>0</v>
      </c>
      <c r="E120" s="1941">
        <v>0</v>
      </c>
      <c r="F120" s="1941">
        <v>0</v>
      </c>
      <c r="G120" s="1941">
        <v>0</v>
      </c>
      <c r="H120" s="1941">
        <v>0</v>
      </c>
      <c r="I120" s="467"/>
      <c r="J120" s="466">
        <v>0</v>
      </c>
      <c r="K120" s="465">
        <v>0</v>
      </c>
    </row>
    <row r="121" spans="1:11" x14ac:dyDescent="0.2">
      <c r="A121" s="1469" t="s">
        <v>1798</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1" t="s">
        <v>487</v>
      </c>
      <c r="B122" s="1692"/>
      <c r="C122" s="1680">
        <f t="shared" ref="C122:H122" si="5">SUM(C117:C121)</f>
        <v>3174544</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1489</v>
      </c>
      <c r="B123" s="1570"/>
      <c r="C123" s="553"/>
      <c r="D123" s="502"/>
      <c r="E123" s="467"/>
      <c r="F123" s="554"/>
      <c r="G123" s="467"/>
      <c r="H123" s="467"/>
      <c r="I123" s="467"/>
      <c r="J123" s="467"/>
      <c r="K123" s="467"/>
    </row>
    <row r="124" spans="1:11" ht="15" customHeight="1" x14ac:dyDescent="0.2">
      <c r="A124" s="1571" t="s">
        <v>666</v>
      </c>
      <c r="B124" s="1572"/>
      <c r="C124" s="514"/>
      <c r="D124" s="502"/>
      <c r="E124" s="467"/>
      <c r="F124" s="514"/>
      <c r="G124" s="467"/>
      <c r="H124" s="467"/>
      <c r="I124" s="467"/>
      <c r="J124" s="467"/>
      <c r="K124" s="467"/>
    </row>
    <row r="125" spans="1:11" ht="12.75" customHeight="1" x14ac:dyDescent="0.2">
      <c r="A125" s="463" t="s">
        <v>865</v>
      </c>
      <c r="B125" s="555">
        <v>3100</v>
      </c>
      <c r="C125" s="477">
        <v>112573</v>
      </c>
      <c r="D125" s="549"/>
      <c r="E125" s="467"/>
      <c r="F125" s="1953">
        <v>0</v>
      </c>
      <c r="G125" s="467"/>
      <c r="H125" s="467"/>
      <c r="I125" s="467"/>
      <c r="J125" s="467"/>
      <c r="K125" s="467"/>
    </row>
    <row r="126" spans="1:11" ht="12.75" customHeight="1" x14ac:dyDescent="0.2">
      <c r="A126" s="463" t="s">
        <v>1445</v>
      </c>
      <c r="B126" s="550">
        <v>3105</v>
      </c>
      <c r="C126" s="1941">
        <v>0</v>
      </c>
      <c r="D126" s="549"/>
      <c r="E126" s="467"/>
      <c r="F126" s="1945">
        <v>0</v>
      </c>
      <c r="G126" s="467"/>
      <c r="H126" s="467"/>
      <c r="I126" s="467"/>
      <c r="J126" s="467"/>
      <c r="K126" s="467"/>
    </row>
    <row r="127" spans="1:11" ht="12.75" customHeight="1" x14ac:dyDescent="0.2">
      <c r="A127" s="463" t="s">
        <v>866</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2818</v>
      </c>
      <c r="D128" s="549"/>
      <c r="E128" s="467"/>
      <c r="F128" s="1945">
        <v>0</v>
      </c>
      <c r="G128" s="467"/>
      <c r="H128" s="467"/>
      <c r="I128" s="467"/>
      <c r="J128" s="467"/>
      <c r="K128" s="467"/>
    </row>
    <row r="129" spans="1:11" ht="12.75" customHeight="1" x14ac:dyDescent="0.2">
      <c r="A129" s="463" t="s">
        <v>1446</v>
      </c>
      <c r="B129" s="550">
        <v>3130</v>
      </c>
      <c r="C129" s="1941">
        <v>0</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1031</v>
      </c>
      <c r="B132" s="1693"/>
      <c r="C132" s="1680">
        <f>SUM(C125:C131)</f>
        <v>115391</v>
      </c>
      <c r="D132" s="1680">
        <f>SUM(D125:D131)</f>
        <v>0</v>
      </c>
      <c r="E132" s="468" t="s">
        <v>1168</v>
      </c>
      <c r="F132" s="1680">
        <f>SUM(F125:F131)</f>
        <v>0</v>
      </c>
      <c r="G132" s="467" t="s">
        <v>1168</v>
      </c>
      <c r="H132" s="467" t="s">
        <v>1168</v>
      </c>
      <c r="I132" s="467" t="s">
        <v>1168</v>
      </c>
      <c r="J132" s="467" t="s">
        <v>1168</v>
      </c>
      <c r="K132" s="467" t="s">
        <v>1168</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598</v>
      </c>
      <c r="B134" s="550">
        <v>3200</v>
      </c>
      <c r="C134" s="1954">
        <v>0</v>
      </c>
      <c r="D134" s="1945">
        <v>0</v>
      </c>
      <c r="E134" s="549"/>
      <c r="F134" s="467"/>
      <c r="G134" s="1945">
        <v>0</v>
      </c>
      <c r="H134" s="467"/>
      <c r="I134" s="467"/>
      <c r="J134" s="467"/>
      <c r="K134" s="467"/>
    </row>
    <row r="135" spans="1:11" ht="12.75" customHeight="1" x14ac:dyDescent="0.2">
      <c r="A135" s="463" t="s">
        <v>668</v>
      </c>
      <c r="B135" s="550">
        <v>3220</v>
      </c>
      <c r="C135" s="1954">
        <v>25243</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599</v>
      </c>
      <c r="B137" s="550">
        <v>3235</v>
      </c>
      <c r="C137" s="1949">
        <v>0</v>
      </c>
      <c r="D137" s="1946">
        <v>0</v>
      </c>
      <c r="E137" s="549"/>
      <c r="F137" s="467"/>
      <c r="G137" s="1946">
        <v>0</v>
      </c>
      <c r="H137" s="467"/>
      <c r="I137" s="467"/>
      <c r="J137" s="467"/>
      <c r="K137" s="467"/>
    </row>
    <row r="138" spans="1:11" ht="12.75" customHeight="1" x14ac:dyDescent="0.2">
      <c r="A138" s="463" t="s">
        <v>600</v>
      </c>
      <c r="B138" s="550">
        <v>3240</v>
      </c>
      <c r="C138" s="1949">
        <v>0</v>
      </c>
      <c r="D138" s="1946">
        <v>0</v>
      </c>
      <c r="E138" s="549"/>
      <c r="F138" s="467"/>
      <c r="G138" s="1946">
        <v>0</v>
      </c>
      <c r="H138" s="467"/>
      <c r="I138" s="467"/>
      <c r="J138" s="467"/>
      <c r="K138" s="467"/>
    </row>
    <row r="139" spans="1:11" ht="12.75" customHeight="1" x14ac:dyDescent="0.2">
      <c r="A139" s="463" t="s">
        <v>601</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602</v>
      </c>
      <c r="B141" s="1693"/>
      <c r="C141" s="1680">
        <f>SUM(C134:C140)</f>
        <v>25243</v>
      </c>
      <c r="D141" s="1680">
        <f>SUM(D134:D140)</f>
        <v>0</v>
      </c>
      <c r="E141" s="549" t="s">
        <v>1168</v>
      </c>
      <c r="F141" s="473"/>
      <c r="G141" s="1680">
        <f>SUM(G134:G140)</f>
        <v>0</v>
      </c>
      <c r="H141" s="467" t="s">
        <v>1168</v>
      </c>
      <c r="I141" s="467" t="s">
        <v>1168</v>
      </c>
      <c r="J141" s="467" t="s">
        <v>1168</v>
      </c>
      <c r="K141" s="467" t="s">
        <v>1168</v>
      </c>
    </row>
    <row r="142" spans="1:11" ht="15.75" customHeight="1" thickTop="1" x14ac:dyDescent="0.2">
      <c r="A142" s="1573" t="s">
        <v>669</v>
      </c>
      <c r="B142" s="1574"/>
      <c r="C142" s="541"/>
      <c r="D142" s="554"/>
      <c r="E142" s="549"/>
      <c r="F142" s="541"/>
      <c r="G142" s="541"/>
      <c r="H142" s="467"/>
      <c r="I142" s="467"/>
      <c r="J142" s="467"/>
      <c r="K142" s="467"/>
    </row>
    <row r="143" spans="1:11" ht="12.75" customHeight="1" x14ac:dyDescent="0.2">
      <c r="A143" s="463" t="s">
        <v>603</v>
      </c>
      <c r="B143" s="550">
        <v>3305</v>
      </c>
      <c r="C143" s="1945">
        <v>0</v>
      </c>
      <c r="D143" s="467"/>
      <c r="E143" s="549"/>
      <c r="F143" s="467"/>
      <c r="G143" s="1945">
        <v>0</v>
      </c>
      <c r="H143" s="467"/>
      <c r="I143" s="467"/>
      <c r="J143" s="467"/>
      <c r="K143" s="467"/>
    </row>
    <row r="144" spans="1:11" ht="12.75" customHeight="1" x14ac:dyDescent="0.2">
      <c r="A144" s="463" t="s">
        <v>346</v>
      </c>
      <c r="B144" s="550">
        <v>3310</v>
      </c>
      <c r="C144" s="1954">
        <v>0</v>
      </c>
      <c r="D144" s="467"/>
      <c r="E144" s="549"/>
      <c r="F144" s="467"/>
      <c r="G144" s="1945">
        <v>0</v>
      </c>
      <c r="H144" s="467"/>
      <c r="I144" s="467"/>
      <c r="J144" s="467"/>
      <c r="K144" s="467"/>
    </row>
    <row r="145" spans="1:11" s="202" customFormat="1" ht="13.5" thickBot="1" x14ac:dyDescent="0.25">
      <c r="A145" s="1681" t="s">
        <v>395</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1055</v>
      </c>
      <c r="B146" s="556">
        <v>3360</v>
      </c>
      <c r="C146" s="1948">
        <v>2696</v>
      </c>
      <c r="D146" s="557"/>
      <c r="E146" s="502"/>
      <c r="F146" s="467"/>
      <c r="G146" s="558"/>
      <c r="H146" s="467"/>
      <c r="I146" s="467"/>
      <c r="J146" s="467"/>
      <c r="K146" s="467"/>
    </row>
    <row r="147" spans="1:11" ht="12.75" customHeight="1" thickBot="1" x14ac:dyDescent="0.25">
      <c r="A147" s="1472" t="s">
        <v>921</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29473</v>
      </c>
      <c r="D148" s="1955">
        <v>0</v>
      </c>
      <c r="E148" s="502"/>
      <c r="F148" s="467"/>
      <c r="G148" s="467"/>
      <c r="H148" s="467"/>
      <c r="I148" s="467"/>
      <c r="J148" s="467"/>
      <c r="K148" s="467"/>
    </row>
    <row r="149" spans="1:11" ht="12.75" customHeight="1" thickTop="1" thickBot="1" x14ac:dyDescent="0.25">
      <c r="A149" s="1473" t="s">
        <v>766</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452</v>
      </c>
      <c r="B151" s="1575"/>
      <c r="C151" s="541"/>
      <c r="D151" s="467"/>
      <c r="E151" s="549"/>
      <c r="F151" s="467"/>
      <c r="G151" s="467"/>
      <c r="H151" s="467"/>
      <c r="I151" s="467"/>
      <c r="J151" s="467"/>
      <c r="K151" s="467"/>
    </row>
    <row r="152" spans="1:11" ht="12.75" customHeight="1" x14ac:dyDescent="0.2">
      <c r="A152" s="463" t="s">
        <v>1447</v>
      </c>
      <c r="B152" s="550">
        <v>3500</v>
      </c>
      <c r="C152" s="1954">
        <v>0</v>
      </c>
      <c r="D152" s="1945">
        <v>0</v>
      </c>
      <c r="E152" s="549"/>
      <c r="F152" s="1945">
        <v>419200</v>
      </c>
      <c r="G152" s="1946">
        <v>0</v>
      </c>
      <c r="H152" s="467"/>
      <c r="I152" s="467"/>
      <c r="J152" s="467"/>
      <c r="K152" s="467"/>
    </row>
    <row r="153" spans="1:11" ht="12.75" customHeight="1" x14ac:dyDescent="0.2">
      <c r="A153" s="463" t="s">
        <v>1056</v>
      </c>
      <c r="B153" s="550">
        <v>3510</v>
      </c>
      <c r="C153" s="1954">
        <v>0</v>
      </c>
      <c r="D153" s="1945">
        <v>0</v>
      </c>
      <c r="E153" s="549"/>
      <c r="F153" s="1945">
        <v>209811</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629011</v>
      </c>
      <c r="G155" s="1680">
        <f>SUM(G152:G154)</f>
        <v>0</v>
      </c>
      <c r="H155" s="467"/>
      <c r="I155" s="467"/>
      <c r="J155" s="467"/>
      <c r="K155" s="467"/>
    </row>
    <row r="156" spans="1:11" ht="12.75" customHeight="1" thickTop="1" thickBot="1" x14ac:dyDescent="0.25">
      <c r="A156" s="1473" t="s">
        <v>379</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999</v>
      </c>
      <c r="B158" s="560">
        <v>3695</v>
      </c>
      <c r="C158" s="1957">
        <v>0</v>
      </c>
      <c r="D158" s="467"/>
      <c r="E158" s="549"/>
      <c r="F158" s="1957">
        <v>0</v>
      </c>
      <c r="G158" s="1957">
        <v>0</v>
      </c>
      <c r="H158" s="467"/>
      <c r="I158" s="467"/>
      <c r="J158" s="467"/>
      <c r="K158" s="467"/>
    </row>
    <row r="159" spans="1:11" ht="12.75" customHeight="1" thickTop="1" thickBot="1" x14ac:dyDescent="0.25">
      <c r="A159" s="1473" t="s">
        <v>1050</v>
      </c>
      <c r="B159" s="560">
        <v>3705</v>
      </c>
      <c r="C159" s="1957">
        <v>259652</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984</v>
      </c>
      <c r="B161" s="560">
        <v>3767</v>
      </c>
      <c r="C161" s="1957">
        <v>0</v>
      </c>
      <c r="D161" s="1951">
        <v>0</v>
      </c>
      <c r="E161" s="549"/>
      <c r="F161" s="1951">
        <v>0</v>
      </c>
      <c r="G161" s="1951">
        <v>0</v>
      </c>
      <c r="H161" s="467"/>
      <c r="I161" s="467"/>
      <c r="J161" s="467"/>
      <c r="K161" s="467"/>
    </row>
    <row r="162" spans="1:11" ht="12.75" customHeight="1" thickTop="1" thickBot="1" x14ac:dyDescent="0.25">
      <c r="A162" s="1473" t="s">
        <v>985</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1448</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857</v>
      </c>
      <c r="B164" s="560">
        <v>3815</v>
      </c>
      <c r="C164" s="1957">
        <v>0</v>
      </c>
      <c r="D164" s="467"/>
      <c r="E164" s="549"/>
      <c r="F164" s="1957">
        <v>0</v>
      </c>
      <c r="G164" s="467"/>
      <c r="H164" s="467"/>
      <c r="I164" s="467"/>
      <c r="J164" s="467"/>
      <c r="K164" s="467"/>
    </row>
    <row r="165" spans="1:11" ht="12.75" customHeight="1" thickTop="1" thickBot="1" x14ac:dyDescent="0.25">
      <c r="A165" s="1473" t="s">
        <v>396</v>
      </c>
      <c r="B165" s="560">
        <v>3825</v>
      </c>
      <c r="C165" s="1957">
        <v>0</v>
      </c>
      <c r="D165" s="467"/>
      <c r="E165" s="549"/>
      <c r="F165" s="1957">
        <v>0</v>
      </c>
      <c r="G165" s="467"/>
      <c r="H165" s="467"/>
      <c r="I165" s="467"/>
      <c r="J165" s="467"/>
      <c r="K165" s="467"/>
    </row>
    <row r="166" spans="1:11" ht="12.75" customHeight="1" thickTop="1" thickBot="1" x14ac:dyDescent="0.25">
      <c r="A166" s="1473" t="s">
        <v>347</v>
      </c>
      <c r="B166" s="560">
        <v>3920</v>
      </c>
      <c r="C166" s="554"/>
      <c r="D166" s="1959">
        <v>0</v>
      </c>
      <c r="E166" s="467"/>
      <c r="F166" s="554"/>
      <c r="G166" s="467"/>
      <c r="H166" s="1950">
        <v>0</v>
      </c>
      <c r="I166" s="467"/>
      <c r="J166" s="467"/>
      <c r="K166" s="467"/>
    </row>
    <row r="167" spans="1:11" ht="12.75" customHeight="1" thickTop="1" thickBot="1" x14ac:dyDescent="0.25">
      <c r="A167" s="1473" t="s">
        <v>348</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60456</v>
      </c>
      <c r="D168" s="1961">
        <v>0</v>
      </c>
      <c r="E168" s="1961">
        <v>0</v>
      </c>
      <c r="F168" s="1961">
        <v>200000</v>
      </c>
      <c r="G168" s="1962">
        <v>0</v>
      </c>
      <c r="H168" s="1963">
        <v>0</v>
      </c>
      <c r="I168" s="1962">
        <v>0</v>
      </c>
      <c r="J168" s="1962">
        <v>0</v>
      </c>
      <c r="K168" s="1963">
        <v>0</v>
      </c>
    </row>
    <row r="169" spans="1:11" ht="12.75" customHeight="1" thickTop="1" thickBot="1" x14ac:dyDescent="0.25">
      <c r="A169" s="2219" t="s">
        <v>397</v>
      </c>
      <c r="B169" s="2220"/>
      <c r="C169" s="1695">
        <f t="shared" ref="C169:K169" si="6">SUM(C132,C141,C145,C146:C150,C155,C156:C167,C168)</f>
        <v>492911</v>
      </c>
      <c r="D169" s="1695">
        <f t="shared" si="6"/>
        <v>0</v>
      </c>
      <c r="E169" s="1695">
        <f t="shared" si="6"/>
        <v>0</v>
      </c>
      <c r="F169" s="1695">
        <f t="shared" si="6"/>
        <v>829011</v>
      </c>
      <c r="G169" s="1695">
        <f t="shared" si="6"/>
        <v>0</v>
      </c>
      <c r="H169" s="1695">
        <f t="shared" si="6"/>
        <v>0</v>
      </c>
      <c r="I169" s="1695">
        <f t="shared" si="6"/>
        <v>0</v>
      </c>
      <c r="J169" s="1695">
        <f t="shared" si="6"/>
        <v>0</v>
      </c>
      <c r="K169" s="1676">
        <f t="shared" si="6"/>
        <v>0</v>
      </c>
    </row>
    <row r="170" spans="1:11" ht="12.75" customHeight="1" thickTop="1" thickBot="1" x14ac:dyDescent="0.25">
      <c r="A170" s="1681" t="s">
        <v>398</v>
      </c>
      <c r="B170" s="1687" t="s">
        <v>574</v>
      </c>
      <c r="C170" s="1688">
        <f t="shared" ref="C170:K170" si="7">SUM(C122,C169)</f>
        <v>3667455</v>
      </c>
      <c r="D170" s="1688">
        <f t="shared" si="7"/>
        <v>0</v>
      </c>
      <c r="E170" s="1688">
        <f t="shared" si="7"/>
        <v>0</v>
      </c>
      <c r="F170" s="1688">
        <f t="shared" si="7"/>
        <v>829011</v>
      </c>
      <c r="G170" s="1688">
        <f t="shared" si="7"/>
        <v>0</v>
      </c>
      <c r="H170" s="1688">
        <f t="shared" si="7"/>
        <v>0</v>
      </c>
      <c r="I170" s="1688">
        <f t="shared" si="7"/>
        <v>0</v>
      </c>
      <c r="J170" s="1688">
        <f t="shared" si="7"/>
        <v>0</v>
      </c>
      <c r="K170" s="1675">
        <f t="shared" si="7"/>
        <v>0</v>
      </c>
    </row>
    <row r="171" spans="1:11" ht="16.7" customHeight="1" thickTop="1" x14ac:dyDescent="0.2">
      <c r="A171" s="1562" t="s">
        <v>803</v>
      </c>
      <c r="B171" s="1540"/>
      <c r="C171" s="1543"/>
      <c r="D171" s="1544"/>
      <c r="E171" s="1544"/>
      <c r="F171" s="1544"/>
      <c r="G171" s="1544"/>
      <c r="H171" s="1544"/>
      <c r="I171" s="1544"/>
      <c r="J171" s="1544"/>
      <c r="K171" s="1545"/>
    </row>
    <row r="172" spans="1:11" ht="15.75" customHeight="1" x14ac:dyDescent="0.2">
      <c r="A172" s="2221" t="s">
        <v>1491</v>
      </c>
      <c r="B172" s="2222"/>
      <c r="C172" s="513"/>
      <c r="D172" s="513"/>
      <c r="E172" s="502"/>
      <c r="F172" s="467"/>
      <c r="G172" s="467"/>
      <c r="H172" s="467"/>
      <c r="I172" s="467"/>
      <c r="J172" s="467"/>
      <c r="K172" s="467"/>
    </row>
    <row r="173" spans="1:11" ht="12.6" customHeight="1" x14ac:dyDescent="0.2">
      <c r="A173" s="486" t="s">
        <v>1043</v>
      </c>
      <c r="B173" s="485">
        <v>4001</v>
      </c>
      <c r="C173" s="509">
        <v>0</v>
      </c>
      <c r="D173" s="477">
        <v>0</v>
      </c>
      <c r="E173" s="1946">
        <v>0</v>
      </c>
      <c r="F173" s="1945">
        <v>0</v>
      </c>
      <c r="G173" s="1945">
        <v>0</v>
      </c>
      <c r="H173" s="1946">
        <v>0</v>
      </c>
      <c r="I173" s="1946">
        <v>0</v>
      </c>
      <c r="J173" s="1946">
        <v>0</v>
      </c>
      <c r="K173" s="1946">
        <v>0</v>
      </c>
    </row>
    <row r="174" spans="1:11" ht="22.5" x14ac:dyDescent="0.2">
      <c r="A174" s="551" t="s">
        <v>804</v>
      </c>
      <c r="B174" s="563">
        <v>4009</v>
      </c>
      <c r="C174" s="1954">
        <v>0</v>
      </c>
      <c r="D174" s="1945">
        <v>0</v>
      </c>
      <c r="E174" s="1946">
        <v>0</v>
      </c>
      <c r="F174" s="1945">
        <v>0</v>
      </c>
      <c r="G174" s="1945">
        <v>0</v>
      </c>
      <c r="H174" s="1946">
        <v>0</v>
      </c>
      <c r="I174" s="1946">
        <v>0</v>
      </c>
      <c r="J174" s="1946">
        <v>0</v>
      </c>
      <c r="K174" s="1946">
        <v>0</v>
      </c>
    </row>
    <row r="175" spans="1:11" ht="13.5" thickBot="1" x14ac:dyDescent="0.25">
      <c r="A175" s="2225" t="s">
        <v>1664</v>
      </c>
      <c r="B175" s="2226"/>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9" t="s">
        <v>1663</v>
      </c>
      <c r="B176" s="2230"/>
      <c r="C176" s="575"/>
      <c r="D176" s="576"/>
      <c r="E176" s="577"/>
      <c r="F176" s="578"/>
      <c r="G176" s="578"/>
      <c r="H176" s="578"/>
      <c r="I176" s="578"/>
      <c r="J176" s="578"/>
      <c r="K176" s="578"/>
    </row>
    <row r="177" spans="1:11" ht="12.75" customHeight="1" x14ac:dyDescent="0.2">
      <c r="A177" s="463" t="s">
        <v>1044</v>
      </c>
      <c r="B177" s="469">
        <v>4045</v>
      </c>
      <c r="C177" s="1954">
        <v>0</v>
      </c>
      <c r="D177" s="467"/>
      <c r="E177" s="549"/>
      <c r="F177" s="467"/>
      <c r="G177" s="467"/>
      <c r="H177" s="467"/>
      <c r="I177" s="467"/>
      <c r="J177" s="467"/>
      <c r="K177" s="467"/>
    </row>
    <row r="178" spans="1:11" ht="12.75" customHeight="1" x14ac:dyDescent="0.2">
      <c r="A178" s="463" t="s">
        <v>1045</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785</v>
      </c>
      <c r="B180" s="563">
        <v>4090</v>
      </c>
      <c r="C180" s="1954">
        <v>0</v>
      </c>
      <c r="D180" s="1945">
        <v>0</v>
      </c>
      <c r="E180" s="467"/>
      <c r="F180" s="1945">
        <v>0</v>
      </c>
      <c r="G180" s="1945">
        <v>0</v>
      </c>
      <c r="H180" s="1945">
        <v>0</v>
      </c>
      <c r="I180" s="467"/>
      <c r="J180" s="467"/>
      <c r="K180" s="1945">
        <v>0</v>
      </c>
    </row>
    <row r="181" spans="1:11" ht="13.5" thickBot="1" x14ac:dyDescent="0.25">
      <c r="A181" s="2227" t="s">
        <v>784</v>
      </c>
      <c r="B181" s="2228"/>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23" t="s">
        <v>1800</v>
      </c>
      <c r="B182" s="2224"/>
      <c r="C182" s="564"/>
      <c r="D182" s="554"/>
      <c r="E182" s="502"/>
      <c r="F182" s="554"/>
      <c r="G182" s="554"/>
      <c r="H182" s="467"/>
      <c r="I182" s="467"/>
      <c r="J182" s="467"/>
      <c r="K182" s="467"/>
    </row>
    <row r="183" spans="1:11" ht="15.75" customHeight="1" x14ac:dyDescent="0.2">
      <c r="A183" s="1576" t="s">
        <v>1601</v>
      </c>
      <c r="B183" s="1577"/>
      <c r="C183" s="515"/>
      <c r="D183" s="514"/>
      <c r="E183" s="502"/>
      <c r="F183" s="514"/>
      <c r="G183" s="514"/>
      <c r="H183" s="467"/>
      <c r="I183" s="467"/>
      <c r="J183" s="467"/>
      <c r="K183" s="467"/>
    </row>
    <row r="184" spans="1:11" ht="12.75" customHeight="1" x14ac:dyDescent="0.2">
      <c r="A184" s="463" t="s">
        <v>1602</v>
      </c>
      <c r="B184" s="469">
        <v>4100</v>
      </c>
      <c r="C184" s="509">
        <v>0</v>
      </c>
      <c r="D184" s="477">
        <v>0</v>
      </c>
      <c r="E184" s="549"/>
      <c r="F184" s="477">
        <v>0</v>
      </c>
      <c r="G184" s="477">
        <v>0</v>
      </c>
      <c r="H184" s="467"/>
      <c r="I184" s="467"/>
      <c r="J184" s="467"/>
      <c r="K184" s="467"/>
    </row>
    <row r="185" spans="1:11" ht="12.75" customHeight="1" x14ac:dyDescent="0.2">
      <c r="A185" s="463" t="s">
        <v>1603</v>
      </c>
      <c r="B185" s="469">
        <v>4105</v>
      </c>
      <c r="C185" s="1954">
        <v>0</v>
      </c>
      <c r="D185" s="1945">
        <v>0</v>
      </c>
      <c r="E185" s="549"/>
      <c r="F185" s="1945">
        <v>0</v>
      </c>
      <c r="G185" s="1945">
        <v>0</v>
      </c>
      <c r="H185" s="467"/>
      <c r="I185" s="467"/>
      <c r="J185" s="467"/>
      <c r="K185" s="467"/>
    </row>
    <row r="186" spans="1:11" ht="12.75" customHeight="1" x14ac:dyDescent="0.2">
      <c r="A186" s="463" t="s">
        <v>1605</v>
      </c>
      <c r="B186" s="469">
        <v>4107</v>
      </c>
      <c r="C186" s="1954">
        <v>0</v>
      </c>
      <c r="D186" s="1945">
        <v>0</v>
      </c>
      <c r="E186" s="549"/>
      <c r="F186" s="1945">
        <v>0</v>
      </c>
      <c r="G186" s="1945">
        <v>0</v>
      </c>
      <c r="H186" s="467"/>
      <c r="I186" s="467"/>
      <c r="J186" s="467"/>
      <c r="K186" s="467"/>
    </row>
    <row r="187" spans="1:11" ht="12.75" customHeight="1" x14ac:dyDescent="0.2">
      <c r="A187" s="463" t="s">
        <v>1604</v>
      </c>
      <c r="B187" s="469">
        <v>4199</v>
      </c>
      <c r="C187" s="1954">
        <v>0</v>
      </c>
      <c r="D187" s="1945">
        <v>0</v>
      </c>
      <c r="E187" s="549"/>
      <c r="F187" s="1945">
        <v>0</v>
      </c>
      <c r="G187" s="1945">
        <v>0</v>
      </c>
      <c r="H187" s="467"/>
      <c r="I187" s="467"/>
      <c r="J187" s="467"/>
      <c r="K187" s="467"/>
    </row>
    <row r="188" spans="1:11" ht="12.75" customHeight="1" thickBot="1" x14ac:dyDescent="0.25">
      <c r="A188" s="1681" t="s">
        <v>1606</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454</v>
      </c>
      <c r="B189" s="1578"/>
      <c r="C189" s="541"/>
      <c r="D189" s="554"/>
      <c r="E189" s="549"/>
      <c r="F189" s="541"/>
      <c r="G189" s="541"/>
      <c r="H189" s="467"/>
      <c r="I189" s="467"/>
      <c r="J189" s="467"/>
      <c r="K189" s="467"/>
    </row>
    <row r="190" spans="1:11" x14ac:dyDescent="0.2">
      <c r="A190" s="463" t="s">
        <v>1449</v>
      </c>
      <c r="B190" s="469">
        <v>4200</v>
      </c>
      <c r="C190" s="1946">
        <v>0</v>
      </c>
      <c r="D190" s="467"/>
      <c r="E190" s="549"/>
      <c r="F190" s="541"/>
      <c r="G190" s="1964">
        <v>0</v>
      </c>
      <c r="H190" s="467"/>
      <c r="I190" s="467"/>
      <c r="J190" s="467"/>
      <c r="K190" s="467"/>
    </row>
    <row r="191" spans="1:11" ht="12.75" customHeight="1" x14ac:dyDescent="0.2">
      <c r="A191" s="463" t="s">
        <v>1057</v>
      </c>
      <c r="B191" s="469">
        <v>4210</v>
      </c>
      <c r="C191" s="1945">
        <v>209922</v>
      </c>
      <c r="D191" s="467"/>
      <c r="E191" s="549"/>
      <c r="F191" s="467"/>
      <c r="G191" s="1964">
        <v>0</v>
      </c>
      <c r="H191" s="467"/>
      <c r="I191" s="467"/>
      <c r="J191" s="467"/>
      <c r="K191" s="467"/>
    </row>
    <row r="192" spans="1:11" ht="12.75" customHeight="1" x14ac:dyDescent="0.2">
      <c r="A192" s="463" t="s">
        <v>1046</v>
      </c>
      <c r="B192" s="469">
        <v>4215</v>
      </c>
      <c r="C192" s="1954">
        <v>0</v>
      </c>
      <c r="D192" s="467"/>
      <c r="E192" s="549"/>
      <c r="F192" s="467"/>
      <c r="G192" s="1964">
        <v>0</v>
      </c>
      <c r="H192" s="467"/>
      <c r="I192" s="467"/>
      <c r="J192" s="467"/>
      <c r="K192" s="467"/>
    </row>
    <row r="193" spans="1:11" ht="12.75" customHeight="1" x14ac:dyDescent="0.2">
      <c r="A193" s="463" t="s">
        <v>1058</v>
      </c>
      <c r="B193" s="469">
        <v>4220</v>
      </c>
      <c r="C193" s="1954">
        <v>0</v>
      </c>
      <c r="D193" s="467"/>
      <c r="E193" s="549"/>
      <c r="F193" s="467"/>
      <c r="G193" s="1964">
        <v>0</v>
      </c>
      <c r="H193" s="467"/>
      <c r="I193" s="467"/>
      <c r="J193" s="467"/>
      <c r="K193" s="467"/>
    </row>
    <row r="194" spans="1:11" ht="12.75" customHeight="1" x14ac:dyDescent="0.2">
      <c r="A194" s="463" t="s">
        <v>1450</v>
      </c>
      <c r="B194" s="469">
        <v>4225</v>
      </c>
      <c r="C194" s="1954">
        <v>0</v>
      </c>
      <c r="D194" s="467"/>
      <c r="E194" s="549"/>
      <c r="F194" s="467"/>
      <c r="G194" s="1964">
        <v>0</v>
      </c>
      <c r="H194" s="467"/>
      <c r="I194" s="467"/>
      <c r="J194" s="467"/>
      <c r="K194" s="467"/>
    </row>
    <row r="195" spans="1:11" ht="12.75" customHeight="1" x14ac:dyDescent="0.2">
      <c r="A195" s="463" t="s">
        <v>1451</v>
      </c>
      <c r="B195" s="469">
        <v>4226</v>
      </c>
      <c r="C195" s="1954">
        <v>0</v>
      </c>
      <c r="D195" s="467"/>
      <c r="E195" s="549"/>
      <c r="F195" s="467"/>
      <c r="G195" s="1964">
        <v>0</v>
      </c>
      <c r="H195" s="467"/>
      <c r="I195" s="467"/>
      <c r="J195" s="467"/>
      <c r="K195" s="467"/>
    </row>
    <row r="196" spans="1:11" ht="12.75" customHeight="1" x14ac:dyDescent="0.2">
      <c r="A196" s="463" t="s">
        <v>791</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547</v>
      </c>
      <c r="B198" s="1682"/>
      <c r="C198" s="1661">
        <f>SUM(C190:C197)</f>
        <v>209922</v>
      </c>
      <c r="D198" s="467"/>
      <c r="E198" s="467"/>
      <c r="F198" s="467"/>
      <c r="G198" s="1661">
        <f>SUM(G190:G197)</f>
        <v>0</v>
      </c>
      <c r="H198" s="467"/>
      <c r="I198" s="467"/>
      <c r="J198" s="467"/>
      <c r="K198" s="467"/>
    </row>
    <row r="199" spans="1:11" ht="15.75" customHeight="1" thickTop="1" x14ac:dyDescent="0.2">
      <c r="A199" s="1573" t="s">
        <v>1137</v>
      </c>
      <c r="B199" s="1578"/>
      <c r="C199" s="541"/>
      <c r="D199" s="467"/>
      <c r="E199" s="467"/>
      <c r="F199" s="467"/>
      <c r="G199" s="467"/>
      <c r="H199" s="467"/>
      <c r="I199" s="467"/>
      <c r="J199" s="467"/>
      <c r="K199" s="467"/>
    </row>
    <row r="200" spans="1:11" ht="12.75" customHeight="1" x14ac:dyDescent="0.2">
      <c r="A200" s="463" t="s">
        <v>917</v>
      </c>
      <c r="B200" s="469">
        <v>4300</v>
      </c>
      <c r="C200" s="1945">
        <v>155606</v>
      </c>
      <c r="D200" s="1945">
        <v>0</v>
      </c>
      <c r="E200" s="467"/>
      <c r="F200" s="1945">
        <v>0</v>
      </c>
      <c r="G200" s="1945">
        <v>0</v>
      </c>
      <c r="H200" s="467"/>
      <c r="I200" s="467"/>
      <c r="J200" s="467"/>
      <c r="K200" s="467"/>
    </row>
    <row r="201" spans="1:11" ht="12.75" customHeight="1" x14ac:dyDescent="0.2">
      <c r="A201" s="463" t="s">
        <v>918</v>
      </c>
      <c r="B201" s="469">
        <v>4305</v>
      </c>
      <c r="C201" s="1954">
        <v>0</v>
      </c>
      <c r="D201" s="1945">
        <v>0</v>
      </c>
      <c r="E201" s="467"/>
      <c r="F201" s="1945">
        <v>0</v>
      </c>
      <c r="G201" s="1945">
        <v>0</v>
      </c>
      <c r="H201" s="467"/>
      <c r="I201" s="467"/>
      <c r="J201" s="467"/>
      <c r="K201" s="467"/>
    </row>
    <row r="202" spans="1:11" ht="12.75" customHeight="1" x14ac:dyDescent="0.2">
      <c r="A202" s="463" t="s">
        <v>1030</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399</v>
      </c>
      <c r="B204" s="1682"/>
      <c r="C204" s="1680">
        <f>SUM(C200:C203)</f>
        <v>155606</v>
      </c>
      <c r="D204" s="1680">
        <f>SUM(D200:D203)</f>
        <v>0</v>
      </c>
      <c r="E204" s="467"/>
      <c r="F204" s="1680">
        <f>SUM(F200:F203)</f>
        <v>0</v>
      </c>
      <c r="G204" s="1680">
        <f>SUM(G200:G203)</f>
        <v>0</v>
      </c>
      <c r="H204" s="467"/>
      <c r="I204" s="467"/>
      <c r="J204" s="467"/>
      <c r="K204" s="467"/>
    </row>
    <row r="205" spans="1:11" ht="15.75" customHeight="1" thickTop="1" x14ac:dyDescent="0.2">
      <c r="A205" s="1573" t="s">
        <v>1138</v>
      </c>
      <c r="B205" s="1578"/>
      <c r="C205" s="541"/>
      <c r="D205" s="541"/>
      <c r="E205" s="467"/>
      <c r="F205" s="541"/>
      <c r="G205" s="541"/>
      <c r="H205" s="467"/>
      <c r="I205" s="467"/>
      <c r="J205" s="467"/>
      <c r="K205" s="467"/>
    </row>
    <row r="206" spans="1:11" ht="12.75" customHeight="1" x14ac:dyDescent="0.2">
      <c r="A206" s="463" t="s">
        <v>758</v>
      </c>
      <c r="B206" s="469">
        <v>4400</v>
      </c>
      <c r="C206" s="1954">
        <v>17026</v>
      </c>
      <c r="D206" s="1945">
        <v>0</v>
      </c>
      <c r="E206" s="467"/>
      <c r="F206" s="1945">
        <v>0</v>
      </c>
      <c r="G206" s="1945">
        <v>0</v>
      </c>
      <c r="H206" s="467"/>
      <c r="I206" s="467"/>
      <c r="J206" s="467"/>
      <c r="K206" s="467"/>
    </row>
    <row r="207" spans="1:11" ht="12.75" customHeight="1" x14ac:dyDescent="0.2">
      <c r="A207" s="463" t="s">
        <v>1452</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888</v>
      </c>
      <c r="B209" s="1682"/>
      <c r="C209" s="1680">
        <f>SUM(C206:C208)</f>
        <v>17026</v>
      </c>
      <c r="D209" s="1680">
        <f>SUM(D206:D208)</f>
        <v>0</v>
      </c>
      <c r="E209" s="467" t="s">
        <v>1168</v>
      </c>
      <c r="F209" s="1680">
        <f>SUM(F206:F208)</f>
        <v>0</v>
      </c>
      <c r="G209" s="1680">
        <f>SUM(G206:G208)</f>
        <v>0</v>
      </c>
      <c r="H209" s="467"/>
      <c r="I209" s="467"/>
      <c r="J209" s="467"/>
      <c r="K209" s="467"/>
    </row>
    <row r="210" spans="1:11" ht="15.75" customHeight="1" thickTop="1" x14ac:dyDescent="0.2">
      <c r="A210" s="1573" t="s">
        <v>1091</v>
      </c>
      <c r="B210" s="1578"/>
      <c r="C210" s="541"/>
      <c r="D210" s="541"/>
      <c r="E210" s="467"/>
      <c r="F210" s="541"/>
      <c r="G210" s="541"/>
      <c r="H210" s="467"/>
      <c r="I210" s="467"/>
      <c r="J210" s="467"/>
      <c r="K210" s="467"/>
    </row>
    <row r="211" spans="1:11" ht="12.75" customHeight="1" x14ac:dyDescent="0.2">
      <c r="A211" s="463" t="s">
        <v>1051</v>
      </c>
      <c r="B211" s="469">
        <v>4600</v>
      </c>
      <c r="C211" s="1954">
        <v>12006</v>
      </c>
      <c r="D211" s="1945">
        <v>0</v>
      </c>
      <c r="E211" s="467"/>
      <c r="F211" s="1945">
        <v>0</v>
      </c>
      <c r="G211" s="1945">
        <v>0</v>
      </c>
      <c r="H211" s="467"/>
      <c r="I211" s="467"/>
      <c r="J211" s="467"/>
      <c r="K211" s="467"/>
    </row>
    <row r="212" spans="1:11" ht="12.75" customHeight="1" x14ac:dyDescent="0.2">
      <c r="A212" s="463" t="s">
        <v>1052</v>
      </c>
      <c r="B212" s="469">
        <v>4605</v>
      </c>
      <c r="C212" s="1954">
        <v>0</v>
      </c>
      <c r="D212" s="1945">
        <v>0</v>
      </c>
      <c r="E212" s="467"/>
      <c r="F212" s="1945">
        <v>0</v>
      </c>
      <c r="G212" s="1945">
        <v>0</v>
      </c>
      <c r="H212" s="467"/>
      <c r="I212" s="467"/>
      <c r="J212" s="467"/>
      <c r="K212" s="467"/>
    </row>
    <row r="213" spans="1:11" ht="12.75" customHeight="1" x14ac:dyDescent="0.2">
      <c r="A213" s="463" t="s">
        <v>1453</v>
      </c>
      <c r="B213" s="545">
        <v>4620</v>
      </c>
      <c r="C213" s="1954">
        <v>444031</v>
      </c>
      <c r="D213" s="1945">
        <v>0</v>
      </c>
      <c r="E213" s="467"/>
      <c r="F213" s="1945">
        <v>0</v>
      </c>
      <c r="G213" s="1945">
        <v>0</v>
      </c>
      <c r="H213" s="467"/>
      <c r="I213" s="467"/>
      <c r="J213" s="467"/>
      <c r="K213" s="467"/>
    </row>
    <row r="214" spans="1:11" ht="12.75" customHeight="1" x14ac:dyDescent="0.2">
      <c r="A214" s="463" t="s">
        <v>1053</v>
      </c>
      <c r="B214" s="469">
        <v>4625</v>
      </c>
      <c r="C214" s="1954">
        <v>4934</v>
      </c>
      <c r="D214" s="1945">
        <v>0</v>
      </c>
      <c r="E214" s="467"/>
      <c r="F214" s="1945">
        <v>0</v>
      </c>
      <c r="G214" s="1945">
        <v>0</v>
      </c>
      <c r="H214" s="467"/>
      <c r="I214" s="467"/>
      <c r="J214" s="467"/>
      <c r="K214" s="467"/>
    </row>
    <row r="215" spans="1:11" ht="12.75" customHeight="1" x14ac:dyDescent="0.2">
      <c r="A215" s="463" t="s">
        <v>1054</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446</v>
      </c>
      <c r="B217" s="1682"/>
      <c r="C217" s="1680">
        <f>SUM(C211:C216)</f>
        <v>460971</v>
      </c>
      <c r="D217" s="1680">
        <f>SUM(D211:D216)</f>
        <v>0</v>
      </c>
      <c r="E217" s="467"/>
      <c r="F217" s="1680">
        <f>SUM(F211:F216)</f>
        <v>0</v>
      </c>
      <c r="G217" s="1680">
        <f>SUM(G211:G216)</f>
        <v>0</v>
      </c>
      <c r="H217" s="467"/>
      <c r="I217" s="467"/>
      <c r="J217" s="467"/>
      <c r="K217" s="467"/>
    </row>
    <row r="218" spans="1:11" ht="15.75" customHeight="1" thickTop="1" x14ac:dyDescent="0.2">
      <c r="A218" s="1573" t="s">
        <v>1092</v>
      </c>
      <c r="B218" s="1578"/>
      <c r="C218" s="541"/>
      <c r="D218" s="541"/>
      <c r="E218" s="467"/>
      <c r="F218" s="541"/>
      <c r="G218" s="541"/>
      <c r="H218" s="467"/>
      <c r="I218" s="467"/>
      <c r="J218" s="467"/>
      <c r="K218" s="467"/>
    </row>
    <row r="219" spans="1:11" ht="12.75" customHeight="1" x14ac:dyDescent="0.2">
      <c r="A219" s="463" t="s">
        <v>786</v>
      </c>
      <c r="B219" s="469">
        <v>4770</v>
      </c>
      <c r="C219" s="1954">
        <v>0</v>
      </c>
      <c r="D219" s="1945">
        <v>0</v>
      </c>
      <c r="E219" s="467"/>
      <c r="F219" s="467"/>
      <c r="G219" s="1945">
        <v>0</v>
      </c>
      <c r="H219" s="467"/>
      <c r="I219" s="467"/>
      <c r="J219" s="467"/>
      <c r="K219" s="467"/>
    </row>
    <row r="220" spans="1:11" ht="12.75" customHeight="1" x14ac:dyDescent="0.2">
      <c r="A220" s="463" t="s">
        <v>67</v>
      </c>
      <c r="B220" s="469">
        <v>4799</v>
      </c>
      <c r="C220" s="1954">
        <v>13120</v>
      </c>
      <c r="D220" s="1945">
        <v>0</v>
      </c>
      <c r="E220" s="467"/>
      <c r="F220" s="467"/>
      <c r="G220" s="1945">
        <v>0</v>
      </c>
      <c r="H220" s="467"/>
      <c r="I220" s="467"/>
      <c r="J220" s="467"/>
      <c r="K220" s="467"/>
    </row>
    <row r="221" spans="1:11" ht="12.75" customHeight="1" thickBot="1" x14ac:dyDescent="0.25">
      <c r="A221" s="1696" t="s">
        <v>1084</v>
      </c>
      <c r="B221" s="1697"/>
      <c r="C221" s="1680">
        <f>SUM(C219:C220)</f>
        <v>13120</v>
      </c>
      <c r="D221" s="1680">
        <f>SUM(D219:D220)</f>
        <v>0</v>
      </c>
      <c r="E221" s="467"/>
      <c r="F221" s="467"/>
      <c r="G221" s="1680">
        <f>SUM(G219:G220)</f>
        <v>0</v>
      </c>
      <c r="H221" s="467"/>
      <c r="I221" s="467"/>
      <c r="J221" s="467"/>
      <c r="K221" s="467"/>
    </row>
    <row r="222" spans="1:11" ht="12.75" customHeight="1" thickTop="1" thickBot="1" x14ac:dyDescent="0.25">
      <c r="A222" s="486" t="s">
        <v>756</v>
      </c>
      <c r="B222" s="485">
        <v>4810</v>
      </c>
      <c r="C222" s="1956">
        <v>0</v>
      </c>
      <c r="D222" s="1957">
        <v>0</v>
      </c>
      <c r="E222" s="467"/>
      <c r="F222" s="467"/>
      <c r="G222" s="561">
        <v>0</v>
      </c>
      <c r="H222" s="467"/>
      <c r="I222" s="467"/>
      <c r="J222" s="467"/>
      <c r="K222" s="467"/>
    </row>
    <row r="223" spans="1:11" ht="12.75" customHeight="1" thickTop="1" x14ac:dyDescent="0.2">
      <c r="A223" s="486" t="s">
        <v>349</v>
      </c>
      <c r="B223" s="485">
        <v>4850</v>
      </c>
      <c r="C223" s="1949">
        <v>0</v>
      </c>
      <c r="D223" s="1946">
        <v>0</v>
      </c>
      <c r="E223" s="1946">
        <v>0</v>
      </c>
      <c r="F223" s="1946">
        <v>0</v>
      </c>
      <c r="G223" s="1946">
        <v>0</v>
      </c>
      <c r="H223" s="1946">
        <v>0</v>
      </c>
      <c r="I223" s="467"/>
      <c r="J223" s="1946">
        <v>0</v>
      </c>
      <c r="K223" s="1946">
        <v>0</v>
      </c>
    </row>
    <row r="224" spans="1:11" ht="12.75" customHeight="1" x14ac:dyDescent="0.2">
      <c r="A224" s="486" t="s">
        <v>350</v>
      </c>
      <c r="B224" s="485">
        <v>4851</v>
      </c>
      <c r="C224" s="1949">
        <v>0</v>
      </c>
      <c r="D224" s="1946">
        <v>0</v>
      </c>
      <c r="E224" s="467"/>
      <c r="F224" s="1947">
        <v>0</v>
      </c>
      <c r="G224" s="1946">
        <v>0</v>
      </c>
      <c r="H224" s="467"/>
      <c r="I224" s="467"/>
      <c r="J224" s="467"/>
      <c r="K224" s="467"/>
    </row>
    <row r="225" spans="1:11" ht="12.75" customHeight="1" x14ac:dyDescent="0.2">
      <c r="A225" s="486" t="s">
        <v>351</v>
      </c>
      <c r="B225" s="485">
        <v>4852</v>
      </c>
      <c r="C225" s="1949">
        <v>0</v>
      </c>
      <c r="D225" s="1946">
        <v>0</v>
      </c>
      <c r="E225" s="1946">
        <v>0</v>
      </c>
      <c r="F225" s="1946">
        <v>0</v>
      </c>
      <c r="G225" s="1946">
        <v>0</v>
      </c>
      <c r="H225" s="1946">
        <v>0</v>
      </c>
      <c r="I225" s="467"/>
      <c r="J225" s="1946">
        <v>0</v>
      </c>
      <c r="K225" s="1946">
        <v>0</v>
      </c>
    </row>
    <row r="226" spans="1:11" ht="12.75" customHeight="1" x14ac:dyDescent="0.2">
      <c r="A226" s="486" t="s">
        <v>352</v>
      </c>
      <c r="B226" s="485">
        <v>4853</v>
      </c>
      <c r="C226" s="1949">
        <v>0</v>
      </c>
      <c r="D226" s="1946">
        <v>0</v>
      </c>
      <c r="E226" s="1946">
        <v>0</v>
      </c>
      <c r="F226" s="1946">
        <v>0</v>
      </c>
      <c r="G226" s="1946">
        <v>0</v>
      </c>
      <c r="H226" s="1946">
        <v>0</v>
      </c>
      <c r="I226" s="467"/>
      <c r="J226" s="1946">
        <v>0</v>
      </c>
      <c r="K226" s="1946">
        <v>0</v>
      </c>
    </row>
    <row r="227" spans="1:11" ht="12.75" customHeight="1" x14ac:dyDescent="0.2">
      <c r="A227" s="486" t="s">
        <v>353</v>
      </c>
      <c r="B227" s="485">
        <v>4854</v>
      </c>
      <c r="C227" s="1949">
        <v>0</v>
      </c>
      <c r="D227" s="1946">
        <v>0</v>
      </c>
      <c r="E227" s="1946">
        <v>0</v>
      </c>
      <c r="F227" s="1946">
        <v>0</v>
      </c>
      <c r="G227" s="1946">
        <v>0</v>
      </c>
      <c r="H227" s="1946">
        <v>0</v>
      </c>
      <c r="I227" s="467"/>
      <c r="J227" s="1946">
        <v>0</v>
      </c>
      <c r="K227" s="1946">
        <v>0</v>
      </c>
    </row>
    <row r="228" spans="1:11" ht="12.75" customHeight="1" x14ac:dyDescent="0.2">
      <c r="A228" s="486" t="s">
        <v>463</v>
      </c>
      <c r="B228" s="485">
        <v>4855</v>
      </c>
      <c r="C228" s="1949">
        <v>0</v>
      </c>
      <c r="D228" s="1946">
        <v>0</v>
      </c>
      <c r="E228" s="1946">
        <v>0</v>
      </c>
      <c r="F228" s="1946">
        <v>0</v>
      </c>
      <c r="G228" s="1946">
        <v>0</v>
      </c>
      <c r="H228" s="1946">
        <v>0</v>
      </c>
      <c r="I228" s="467"/>
      <c r="J228" s="1946">
        <v>0</v>
      </c>
      <c r="K228" s="1946">
        <v>0</v>
      </c>
    </row>
    <row r="229" spans="1:11" ht="12.75" customHeight="1" x14ac:dyDescent="0.2">
      <c r="A229" s="486" t="s">
        <v>354</v>
      </c>
      <c r="B229" s="485">
        <v>4856</v>
      </c>
      <c r="C229" s="1949">
        <v>0</v>
      </c>
      <c r="D229" s="1946">
        <v>0</v>
      </c>
      <c r="E229" s="1946">
        <v>0</v>
      </c>
      <c r="F229" s="1946">
        <v>0</v>
      </c>
      <c r="G229" s="1946">
        <v>0</v>
      </c>
      <c r="H229" s="1946">
        <v>0</v>
      </c>
      <c r="I229" s="467"/>
      <c r="J229" s="1946">
        <v>0</v>
      </c>
      <c r="K229" s="1946">
        <v>0</v>
      </c>
    </row>
    <row r="230" spans="1:11" ht="12.75" customHeight="1" x14ac:dyDescent="0.2">
      <c r="A230" s="486" t="s">
        <v>355</v>
      </c>
      <c r="B230" s="485">
        <v>4857</v>
      </c>
      <c r="C230" s="1949">
        <v>0</v>
      </c>
      <c r="D230" s="1946">
        <v>0</v>
      </c>
      <c r="E230" s="1946">
        <v>0</v>
      </c>
      <c r="F230" s="1946">
        <v>0</v>
      </c>
      <c r="G230" s="1946">
        <v>0</v>
      </c>
      <c r="H230" s="1946">
        <v>0</v>
      </c>
      <c r="I230" s="467"/>
      <c r="J230" s="1946">
        <v>0</v>
      </c>
      <c r="K230" s="1946">
        <v>0</v>
      </c>
    </row>
    <row r="231" spans="1:11" ht="12.75" customHeight="1" x14ac:dyDescent="0.2">
      <c r="A231" s="486" t="s">
        <v>356</v>
      </c>
      <c r="B231" s="485">
        <v>4860</v>
      </c>
      <c r="C231" s="1949">
        <v>0</v>
      </c>
      <c r="D231" s="1946">
        <v>0</v>
      </c>
      <c r="E231" s="1946">
        <v>0</v>
      </c>
      <c r="F231" s="1946">
        <v>0</v>
      </c>
      <c r="G231" s="1946">
        <v>0</v>
      </c>
      <c r="H231" s="1946">
        <v>0</v>
      </c>
      <c r="I231" s="467"/>
      <c r="J231" s="1946">
        <v>0</v>
      </c>
      <c r="K231" s="1946">
        <v>0</v>
      </c>
    </row>
    <row r="232" spans="1:11" ht="12.75" customHeight="1" x14ac:dyDescent="0.2">
      <c r="A232" s="486" t="s">
        <v>357</v>
      </c>
      <c r="B232" s="485">
        <v>4861</v>
      </c>
      <c r="C232" s="1949">
        <v>0</v>
      </c>
      <c r="D232" s="1946">
        <v>0</v>
      </c>
      <c r="E232" s="1946">
        <v>0</v>
      </c>
      <c r="F232" s="1946">
        <v>0</v>
      </c>
      <c r="G232" s="1946">
        <v>0</v>
      </c>
      <c r="H232" s="1946">
        <v>0</v>
      </c>
      <c r="I232" s="467"/>
      <c r="J232" s="1946">
        <v>0</v>
      </c>
      <c r="K232" s="1946">
        <v>0</v>
      </c>
    </row>
    <row r="233" spans="1:11" ht="12.75" customHeight="1" x14ac:dyDescent="0.2">
      <c r="A233" s="486" t="s">
        <v>358</v>
      </c>
      <c r="B233" s="485">
        <v>4862</v>
      </c>
      <c r="C233" s="1949">
        <v>0</v>
      </c>
      <c r="D233" s="1946">
        <v>0</v>
      </c>
      <c r="E233" s="472"/>
      <c r="F233" s="1946">
        <v>0</v>
      </c>
      <c r="G233" s="1946">
        <v>0</v>
      </c>
      <c r="H233" s="472"/>
      <c r="I233" s="467"/>
      <c r="J233" s="472"/>
      <c r="K233" s="472"/>
    </row>
    <row r="234" spans="1:11" ht="12.75" customHeight="1" x14ac:dyDescent="0.2">
      <c r="A234" s="486" t="s">
        <v>359</v>
      </c>
      <c r="B234" s="485">
        <v>4863</v>
      </c>
      <c r="C234" s="1949">
        <v>0</v>
      </c>
      <c r="D234" s="1946">
        <v>0</v>
      </c>
      <c r="E234" s="467"/>
      <c r="F234" s="472"/>
      <c r="G234" s="519"/>
      <c r="H234" s="467"/>
      <c r="I234" s="467"/>
      <c r="J234" s="467"/>
      <c r="K234" s="467"/>
    </row>
    <row r="235" spans="1:11" ht="12.75" customHeight="1" x14ac:dyDescent="0.2">
      <c r="A235" s="486" t="s">
        <v>468</v>
      </c>
      <c r="B235" s="485">
        <v>4864</v>
      </c>
      <c r="C235" s="1949">
        <v>0</v>
      </c>
      <c r="D235" s="1946">
        <v>0</v>
      </c>
      <c r="E235" s="1946">
        <v>0</v>
      </c>
      <c r="F235" s="1946">
        <v>0</v>
      </c>
      <c r="G235" s="1946">
        <v>0</v>
      </c>
      <c r="H235" s="1946">
        <v>0</v>
      </c>
      <c r="I235" s="467"/>
      <c r="J235" s="1946">
        <v>0</v>
      </c>
      <c r="K235" s="1946">
        <v>0</v>
      </c>
    </row>
    <row r="236" spans="1:11" ht="12.75" customHeight="1" x14ac:dyDescent="0.2">
      <c r="A236" s="486" t="s">
        <v>469</v>
      </c>
      <c r="B236" s="485">
        <v>4865</v>
      </c>
      <c r="C236" s="1949">
        <v>0</v>
      </c>
      <c r="D236" s="1946">
        <v>0</v>
      </c>
      <c r="E236" s="1946">
        <v>0</v>
      </c>
      <c r="F236" s="1946">
        <v>0</v>
      </c>
      <c r="G236" s="1946">
        <v>0</v>
      </c>
      <c r="H236" s="1946">
        <v>0</v>
      </c>
      <c r="I236" s="467"/>
      <c r="J236" s="1946">
        <v>0</v>
      </c>
      <c r="K236" s="1946">
        <v>0</v>
      </c>
    </row>
    <row r="237" spans="1:11" ht="12.75" customHeight="1" x14ac:dyDescent="0.2">
      <c r="A237" s="486" t="s">
        <v>467</v>
      </c>
      <c r="B237" s="485">
        <v>4866</v>
      </c>
      <c r="C237" s="1949">
        <v>0</v>
      </c>
      <c r="D237" s="1946">
        <v>0</v>
      </c>
      <c r="E237" s="1946">
        <v>0</v>
      </c>
      <c r="F237" s="1946">
        <v>0</v>
      </c>
      <c r="G237" s="1946">
        <v>0</v>
      </c>
      <c r="H237" s="1946">
        <v>0</v>
      </c>
      <c r="I237" s="467"/>
      <c r="J237" s="1946">
        <v>0</v>
      </c>
      <c r="K237" s="1946">
        <v>0</v>
      </c>
    </row>
    <row r="238" spans="1:11" ht="12.75" customHeight="1" x14ac:dyDescent="0.2">
      <c r="A238" s="486" t="s">
        <v>466</v>
      </c>
      <c r="B238" s="485">
        <v>4867</v>
      </c>
      <c r="C238" s="1949">
        <v>0</v>
      </c>
      <c r="D238" s="1946">
        <v>0</v>
      </c>
      <c r="E238" s="1946">
        <v>0</v>
      </c>
      <c r="F238" s="1946">
        <v>0</v>
      </c>
      <c r="G238" s="1946">
        <v>0</v>
      </c>
      <c r="H238" s="1946">
        <v>0</v>
      </c>
      <c r="I238" s="467"/>
      <c r="J238" s="1946">
        <v>0</v>
      </c>
      <c r="K238" s="1946">
        <v>0</v>
      </c>
    </row>
    <row r="239" spans="1:11" ht="12.75" customHeight="1" x14ac:dyDescent="0.2">
      <c r="A239" s="486" t="s">
        <v>465</v>
      </c>
      <c r="B239" s="485">
        <v>4868</v>
      </c>
      <c r="C239" s="1949">
        <v>0</v>
      </c>
      <c r="D239" s="1946">
        <v>0</v>
      </c>
      <c r="E239" s="1946">
        <v>0</v>
      </c>
      <c r="F239" s="1946">
        <v>0</v>
      </c>
      <c r="G239" s="1946">
        <v>0</v>
      </c>
      <c r="H239" s="1946">
        <v>0</v>
      </c>
      <c r="I239" s="467"/>
      <c r="J239" s="1946">
        <v>0</v>
      </c>
      <c r="K239" s="1946">
        <v>0</v>
      </c>
    </row>
    <row r="240" spans="1:11" ht="12.75" customHeight="1" x14ac:dyDescent="0.2">
      <c r="A240" s="486" t="s">
        <v>464</v>
      </c>
      <c r="B240" s="485">
        <v>4869</v>
      </c>
      <c r="C240" s="1949">
        <v>0</v>
      </c>
      <c r="D240" s="1946">
        <v>0</v>
      </c>
      <c r="E240" s="1946">
        <v>0</v>
      </c>
      <c r="F240" s="1946">
        <v>0</v>
      </c>
      <c r="G240" s="1946">
        <v>0</v>
      </c>
      <c r="H240" s="1946">
        <v>0</v>
      </c>
      <c r="I240" s="467"/>
      <c r="J240" s="1946">
        <v>0</v>
      </c>
      <c r="K240" s="1946">
        <v>0</v>
      </c>
    </row>
    <row r="241" spans="1:11" ht="12.75" customHeight="1" x14ac:dyDescent="0.2">
      <c r="A241" s="486" t="s">
        <v>1127</v>
      </c>
      <c r="B241" s="485">
        <v>4870</v>
      </c>
      <c r="C241" s="1949">
        <v>0</v>
      </c>
      <c r="D241" s="1946">
        <v>0</v>
      </c>
      <c r="E241" s="1946">
        <v>0</v>
      </c>
      <c r="F241" s="1946">
        <v>0</v>
      </c>
      <c r="G241" s="1946">
        <v>0</v>
      </c>
      <c r="H241" s="1946">
        <v>0</v>
      </c>
      <c r="I241" s="467"/>
      <c r="J241" s="1946">
        <v>0</v>
      </c>
      <c r="K241" s="1946">
        <v>0</v>
      </c>
    </row>
    <row r="242" spans="1:11" ht="12.75" customHeight="1" x14ac:dyDescent="0.2">
      <c r="A242" s="486" t="s">
        <v>787</v>
      </c>
      <c r="B242" s="485">
        <v>4871</v>
      </c>
      <c r="C242" s="1949">
        <v>0</v>
      </c>
      <c r="D242" s="1946">
        <v>0</v>
      </c>
      <c r="E242" s="1946">
        <v>0</v>
      </c>
      <c r="F242" s="1946">
        <v>0</v>
      </c>
      <c r="G242" s="1946">
        <v>0</v>
      </c>
      <c r="H242" s="1946">
        <v>0</v>
      </c>
      <c r="I242" s="467"/>
      <c r="J242" s="1946">
        <v>0</v>
      </c>
      <c r="K242" s="1946">
        <v>0</v>
      </c>
    </row>
    <row r="243" spans="1:11" ht="12.75" customHeight="1" x14ac:dyDescent="0.2">
      <c r="A243" s="486" t="s">
        <v>788</v>
      </c>
      <c r="B243" s="485">
        <v>4872</v>
      </c>
      <c r="C243" s="1949">
        <v>0</v>
      </c>
      <c r="D243" s="1946">
        <v>0</v>
      </c>
      <c r="E243" s="1946">
        <v>0</v>
      </c>
      <c r="F243" s="1946">
        <v>0</v>
      </c>
      <c r="G243" s="1946">
        <v>0</v>
      </c>
      <c r="H243" s="1946">
        <v>0</v>
      </c>
      <c r="I243" s="467"/>
      <c r="J243" s="1946">
        <v>0</v>
      </c>
      <c r="K243" s="1946">
        <v>0</v>
      </c>
    </row>
    <row r="244" spans="1:11" ht="12.75" customHeight="1" x14ac:dyDescent="0.2">
      <c r="A244" s="486" t="s">
        <v>789</v>
      </c>
      <c r="B244" s="485">
        <v>4873</v>
      </c>
      <c r="C244" s="1949">
        <v>0</v>
      </c>
      <c r="D244" s="1946">
        <v>0</v>
      </c>
      <c r="E244" s="1946">
        <v>0</v>
      </c>
      <c r="F244" s="1946">
        <v>0</v>
      </c>
      <c r="G244" s="1946">
        <v>0</v>
      </c>
      <c r="H244" s="1946">
        <v>0</v>
      </c>
      <c r="I244" s="467"/>
      <c r="J244" s="1946">
        <v>0</v>
      </c>
      <c r="K244" s="1946">
        <v>0</v>
      </c>
    </row>
    <row r="245" spans="1:11" ht="12.75" customHeight="1" x14ac:dyDescent="0.2">
      <c r="A245" s="486" t="s">
        <v>790</v>
      </c>
      <c r="B245" s="485">
        <v>4874</v>
      </c>
      <c r="C245" s="1949">
        <v>0</v>
      </c>
      <c r="D245" s="1946">
        <v>0</v>
      </c>
      <c r="E245" s="1946">
        <v>0</v>
      </c>
      <c r="F245" s="1946">
        <v>0</v>
      </c>
      <c r="G245" s="1946">
        <v>0</v>
      </c>
      <c r="H245" s="1946">
        <v>0</v>
      </c>
      <c r="I245" s="467"/>
      <c r="J245" s="1946">
        <v>0</v>
      </c>
      <c r="K245" s="1946">
        <v>0</v>
      </c>
    </row>
    <row r="246" spans="1:11" ht="12.75" customHeight="1" x14ac:dyDescent="0.2">
      <c r="A246" s="486" t="s">
        <v>470</v>
      </c>
      <c r="B246" s="485">
        <v>4875</v>
      </c>
      <c r="C246" s="1949">
        <v>0</v>
      </c>
      <c r="D246" s="1946">
        <v>0</v>
      </c>
      <c r="E246" s="1946">
        <v>0</v>
      </c>
      <c r="F246" s="1946">
        <v>0</v>
      </c>
      <c r="G246" s="1946">
        <v>0</v>
      </c>
      <c r="H246" s="1946">
        <v>0</v>
      </c>
      <c r="I246" s="467"/>
      <c r="J246" s="1946">
        <v>0</v>
      </c>
      <c r="K246" s="1946">
        <v>0</v>
      </c>
    </row>
    <row r="247" spans="1:11" ht="12.75" customHeight="1" x14ac:dyDescent="0.2">
      <c r="A247" s="486" t="s">
        <v>769</v>
      </c>
      <c r="B247" s="485">
        <v>4876</v>
      </c>
      <c r="C247" s="1949">
        <v>0</v>
      </c>
      <c r="D247" s="1946">
        <v>0</v>
      </c>
      <c r="E247" s="1946">
        <v>0</v>
      </c>
      <c r="F247" s="1946">
        <v>0</v>
      </c>
      <c r="G247" s="1946">
        <v>0</v>
      </c>
      <c r="H247" s="1946">
        <v>0</v>
      </c>
      <c r="I247" s="467"/>
      <c r="J247" s="1946">
        <v>0</v>
      </c>
      <c r="K247" s="1946">
        <v>0</v>
      </c>
    </row>
    <row r="248" spans="1:11" ht="12.75" customHeight="1" x14ac:dyDescent="0.2">
      <c r="A248" s="486" t="s">
        <v>770</v>
      </c>
      <c r="B248" s="485">
        <v>4877</v>
      </c>
      <c r="C248" s="1949">
        <v>0</v>
      </c>
      <c r="D248" s="1946">
        <v>0</v>
      </c>
      <c r="E248" s="1946">
        <v>0</v>
      </c>
      <c r="F248" s="1946">
        <v>0</v>
      </c>
      <c r="G248" s="1946">
        <v>0</v>
      </c>
      <c r="H248" s="1946">
        <v>0</v>
      </c>
      <c r="I248" s="467"/>
      <c r="J248" s="1946">
        <v>0</v>
      </c>
      <c r="K248" s="1946">
        <v>0</v>
      </c>
    </row>
    <row r="249" spans="1:11" ht="12.75" customHeight="1" x14ac:dyDescent="0.2">
      <c r="A249" s="486" t="s">
        <v>771</v>
      </c>
      <c r="B249" s="485">
        <v>4878</v>
      </c>
      <c r="C249" s="1949">
        <v>0</v>
      </c>
      <c r="D249" s="1946">
        <v>0</v>
      </c>
      <c r="E249" s="1946">
        <v>0</v>
      </c>
      <c r="F249" s="1946">
        <v>0</v>
      </c>
      <c r="G249" s="1946">
        <v>0</v>
      </c>
      <c r="H249" s="1946">
        <v>0</v>
      </c>
      <c r="I249" s="467"/>
      <c r="J249" s="1946">
        <v>0</v>
      </c>
      <c r="K249" s="1946">
        <v>0</v>
      </c>
    </row>
    <row r="250" spans="1:11" ht="12.75" customHeight="1" x14ac:dyDescent="0.2">
      <c r="A250" s="486" t="s">
        <v>772</v>
      </c>
      <c r="B250" s="485">
        <v>4879</v>
      </c>
      <c r="C250" s="1949">
        <v>0</v>
      </c>
      <c r="D250" s="1946">
        <v>0</v>
      </c>
      <c r="E250" s="1946">
        <v>0</v>
      </c>
      <c r="F250" s="1946">
        <v>0</v>
      </c>
      <c r="G250" s="1946">
        <v>0</v>
      </c>
      <c r="H250" s="1946">
        <v>0</v>
      </c>
      <c r="I250" s="467"/>
      <c r="J250" s="1946">
        <v>0</v>
      </c>
      <c r="K250" s="1946">
        <v>0</v>
      </c>
    </row>
    <row r="251" spans="1:11" ht="12.75" customHeight="1" x14ac:dyDescent="0.2">
      <c r="A251" s="225" t="s">
        <v>1454</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773</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1420</v>
      </c>
      <c r="B253" s="568">
        <v>4901</v>
      </c>
      <c r="C253" s="1965">
        <v>0</v>
      </c>
      <c r="D253" s="468"/>
      <c r="E253" s="467"/>
      <c r="F253" s="467"/>
      <c r="G253" s="467"/>
      <c r="H253" s="467"/>
      <c r="I253" s="467"/>
      <c r="J253" s="467"/>
      <c r="K253" s="467"/>
    </row>
    <row r="254" spans="1:11" ht="12.75" customHeight="1" thickTop="1" thickBot="1" x14ac:dyDescent="0.25">
      <c r="A254" s="1476" t="s">
        <v>1462</v>
      </c>
      <c r="B254" s="569">
        <v>4902</v>
      </c>
      <c r="C254" s="1966">
        <v>0</v>
      </c>
      <c r="D254" s="1982">
        <v>0</v>
      </c>
      <c r="E254" s="468"/>
      <c r="F254" s="1982">
        <v>0</v>
      </c>
      <c r="G254" s="1982">
        <v>0</v>
      </c>
      <c r="H254" s="468"/>
      <c r="I254" s="467"/>
      <c r="J254" s="468"/>
      <c r="K254" s="468"/>
    </row>
    <row r="255" spans="1:11" ht="12.75" customHeight="1" thickTop="1" thickBot="1" x14ac:dyDescent="0.25">
      <c r="A255" s="463" t="s">
        <v>1455</v>
      </c>
      <c r="B255" s="469">
        <v>4905</v>
      </c>
      <c r="C255" s="1955">
        <v>0</v>
      </c>
      <c r="D255" s="467"/>
      <c r="E255" s="467"/>
      <c r="F255" s="1981">
        <v>0</v>
      </c>
      <c r="G255" s="1978">
        <v>0</v>
      </c>
      <c r="H255" s="467"/>
      <c r="I255" s="467"/>
      <c r="J255" s="467"/>
      <c r="K255" s="467"/>
    </row>
    <row r="256" spans="1:11" ht="12.75" customHeight="1" thickTop="1" thickBot="1" x14ac:dyDescent="0.25">
      <c r="A256" s="463" t="s">
        <v>1456</v>
      </c>
      <c r="B256" s="469">
        <v>4909</v>
      </c>
      <c r="C256" s="1957">
        <v>0</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420</v>
      </c>
      <c r="B258" s="469">
        <v>4930</v>
      </c>
      <c r="C258" s="1957">
        <v>0</v>
      </c>
      <c r="D258" s="1980">
        <v>0</v>
      </c>
      <c r="E258" s="467"/>
      <c r="F258" s="1980">
        <v>0</v>
      </c>
      <c r="G258" s="1980">
        <v>0</v>
      </c>
      <c r="H258" s="467"/>
      <c r="I258" s="467"/>
      <c r="J258" s="467"/>
      <c r="K258" s="467"/>
    </row>
    <row r="259" spans="1:11" ht="12.75" customHeight="1" thickTop="1" thickBot="1" x14ac:dyDescent="0.25">
      <c r="A259" s="463" t="s">
        <v>757</v>
      </c>
      <c r="B259" s="469">
        <v>4932</v>
      </c>
      <c r="C259" s="1957">
        <v>30664</v>
      </c>
      <c r="D259" s="1980">
        <v>0</v>
      </c>
      <c r="E259" s="467"/>
      <c r="F259" s="1980">
        <v>0</v>
      </c>
      <c r="G259" s="1980">
        <v>0</v>
      </c>
      <c r="H259" s="467"/>
      <c r="I259" s="467"/>
      <c r="J259" s="467"/>
      <c r="K259" s="467"/>
    </row>
    <row r="260" spans="1:11" ht="12.75" customHeight="1" thickTop="1" thickBot="1" x14ac:dyDescent="0.25">
      <c r="A260" s="463" t="s">
        <v>889</v>
      </c>
      <c r="B260" s="469">
        <v>4960</v>
      </c>
      <c r="C260" s="1956">
        <v>0</v>
      </c>
      <c r="D260" s="1980">
        <v>0</v>
      </c>
      <c r="E260" s="467"/>
      <c r="F260" s="1980">
        <v>0</v>
      </c>
      <c r="G260" s="1980">
        <v>0</v>
      </c>
      <c r="H260" s="467"/>
      <c r="I260" s="467"/>
      <c r="J260" s="467"/>
      <c r="K260" s="467"/>
    </row>
    <row r="261" spans="1:11" ht="12.75" customHeight="1" thickTop="1" thickBot="1" x14ac:dyDescent="0.25">
      <c r="A261" s="1903" t="s">
        <v>1934</v>
      </c>
      <c r="B261" s="469">
        <v>4981</v>
      </c>
      <c r="C261" s="1986">
        <v>0</v>
      </c>
      <c r="D261" s="1987">
        <v>0</v>
      </c>
      <c r="E261" s="467"/>
      <c r="F261" s="1987">
        <v>0</v>
      </c>
      <c r="G261" s="1987">
        <v>0</v>
      </c>
      <c r="H261" s="467"/>
      <c r="I261" s="467"/>
      <c r="J261" s="467"/>
      <c r="K261" s="467"/>
    </row>
    <row r="262" spans="1:11" ht="12.75" customHeight="1" thickTop="1" thickBot="1" x14ac:dyDescent="0.25">
      <c r="A262" s="1904" t="s">
        <v>1935</v>
      </c>
      <c r="B262" s="469">
        <v>4982</v>
      </c>
      <c r="C262" s="1986">
        <v>0</v>
      </c>
      <c r="D262" s="1987">
        <v>0</v>
      </c>
      <c r="E262" s="467"/>
      <c r="F262" s="1987">
        <v>0</v>
      </c>
      <c r="G262" s="1987">
        <v>0</v>
      </c>
      <c r="H262" s="467"/>
      <c r="I262" s="467"/>
      <c r="J262" s="467"/>
      <c r="K262" s="467"/>
    </row>
    <row r="263" spans="1:11" ht="12.75" customHeight="1" thickTop="1" thickBot="1" x14ac:dyDescent="0.25">
      <c r="A263" s="463" t="s">
        <v>567</v>
      </c>
      <c r="B263" s="469">
        <v>4991</v>
      </c>
      <c r="C263" s="1979">
        <v>21386</v>
      </c>
      <c r="D263" s="1980">
        <v>0</v>
      </c>
      <c r="E263" s="467"/>
      <c r="F263" s="1980">
        <v>0</v>
      </c>
      <c r="G263" s="1980">
        <v>0</v>
      </c>
      <c r="H263" s="467"/>
      <c r="I263" s="467"/>
      <c r="J263" s="467"/>
      <c r="K263" s="467"/>
    </row>
    <row r="264" spans="1:11" ht="12.75" customHeight="1" thickTop="1" thickBot="1" x14ac:dyDescent="0.25">
      <c r="A264" s="463" t="s">
        <v>376</v>
      </c>
      <c r="B264" s="469">
        <v>4992</v>
      </c>
      <c r="C264" s="1979">
        <v>55497</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1665</v>
      </c>
      <c r="B266" s="1700"/>
      <c r="C266" s="1688">
        <f t="shared" ref="C266:H266" si="10">SUM(C188,C198,C204,C209,C217,C221,C222,C252:C265)</f>
        <v>964192</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1085</v>
      </c>
      <c r="B267" s="1702" t="s">
        <v>859</v>
      </c>
      <c r="C267" s="1688">
        <f>SUM(C175,C181,C266)</f>
        <v>964192</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21100906</v>
      </c>
      <c r="D268" s="1688">
        <f t="shared" si="12"/>
        <v>2488287</v>
      </c>
      <c r="E268" s="1688">
        <f t="shared" si="12"/>
        <v>3035415</v>
      </c>
      <c r="F268" s="1688">
        <f t="shared" si="12"/>
        <v>1583614</v>
      </c>
      <c r="G268" s="1688">
        <f t="shared" si="12"/>
        <v>794378</v>
      </c>
      <c r="H268" s="1688">
        <f t="shared" si="12"/>
        <v>472</v>
      </c>
      <c r="I268" s="1688">
        <f t="shared" si="12"/>
        <v>0</v>
      </c>
      <c r="J268" s="1688">
        <f t="shared" si="12"/>
        <v>0</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51" activePane="bottomLeft" state="frozen"/>
      <selection activeCell="AF22" sqref="AF22"/>
      <selection pane="bottomLeft" activeCell="E376" sqref="E376"/>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9" t="s">
        <v>1799</v>
      </c>
      <c r="B1" s="579"/>
      <c r="C1" s="580" t="s">
        <v>774</v>
      </c>
      <c r="D1" s="580" t="s">
        <v>1077</v>
      </c>
      <c r="E1" s="580" t="s">
        <v>1078</v>
      </c>
      <c r="F1" s="580" t="s">
        <v>1079</v>
      </c>
      <c r="G1" s="580" t="s">
        <v>1080</v>
      </c>
      <c r="H1" s="580" t="s">
        <v>1081</v>
      </c>
      <c r="I1" s="580" t="s">
        <v>1082</v>
      </c>
      <c r="J1" s="580" t="s">
        <v>1083</v>
      </c>
      <c r="K1" s="580" t="s">
        <v>252</v>
      </c>
      <c r="L1" s="581"/>
    </row>
    <row r="2" spans="1:14" s="585" customFormat="1" ht="28.5" customHeight="1" x14ac:dyDescent="0.2">
      <c r="A2" s="2231"/>
      <c r="B2" s="582" t="s">
        <v>45</v>
      </c>
      <c r="C2" s="583" t="s">
        <v>194</v>
      </c>
      <c r="D2" s="584" t="s">
        <v>49</v>
      </c>
      <c r="E2" s="584" t="s">
        <v>1099</v>
      </c>
      <c r="F2" s="584" t="s">
        <v>1093</v>
      </c>
      <c r="G2" s="583" t="s">
        <v>1094</v>
      </c>
      <c r="H2" s="583" t="s">
        <v>1095</v>
      </c>
      <c r="I2" s="584" t="s">
        <v>290</v>
      </c>
      <c r="J2" s="584" t="s">
        <v>291</v>
      </c>
      <c r="K2" s="583" t="s">
        <v>156</v>
      </c>
      <c r="L2" s="583" t="s">
        <v>30</v>
      </c>
      <c r="M2" s="257"/>
      <c r="N2" s="257"/>
    </row>
    <row r="3" spans="1:14" s="343" customFormat="1" ht="16.7" customHeight="1" x14ac:dyDescent="0.2">
      <c r="A3" s="2237" t="s">
        <v>296</v>
      </c>
      <c r="B3" s="2238"/>
      <c r="C3" s="1521"/>
      <c r="D3" s="1521"/>
      <c r="E3" s="1521"/>
      <c r="F3" s="1521"/>
      <c r="G3" s="1521"/>
      <c r="H3" s="1521"/>
      <c r="I3" s="1521"/>
      <c r="J3" s="1521"/>
      <c r="K3" s="1522"/>
      <c r="L3" s="1523"/>
      <c r="M3" s="586"/>
      <c r="N3" s="586"/>
    </row>
    <row r="4" spans="1:14" s="259" customFormat="1" ht="15.75" customHeight="1" x14ac:dyDescent="0.2">
      <c r="A4" s="1579" t="s">
        <v>44</v>
      </c>
      <c r="B4" s="1580" t="s">
        <v>569</v>
      </c>
      <c r="C4" s="587"/>
      <c r="D4" s="587"/>
      <c r="E4" s="587"/>
      <c r="F4" s="587"/>
      <c r="G4" s="587"/>
      <c r="H4" s="587"/>
      <c r="I4" s="588"/>
      <c r="J4" s="587"/>
      <c r="K4" s="589"/>
      <c r="L4" s="587"/>
      <c r="M4" s="590"/>
      <c r="N4" s="590"/>
    </row>
    <row r="5" spans="1:14" x14ac:dyDescent="0.2">
      <c r="A5" s="1477" t="s">
        <v>960</v>
      </c>
      <c r="B5" s="591">
        <v>1100</v>
      </c>
      <c r="C5" s="1967">
        <v>5866527</v>
      </c>
      <c r="D5" s="1967">
        <v>1754300</v>
      </c>
      <c r="E5" s="1967">
        <v>13682</v>
      </c>
      <c r="F5" s="1967">
        <v>201039</v>
      </c>
      <c r="G5" s="1967">
        <v>0</v>
      </c>
      <c r="H5" s="1967">
        <v>0</v>
      </c>
      <c r="I5" s="1968">
        <v>0</v>
      </c>
      <c r="J5" s="1968">
        <v>0</v>
      </c>
      <c r="K5" s="1644">
        <f>SUM(C5:J5)</f>
        <v>7835548</v>
      </c>
      <c r="L5" s="1989">
        <v>7946049</v>
      </c>
    </row>
    <row r="6" spans="1:14" x14ac:dyDescent="0.2">
      <c r="A6" s="1477" t="s">
        <v>1432</v>
      </c>
      <c r="B6" s="591" t="s">
        <v>1430</v>
      </c>
      <c r="C6" s="473"/>
      <c r="D6" s="473"/>
      <c r="E6" s="1967">
        <v>0</v>
      </c>
      <c r="F6" s="473"/>
      <c r="G6" s="473"/>
      <c r="H6" s="473"/>
      <c r="I6" s="473"/>
      <c r="J6" s="473"/>
      <c r="K6" s="1644">
        <f>SUM(C6,E6)</f>
        <v>0</v>
      </c>
      <c r="L6" s="1989">
        <v>0</v>
      </c>
    </row>
    <row r="7" spans="1:14" x14ac:dyDescent="0.2">
      <c r="A7" s="1477" t="s">
        <v>163</v>
      </c>
      <c r="B7" s="591" t="s">
        <v>966</v>
      </c>
      <c r="C7" s="1968">
        <v>311067</v>
      </c>
      <c r="D7" s="1968">
        <v>66759</v>
      </c>
      <c r="E7" s="1968">
        <v>2463</v>
      </c>
      <c r="F7" s="1968">
        <v>5681</v>
      </c>
      <c r="G7" s="1968">
        <v>0</v>
      </c>
      <c r="H7" s="1968">
        <v>0</v>
      </c>
      <c r="I7" s="1968">
        <v>0</v>
      </c>
      <c r="J7" s="1968">
        <v>0</v>
      </c>
      <c r="K7" s="1644">
        <f t="shared" ref="K7:K32" si="0">SUM(C7:J7)</f>
        <v>385970</v>
      </c>
      <c r="L7" s="1989">
        <v>409740</v>
      </c>
    </row>
    <row r="8" spans="1:14" x14ac:dyDescent="0.2">
      <c r="A8" s="1477" t="s">
        <v>164</v>
      </c>
      <c r="B8" s="591">
        <v>1200</v>
      </c>
      <c r="C8" s="1967">
        <v>1792963</v>
      </c>
      <c r="D8" s="1967">
        <v>388911</v>
      </c>
      <c r="E8" s="1967">
        <v>5810</v>
      </c>
      <c r="F8" s="1967">
        <v>0</v>
      </c>
      <c r="G8" s="1967">
        <v>0</v>
      </c>
      <c r="H8" s="1967">
        <v>0</v>
      </c>
      <c r="I8" s="1968">
        <v>0</v>
      </c>
      <c r="J8" s="1968">
        <v>0</v>
      </c>
      <c r="K8" s="1644">
        <f t="shared" si="0"/>
        <v>2187684</v>
      </c>
      <c r="L8" s="1989">
        <v>2362121</v>
      </c>
    </row>
    <row r="9" spans="1:14" x14ac:dyDescent="0.2">
      <c r="A9" s="1477" t="s">
        <v>720</v>
      </c>
      <c r="B9" s="591" t="s">
        <v>967</v>
      </c>
      <c r="C9" s="1968">
        <v>63466</v>
      </c>
      <c r="D9" s="1968">
        <v>15544</v>
      </c>
      <c r="E9" s="1968">
        <v>0</v>
      </c>
      <c r="F9" s="1968">
        <v>1171</v>
      </c>
      <c r="G9" s="1990">
        <v>0</v>
      </c>
      <c r="H9" s="1968">
        <v>0</v>
      </c>
      <c r="I9" s="1968">
        <v>0</v>
      </c>
      <c r="J9" s="1968">
        <v>0</v>
      </c>
      <c r="K9" s="1644">
        <f t="shared" si="0"/>
        <v>80181</v>
      </c>
      <c r="L9" s="1989">
        <v>80585</v>
      </c>
    </row>
    <row r="10" spans="1:14" x14ac:dyDescent="0.2">
      <c r="A10" s="1477" t="s">
        <v>721</v>
      </c>
      <c r="B10" s="591">
        <v>1250</v>
      </c>
      <c r="C10" s="1967">
        <v>354533</v>
      </c>
      <c r="D10" s="1967">
        <v>92932</v>
      </c>
      <c r="E10" s="1967">
        <v>6134</v>
      </c>
      <c r="F10" s="1967">
        <v>1193</v>
      </c>
      <c r="G10" s="1967">
        <v>0</v>
      </c>
      <c r="H10" s="1967">
        <v>0</v>
      </c>
      <c r="I10" s="1968">
        <v>0</v>
      </c>
      <c r="J10" s="1968">
        <v>0</v>
      </c>
      <c r="K10" s="1644">
        <f t="shared" si="0"/>
        <v>454792</v>
      </c>
      <c r="L10" s="1989">
        <v>412785</v>
      </c>
    </row>
    <row r="11" spans="1:14" x14ac:dyDescent="0.2">
      <c r="A11" s="1477" t="s">
        <v>1129</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961</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722</v>
      </c>
      <c r="B13" s="591">
        <v>1400</v>
      </c>
      <c r="C13" s="1967">
        <v>315638</v>
      </c>
      <c r="D13" s="1967">
        <v>81925</v>
      </c>
      <c r="E13" s="1967">
        <v>31504</v>
      </c>
      <c r="F13" s="1967">
        <v>52026</v>
      </c>
      <c r="G13" s="1967">
        <v>16057</v>
      </c>
      <c r="H13" s="1967">
        <v>1100</v>
      </c>
      <c r="I13" s="1968">
        <v>0</v>
      </c>
      <c r="J13" s="1968">
        <v>0</v>
      </c>
      <c r="K13" s="1644">
        <f t="shared" si="0"/>
        <v>498250</v>
      </c>
      <c r="L13" s="1989">
        <v>471828</v>
      </c>
    </row>
    <row r="14" spans="1:14" x14ac:dyDescent="0.2">
      <c r="A14" s="1477" t="s">
        <v>962</v>
      </c>
      <c r="B14" s="591">
        <v>1500</v>
      </c>
      <c r="C14" s="1967">
        <v>466209</v>
      </c>
      <c r="D14" s="1967">
        <v>42848</v>
      </c>
      <c r="E14" s="1967">
        <v>101862</v>
      </c>
      <c r="F14" s="1967">
        <v>25600</v>
      </c>
      <c r="G14" s="1967">
        <v>0</v>
      </c>
      <c r="H14" s="1967">
        <v>37271</v>
      </c>
      <c r="I14" s="1968">
        <v>0</v>
      </c>
      <c r="J14" s="1968">
        <v>0</v>
      </c>
      <c r="K14" s="1644">
        <f t="shared" si="0"/>
        <v>673790</v>
      </c>
      <c r="L14" s="1989">
        <v>681790</v>
      </c>
    </row>
    <row r="15" spans="1:14" x14ac:dyDescent="0.2">
      <c r="A15" s="1477" t="s">
        <v>963</v>
      </c>
      <c r="B15" s="591">
        <v>1600</v>
      </c>
      <c r="C15" s="1967">
        <v>0</v>
      </c>
      <c r="D15" s="1967">
        <v>0</v>
      </c>
      <c r="E15" s="1967">
        <v>0</v>
      </c>
      <c r="F15" s="1967">
        <v>0</v>
      </c>
      <c r="G15" s="1967">
        <v>0</v>
      </c>
      <c r="H15" s="1967">
        <v>0</v>
      </c>
      <c r="I15" s="1968">
        <v>0</v>
      </c>
      <c r="J15" s="1968">
        <v>0</v>
      </c>
      <c r="K15" s="1644">
        <f t="shared" si="0"/>
        <v>0</v>
      </c>
      <c r="L15" s="1989">
        <v>0</v>
      </c>
    </row>
    <row r="16" spans="1:14" x14ac:dyDescent="0.2">
      <c r="A16" s="1477" t="s">
        <v>986</v>
      </c>
      <c r="B16" s="591" t="s">
        <v>423</v>
      </c>
      <c r="C16" s="1967">
        <v>51335</v>
      </c>
      <c r="D16" s="1967">
        <v>16953</v>
      </c>
      <c r="E16" s="1967">
        <v>0</v>
      </c>
      <c r="F16" s="1967">
        <v>7287</v>
      </c>
      <c r="G16" s="1967">
        <v>0</v>
      </c>
      <c r="H16" s="1967">
        <v>0</v>
      </c>
      <c r="I16" s="1968">
        <v>0</v>
      </c>
      <c r="J16" s="1968">
        <v>0</v>
      </c>
      <c r="K16" s="1644">
        <f t="shared" si="0"/>
        <v>75575</v>
      </c>
      <c r="L16" s="1989">
        <v>69329</v>
      </c>
    </row>
    <row r="17" spans="1:12" x14ac:dyDescent="0.2">
      <c r="A17" s="1477" t="s">
        <v>723</v>
      </c>
      <c r="B17" s="591" t="s">
        <v>162</v>
      </c>
      <c r="C17" s="1968">
        <v>103366</v>
      </c>
      <c r="D17" s="1968">
        <v>27806</v>
      </c>
      <c r="E17" s="1968">
        <v>0</v>
      </c>
      <c r="F17" s="1968">
        <v>2122</v>
      </c>
      <c r="G17" s="1968">
        <v>0</v>
      </c>
      <c r="H17" s="1968">
        <v>0</v>
      </c>
      <c r="I17" s="1968">
        <v>0</v>
      </c>
      <c r="J17" s="1968">
        <v>0</v>
      </c>
      <c r="K17" s="1644">
        <f t="shared" si="0"/>
        <v>133294</v>
      </c>
      <c r="L17" s="1989">
        <v>159626</v>
      </c>
    </row>
    <row r="18" spans="1:12" x14ac:dyDescent="0.2">
      <c r="A18" s="1477" t="s">
        <v>1086</v>
      </c>
      <c r="B18" s="591">
        <v>1800</v>
      </c>
      <c r="C18" s="1967">
        <v>94909</v>
      </c>
      <c r="D18" s="1967">
        <v>32967</v>
      </c>
      <c r="E18" s="1967">
        <v>3334</v>
      </c>
      <c r="F18" s="1967">
        <v>0</v>
      </c>
      <c r="G18" s="1967">
        <v>0</v>
      </c>
      <c r="H18" s="1967">
        <v>0</v>
      </c>
      <c r="I18" s="1968">
        <v>0</v>
      </c>
      <c r="J18" s="1968">
        <v>0</v>
      </c>
      <c r="K18" s="1644">
        <f t="shared" si="0"/>
        <v>131210</v>
      </c>
      <c r="L18" s="1989">
        <v>129787</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737</v>
      </c>
      <c r="B20" s="579" t="s">
        <v>724</v>
      </c>
      <c r="C20" s="473"/>
      <c r="D20" s="473"/>
      <c r="E20" s="473"/>
      <c r="F20" s="473"/>
      <c r="G20" s="473"/>
      <c r="H20" s="1970">
        <v>0</v>
      </c>
      <c r="I20" s="593"/>
      <c r="J20" s="472"/>
      <c r="K20" s="1644">
        <f t="shared" si="0"/>
        <v>0</v>
      </c>
      <c r="L20" s="1991">
        <v>0</v>
      </c>
    </row>
    <row r="21" spans="1:12" x14ac:dyDescent="0.2">
      <c r="A21" s="1478" t="s">
        <v>738</v>
      </c>
      <c r="B21" s="579" t="s">
        <v>725</v>
      </c>
      <c r="C21" s="473"/>
      <c r="D21" s="473"/>
      <c r="E21" s="473"/>
      <c r="F21" s="473"/>
      <c r="G21" s="473"/>
      <c r="H21" s="1970">
        <v>0</v>
      </c>
      <c r="I21" s="593"/>
      <c r="J21" s="473"/>
      <c r="K21" s="1644">
        <f t="shared" si="0"/>
        <v>0</v>
      </c>
      <c r="L21" s="1991">
        <v>0</v>
      </c>
    </row>
    <row r="22" spans="1:12" x14ac:dyDescent="0.2">
      <c r="A22" s="1478" t="s">
        <v>739</v>
      </c>
      <c r="B22" s="579" t="s">
        <v>726</v>
      </c>
      <c r="C22" s="473"/>
      <c r="D22" s="473"/>
      <c r="E22" s="473"/>
      <c r="F22" s="473"/>
      <c r="G22" s="473"/>
      <c r="H22" s="1970">
        <v>396477</v>
      </c>
      <c r="I22" s="593"/>
      <c r="J22" s="473"/>
      <c r="K22" s="1644">
        <f t="shared" si="0"/>
        <v>396477</v>
      </c>
      <c r="L22" s="1991">
        <v>225000</v>
      </c>
    </row>
    <row r="23" spans="1:12" x14ac:dyDescent="0.2">
      <c r="A23" s="1478" t="s">
        <v>740</v>
      </c>
      <c r="B23" s="579" t="s">
        <v>727</v>
      </c>
      <c r="C23" s="473"/>
      <c r="D23" s="473"/>
      <c r="E23" s="473"/>
      <c r="F23" s="473"/>
      <c r="G23" s="473"/>
      <c r="H23" s="1970">
        <v>0</v>
      </c>
      <c r="I23" s="593"/>
      <c r="J23" s="473"/>
      <c r="K23" s="1644">
        <f t="shared" si="0"/>
        <v>0</v>
      </c>
      <c r="L23" s="1991">
        <v>0</v>
      </c>
    </row>
    <row r="24" spans="1:12" ht="12.75" customHeight="1" x14ac:dyDescent="0.2">
      <c r="A24" s="1478" t="s">
        <v>741</v>
      </c>
      <c r="B24" s="579" t="s">
        <v>728</v>
      </c>
      <c r="C24" s="473"/>
      <c r="D24" s="473"/>
      <c r="E24" s="473"/>
      <c r="F24" s="473"/>
      <c r="G24" s="473"/>
      <c r="H24" s="1970">
        <v>0</v>
      </c>
      <c r="I24" s="593"/>
      <c r="J24" s="473"/>
      <c r="K24" s="1644">
        <f t="shared" si="0"/>
        <v>0</v>
      </c>
      <c r="L24" s="1991">
        <v>0</v>
      </c>
    </row>
    <row r="25" spans="1:12" ht="12.75" customHeight="1" x14ac:dyDescent="0.2">
      <c r="A25" s="1478" t="s">
        <v>801</v>
      </c>
      <c r="B25" s="579" t="s">
        <v>729</v>
      </c>
      <c r="C25" s="473"/>
      <c r="D25" s="473"/>
      <c r="E25" s="473"/>
      <c r="F25" s="473"/>
      <c r="G25" s="473"/>
      <c r="H25" s="1970">
        <v>0</v>
      </c>
      <c r="I25" s="593"/>
      <c r="J25" s="473"/>
      <c r="K25" s="1644">
        <f t="shared" si="0"/>
        <v>0</v>
      </c>
      <c r="L25" s="1991">
        <v>0</v>
      </c>
    </row>
    <row r="26" spans="1:12" x14ac:dyDescent="0.2">
      <c r="A26" s="1478" t="s">
        <v>621</v>
      </c>
      <c r="B26" s="579" t="s">
        <v>730</v>
      </c>
      <c r="C26" s="473"/>
      <c r="D26" s="473"/>
      <c r="E26" s="473"/>
      <c r="F26" s="473"/>
      <c r="G26" s="473"/>
      <c r="H26" s="1970">
        <v>0</v>
      </c>
      <c r="I26" s="593"/>
      <c r="J26" s="473"/>
      <c r="K26" s="1644">
        <f t="shared" si="0"/>
        <v>0</v>
      </c>
      <c r="L26" s="1991">
        <v>0</v>
      </c>
    </row>
    <row r="27" spans="1:12" x14ac:dyDescent="0.2">
      <c r="A27" s="1478" t="s">
        <v>622</v>
      </c>
      <c r="B27" s="579" t="s">
        <v>731</v>
      </c>
      <c r="C27" s="473"/>
      <c r="D27" s="473"/>
      <c r="E27" s="473"/>
      <c r="F27" s="473"/>
      <c r="G27" s="473"/>
      <c r="H27" s="1970">
        <v>0</v>
      </c>
      <c r="I27" s="593"/>
      <c r="J27" s="473"/>
      <c r="K27" s="1644">
        <f t="shared" si="0"/>
        <v>0</v>
      </c>
      <c r="L27" s="1991">
        <v>0</v>
      </c>
    </row>
    <row r="28" spans="1:12" x14ac:dyDescent="0.2">
      <c r="A28" s="1478" t="s">
        <v>150</v>
      </c>
      <c r="B28" s="579" t="s">
        <v>732</v>
      </c>
      <c r="C28" s="473"/>
      <c r="D28" s="473"/>
      <c r="E28" s="473"/>
      <c r="F28" s="473"/>
      <c r="G28" s="473"/>
      <c r="H28" s="1970">
        <v>0</v>
      </c>
      <c r="I28" s="593"/>
      <c r="J28" s="473"/>
      <c r="K28" s="1644">
        <f t="shared" si="0"/>
        <v>0</v>
      </c>
      <c r="L28" s="1991">
        <v>0</v>
      </c>
    </row>
    <row r="29" spans="1:12" x14ac:dyDescent="0.2">
      <c r="A29" s="1478" t="s">
        <v>151</v>
      </c>
      <c r="B29" s="579" t="s">
        <v>733</v>
      </c>
      <c r="C29" s="473"/>
      <c r="D29" s="473"/>
      <c r="E29" s="473"/>
      <c r="F29" s="473"/>
      <c r="G29" s="473"/>
      <c r="H29" s="1970">
        <v>0</v>
      </c>
      <c r="I29" s="593"/>
      <c r="J29" s="473"/>
      <c r="K29" s="1644">
        <f t="shared" si="0"/>
        <v>0</v>
      </c>
      <c r="L29" s="1991">
        <v>0</v>
      </c>
    </row>
    <row r="30" spans="1:12" x14ac:dyDescent="0.2">
      <c r="A30" s="1478" t="s">
        <v>152</v>
      </c>
      <c r="B30" s="579" t="s">
        <v>734</v>
      </c>
      <c r="C30" s="473"/>
      <c r="D30" s="473"/>
      <c r="E30" s="473"/>
      <c r="F30" s="473"/>
      <c r="G30" s="473"/>
      <c r="H30" s="1970">
        <v>0</v>
      </c>
      <c r="I30" s="593"/>
      <c r="J30" s="473"/>
      <c r="K30" s="1644">
        <f t="shared" si="0"/>
        <v>0</v>
      </c>
      <c r="L30" s="1991">
        <v>0</v>
      </c>
    </row>
    <row r="31" spans="1:12" x14ac:dyDescent="0.2">
      <c r="A31" s="1478" t="s">
        <v>153</v>
      </c>
      <c r="B31" s="579" t="s">
        <v>735</v>
      </c>
      <c r="C31" s="473"/>
      <c r="D31" s="473"/>
      <c r="E31" s="473"/>
      <c r="F31" s="473"/>
      <c r="G31" s="473"/>
      <c r="H31" s="1970">
        <v>0</v>
      </c>
      <c r="I31" s="593"/>
      <c r="J31" s="473"/>
      <c r="K31" s="1644">
        <f t="shared" si="0"/>
        <v>0</v>
      </c>
      <c r="L31" s="1991">
        <v>0</v>
      </c>
    </row>
    <row r="32" spans="1:12" x14ac:dyDescent="0.2">
      <c r="A32" s="1479" t="s">
        <v>1128</v>
      </c>
      <c r="B32" s="591" t="s">
        <v>736</v>
      </c>
      <c r="C32" s="473"/>
      <c r="D32" s="473"/>
      <c r="E32" s="473"/>
      <c r="F32" s="473"/>
      <c r="G32" s="473"/>
      <c r="H32" s="1970">
        <v>0</v>
      </c>
      <c r="I32" s="593"/>
      <c r="J32" s="476"/>
      <c r="K32" s="1644">
        <f t="shared" si="0"/>
        <v>0</v>
      </c>
      <c r="L32" s="1991">
        <v>0</v>
      </c>
    </row>
    <row r="33" spans="1:14" ht="12.75" customHeight="1" thickBot="1" x14ac:dyDescent="0.25">
      <c r="A33" s="1641" t="s">
        <v>1667</v>
      </c>
      <c r="B33" s="1642" t="s">
        <v>569</v>
      </c>
      <c r="C33" s="1643">
        <f>SUM(C5:C32)</f>
        <v>9420013</v>
      </c>
      <c r="D33" s="1643">
        <f t="shared" ref="D33:L33" si="1">SUM(D5:D32)</f>
        <v>2520945</v>
      </c>
      <c r="E33" s="1643">
        <f t="shared" si="1"/>
        <v>164789</v>
      </c>
      <c r="F33" s="1643">
        <f t="shared" si="1"/>
        <v>296119</v>
      </c>
      <c r="G33" s="1643">
        <f t="shared" si="1"/>
        <v>16057</v>
      </c>
      <c r="H33" s="1643">
        <f t="shared" si="1"/>
        <v>434848</v>
      </c>
      <c r="I33" s="1643">
        <f t="shared" si="1"/>
        <v>0</v>
      </c>
      <c r="J33" s="1643">
        <f t="shared" si="1"/>
        <v>0</v>
      </c>
      <c r="K33" s="1643">
        <f t="shared" si="1"/>
        <v>12852771</v>
      </c>
      <c r="L33" s="1643">
        <f t="shared" si="1"/>
        <v>12948640</v>
      </c>
    </row>
    <row r="34" spans="1:14" s="597" customFormat="1" ht="15.75" customHeight="1" thickTop="1" x14ac:dyDescent="0.2">
      <c r="A34" s="1581" t="s">
        <v>46</v>
      </c>
      <c r="B34" s="1582" t="s">
        <v>568</v>
      </c>
      <c r="C34" s="595"/>
      <c r="D34" s="595"/>
      <c r="E34" s="595"/>
      <c r="F34" s="595"/>
      <c r="G34" s="595"/>
      <c r="H34" s="595"/>
      <c r="I34" s="593"/>
      <c r="J34" s="593"/>
      <c r="K34" s="593"/>
      <c r="L34" s="593"/>
      <c r="M34" s="596"/>
      <c r="N34" s="596"/>
    </row>
    <row r="35" spans="1:14" s="597" customFormat="1" ht="15.75" customHeight="1" x14ac:dyDescent="0.2">
      <c r="A35" s="598" t="s">
        <v>590</v>
      </c>
      <c r="B35" s="599"/>
      <c r="C35" s="600"/>
      <c r="D35" s="600"/>
      <c r="E35" s="600"/>
      <c r="F35" s="600"/>
      <c r="G35" s="600"/>
      <c r="H35" s="600"/>
      <c r="I35" s="593"/>
      <c r="J35" s="593"/>
      <c r="K35" s="593"/>
      <c r="L35" s="593"/>
      <c r="M35" s="596"/>
      <c r="N35" s="596"/>
    </row>
    <row r="36" spans="1:14" x14ac:dyDescent="0.2">
      <c r="A36" s="1477" t="s">
        <v>1088</v>
      </c>
      <c r="B36" s="591">
        <v>2110</v>
      </c>
      <c r="C36" s="477">
        <v>359223</v>
      </c>
      <c r="D36" s="477">
        <v>107814</v>
      </c>
      <c r="E36" s="477">
        <v>0</v>
      </c>
      <c r="F36" s="477">
        <v>0</v>
      </c>
      <c r="G36" s="477">
        <v>0</v>
      </c>
      <c r="H36" s="477">
        <v>0</v>
      </c>
      <c r="I36" s="1968">
        <v>0</v>
      </c>
      <c r="J36" s="1968">
        <v>0</v>
      </c>
      <c r="K36" s="1644">
        <f t="shared" ref="K36:K41" si="2">SUM(C36:J36)</f>
        <v>467037</v>
      </c>
      <c r="L36" s="1989">
        <v>466088</v>
      </c>
    </row>
    <row r="37" spans="1:14" x14ac:dyDescent="0.2">
      <c r="A37" s="1477" t="s">
        <v>1089</v>
      </c>
      <c r="B37" s="591">
        <v>2120</v>
      </c>
      <c r="C37" s="1967">
        <v>185999</v>
      </c>
      <c r="D37" s="1967">
        <v>51297</v>
      </c>
      <c r="E37" s="1967">
        <v>113</v>
      </c>
      <c r="F37" s="1967">
        <v>878</v>
      </c>
      <c r="G37" s="1967">
        <v>0</v>
      </c>
      <c r="H37" s="1967">
        <v>0</v>
      </c>
      <c r="I37" s="1968">
        <v>0</v>
      </c>
      <c r="J37" s="1968">
        <v>0</v>
      </c>
      <c r="K37" s="1644">
        <f t="shared" si="2"/>
        <v>238287</v>
      </c>
      <c r="L37" s="1989">
        <v>233569</v>
      </c>
    </row>
    <row r="38" spans="1:14" x14ac:dyDescent="0.2">
      <c r="A38" s="1477" t="s">
        <v>198</v>
      </c>
      <c r="B38" s="591">
        <v>2130</v>
      </c>
      <c r="C38" s="1967">
        <v>108191</v>
      </c>
      <c r="D38" s="1967">
        <v>38942</v>
      </c>
      <c r="E38" s="1967">
        <v>8383</v>
      </c>
      <c r="F38" s="1967">
        <v>3433</v>
      </c>
      <c r="G38" s="1967">
        <v>0</v>
      </c>
      <c r="H38" s="1967">
        <v>0</v>
      </c>
      <c r="I38" s="1968">
        <v>0</v>
      </c>
      <c r="J38" s="1968">
        <v>0</v>
      </c>
      <c r="K38" s="1644">
        <f t="shared" si="2"/>
        <v>158949</v>
      </c>
      <c r="L38" s="1989">
        <v>164781</v>
      </c>
    </row>
    <row r="39" spans="1:14" x14ac:dyDescent="0.2">
      <c r="A39" s="1477" t="s">
        <v>199</v>
      </c>
      <c r="B39" s="591">
        <v>2140</v>
      </c>
      <c r="C39" s="1967">
        <v>132973</v>
      </c>
      <c r="D39" s="1967">
        <v>37844</v>
      </c>
      <c r="E39" s="1967">
        <v>0</v>
      </c>
      <c r="F39" s="1967">
        <v>0</v>
      </c>
      <c r="G39" s="1967">
        <v>0</v>
      </c>
      <c r="H39" s="1967">
        <v>0</v>
      </c>
      <c r="I39" s="1968">
        <v>0</v>
      </c>
      <c r="J39" s="1968">
        <v>0</v>
      </c>
      <c r="K39" s="1644">
        <f t="shared" si="2"/>
        <v>170817</v>
      </c>
      <c r="L39" s="1989">
        <v>177618</v>
      </c>
    </row>
    <row r="40" spans="1:14" x14ac:dyDescent="0.2">
      <c r="A40" s="1477" t="s">
        <v>200</v>
      </c>
      <c r="B40" s="591">
        <v>2150</v>
      </c>
      <c r="C40" s="1967">
        <v>336361</v>
      </c>
      <c r="D40" s="1967">
        <v>94920</v>
      </c>
      <c r="E40" s="1967">
        <v>2490</v>
      </c>
      <c r="F40" s="1967">
        <v>2822</v>
      </c>
      <c r="G40" s="1967">
        <v>0</v>
      </c>
      <c r="H40" s="1967">
        <v>0</v>
      </c>
      <c r="I40" s="1968">
        <v>0</v>
      </c>
      <c r="J40" s="1968">
        <v>0</v>
      </c>
      <c r="K40" s="1644">
        <f t="shared" si="2"/>
        <v>436593</v>
      </c>
      <c r="L40" s="1989">
        <v>421770</v>
      </c>
    </row>
    <row r="41" spans="1:14" x14ac:dyDescent="0.2">
      <c r="A41" s="1477" t="s">
        <v>1668</v>
      </c>
      <c r="B41" s="591">
        <v>2190</v>
      </c>
      <c r="C41" s="1967">
        <v>408228</v>
      </c>
      <c r="D41" s="1967">
        <v>53514</v>
      </c>
      <c r="E41" s="1967">
        <v>5081</v>
      </c>
      <c r="F41" s="1967">
        <v>4780</v>
      </c>
      <c r="G41" s="1967">
        <v>0</v>
      </c>
      <c r="H41" s="1967">
        <v>0</v>
      </c>
      <c r="I41" s="1968">
        <v>0</v>
      </c>
      <c r="J41" s="1968">
        <v>0</v>
      </c>
      <c r="K41" s="1644">
        <f t="shared" si="2"/>
        <v>471603</v>
      </c>
      <c r="L41" s="1989">
        <v>472854</v>
      </c>
    </row>
    <row r="42" spans="1:14" ht="12.75" customHeight="1" thickBot="1" x14ac:dyDescent="0.25">
      <c r="A42" s="1641" t="s">
        <v>559</v>
      </c>
      <c r="B42" s="1642" t="s">
        <v>715</v>
      </c>
      <c r="C42" s="1643">
        <f>SUM(C36:C41)</f>
        <v>1530975</v>
      </c>
      <c r="D42" s="1643">
        <f t="shared" ref="D42:L42" si="3">SUM(D36:D41)</f>
        <v>384331</v>
      </c>
      <c r="E42" s="1643">
        <f t="shared" si="3"/>
        <v>16067</v>
      </c>
      <c r="F42" s="1643">
        <f t="shared" si="3"/>
        <v>11913</v>
      </c>
      <c r="G42" s="1643">
        <f t="shared" si="3"/>
        <v>0</v>
      </c>
      <c r="H42" s="1643">
        <f t="shared" si="3"/>
        <v>0</v>
      </c>
      <c r="I42" s="1643">
        <f t="shared" si="3"/>
        <v>0</v>
      </c>
      <c r="J42" s="1643">
        <f t="shared" si="3"/>
        <v>0</v>
      </c>
      <c r="K42" s="1643">
        <f t="shared" si="3"/>
        <v>1943286</v>
      </c>
      <c r="L42" s="1643">
        <f t="shared" si="3"/>
        <v>1936680</v>
      </c>
    </row>
    <row r="43" spans="1:14" ht="15.75" customHeight="1" thickTop="1" x14ac:dyDescent="0.2">
      <c r="A43" s="601" t="s">
        <v>591</v>
      </c>
      <c r="B43" s="602"/>
      <c r="C43" s="603"/>
      <c r="D43" s="603"/>
      <c r="E43" s="603"/>
      <c r="F43" s="603"/>
      <c r="G43" s="603"/>
      <c r="H43" s="603"/>
      <c r="I43" s="593"/>
      <c r="J43" s="593"/>
      <c r="K43" s="603"/>
      <c r="L43" s="603"/>
    </row>
    <row r="44" spans="1:14" x14ac:dyDescent="0.2">
      <c r="A44" s="1477" t="s">
        <v>813</v>
      </c>
      <c r="B44" s="591">
        <v>2210</v>
      </c>
      <c r="C44" s="477">
        <v>177161</v>
      </c>
      <c r="D44" s="477">
        <v>75425</v>
      </c>
      <c r="E44" s="477">
        <v>45221</v>
      </c>
      <c r="F44" s="477">
        <v>2422</v>
      </c>
      <c r="G44" s="477">
        <v>0</v>
      </c>
      <c r="H44" s="477">
        <v>0</v>
      </c>
      <c r="I44" s="1968">
        <v>0</v>
      </c>
      <c r="J44" s="1968">
        <v>0</v>
      </c>
      <c r="K44" s="1645">
        <f>SUM(C44:J44)</f>
        <v>300229</v>
      </c>
      <c r="L44" s="477">
        <v>361085</v>
      </c>
    </row>
    <row r="45" spans="1:14" x14ac:dyDescent="0.2">
      <c r="A45" s="1477" t="s">
        <v>814</v>
      </c>
      <c r="B45" s="591">
        <v>2220</v>
      </c>
      <c r="C45" s="1967">
        <v>196127</v>
      </c>
      <c r="D45" s="1967">
        <v>47925</v>
      </c>
      <c r="E45" s="1967">
        <v>200</v>
      </c>
      <c r="F45" s="1967">
        <v>9716</v>
      </c>
      <c r="G45" s="1967">
        <v>0</v>
      </c>
      <c r="H45" s="1967">
        <v>0</v>
      </c>
      <c r="I45" s="1968">
        <v>0</v>
      </c>
      <c r="J45" s="1968">
        <v>0</v>
      </c>
      <c r="K45" s="1645">
        <f>SUM(C45:J45)</f>
        <v>253968</v>
      </c>
      <c r="L45" s="1989">
        <v>345795</v>
      </c>
    </row>
    <row r="46" spans="1:14" x14ac:dyDescent="0.2">
      <c r="A46" s="1477" t="s">
        <v>815</v>
      </c>
      <c r="B46" s="591">
        <v>2230</v>
      </c>
      <c r="C46" s="1967">
        <v>0</v>
      </c>
      <c r="D46" s="1967">
        <v>0</v>
      </c>
      <c r="E46" s="1967">
        <v>50698</v>
      </c>
      <c r="F46" s="1967">
        <v>11637</v>
      </c>
      <c r="G46" s="1967">
        <v>0</v>
      </c>
      <c r="H46" s="1967">
        <v>0</v>
      </c>
      <c r="I46" s="1968">
        <v>0</v>
      </c>
      <c r="J46" s="1968">
        <v>0</v>
      </c>
      <c r="K46" s="1645">
        <f>SUM(C46:J46)</f>
        <v>62335</v>
      </c>
      <c r="L46" s="1989">
        <v>52000</v>
      </c>
    </row>
    <row r="47" spans="1:14" ht="12.75" customHeight="1" thickBot="1" x14ac:dyDescent="0.25">
      <c r="A47" s="1641" t="s">
        <v>560</v>
      </c>
      <c r="B47" s="1642" t="s">
        <v>32</v>
      </c>
      <c r="C47" s="1643">
        <f>SUM(C44:C46)</f>
        <v>373288</v>
      </c>
      <c r="D47" s="1643">
        <f t="shared" ref="D47:K47" si="4">SUM(D44:D46)</f>
        <v>123350</v>
      </c>
      <c r="E47" s="1643">
        <f t="shared" si="4"/>
        <v>96119</v>
      </c>
      <c r="F47" s="1643">
        <f t="shared" si="4"/>
        <v>23775</v>
      </c>
      <c r="G47" s="1643">
        <f t="shared" si="4"/>
        <v>0</v>
      </c>
      <c r="H47" s="1643">
        <f t="shared" si="4"/>
        <v>0</v>
      </c>
      <c r="I47" s="1643">
        <f t="shared" si="4"/>
        <v>0</v>
      </c>
      <c r="J47" s="1643">
        <f t="shared" si="4"/>
        <v>0</v>
      </c>
      <c r="K47" s="1643">
        <f t="shared" si="4"/>
        <v>616532</v>
      </c>
      <c r="L47" s="1643">
        <f>SUM(L44:L46)</f>
        <v>758880</v>
      </c>
    </row>
    <row r="48" spans="1:14" ht="15.75" customHeight="1" thickTop="1" x14ac:dyDescent="0.2">
      <c r="A48" s="601" t="s">
        <v>609</v>
      </c>
      <c r="B48" s="602"/>
      <c r="C48" s="603"/>
      <c r="D48" s="603"/>
      <c r="E48" s="603"/>
      <c r="F48" s="603"/>
      <c r="G48" s="603"/>
      <c r="H48" s="603"/>
      <c r="I48" s="593"/>
      <c r="J48" s="593"/>
      <c r="K48" s="603"/>
      <c r="L48" s="603"/>
    </row>
    <row r="49" spans="1:14" x14ac:dyDescent="0.2">
      <c r="A49" s="1477" t="s">
        <v>816</v>
      </c>
      <c r="B49" s="591">
        <v>2310</v>
      </c>
      <c r="C49" s="477">
        <v>0</v>
      </c>
      <c r="D49" s="477">
        <v>0</v>
      </c>
      <c r="E49" s="477">
        <v>336021</v>
      </c>
      <c r="F49" s="477">
        <v>33445</v>
      </c>
      <c r="G49" s="477">
        <v>0</v>
      </c>
      <c r="H49" s="477">
        <v>20301</v>
      </c>
      <c r="I49" s="1968">
        <v>0</v>
      </c>
      <c r="J49" s="1968">
        <v>0</v>
      </c>
      <c r="K49" s="1645">
        <f>SUM(C49:J49)</f>
        <v>389767</v>
      </c>
      <c r="L49" s="477">
        <v>410741</v>
      </c>
    </row>
    <row r="50" spans="1:14" x14ac:dyDescent="0.2">
      <c r="A50" s="1477" t="s">
        <v>817</v>
      </c>
      <c r="B50" s="591">
        <v>2320</v>
      </c>
      <c r="C50" s="1967">
        <v>242407</v>
      </c>
      <c r="D50" s="1967">
        <v>44986</v>
      </c>
      <c r="E50" s="1967">
        <v>4216</v>
      </c>
      <c r="F50" s="1967">
        <v>370</v>
      </c>
      <c r="G50" s="1967">
        <v>0</v>
      </c>
      <c r="H50" s="1967">
        <v>267</v>
      </c>
      <c r="I50" s="1968">
        <v>0</v>
      </c>
      <c r="J50" s="1968">
        <v>0</v>
      </c>
      <c r="K50" s="1645">
        <f>SUM(C50:J50)</f>
        <v>292246</v>
      </c>
      <c r="L50" s="1989">
        <v>291552</v>
      </c>
    </row>
    <row r="51" spans="1:14" x14ac:dyDescent="0.2">
      <c r="A51" s="1477" t="s">
        <v>42</v>
      </c>
      <c r="B51" s="591">
        <v>2330</v>
      </c>
      <c r="C51" s="1967">
        <v>0</v>
      </c>
      <c r="D51" s="1967">
        <v>0</v>
      </c>
      <c r="E51" s="1967">
        <v>0</v>
      </c>
      <c r="F51" s="1967">
        <v>0</v>
      </c>
      <c r="G51" s="1967">
        <v>0</v>
      </c>
      <c r="H51" s="1967">
        <v>0</v>
      </c>
      <c r="I51" s="1968">
        <v>0</v>
      </c>
      <c r="J51" s="1968">
        <v>0</v>
      </c>
      <c r="K51" s="1645">
        <f>SUM(C51:J51)</f>
        <v>0</v>
      </c>
      <c r="L51" s="1989">
        <v>0</v>
      </c>
    </row>
    <row r="52" spans="1:14" ht="22.5" x14ac:dyDescent="0.2">
      <c r="A52" s="1478" t="s">
        <v>297</v>
      </c>
      <c r="B52" s="604" t="s">
        <v>365</v>
      </c>
      <c r="C52" s="1970">
        <v>0</v>
      </c>
      <c r="D52" s="1970">
        <v>0</v>
      </c>
      <c r="E52" s="1970">
        <v>0</v>
      </c>
      <c r="F52" s="1970">
        <v>0</v>
      </c>
      <c r="G52" s="1970">
        <v>0</v>
      </c>
      <c r="H52" s="1970">
        <v>0</v>
      </c>
      <c r="I52" s="1970">
        <v>0</v>
      </c>
      <c r="J52" s="1970">
        <v>0</v>
      </c>
      <c r="K52" s="1645">
        <f>SUM(C52:J52)</f>
        <v>0</v>
      </c>
      <c r="L52" s="1992">
        <v>0</v>
      </c>
    </row>
    <row r="53" spans="1:14" ht="12.75" customHeight="1" thickBot="1" x14ac:dyDescent="0.25">
      <c r="A53" s="1641" t="s">
        <v>716</v>
      </c>
      <c r="B53" s="1642" t="s">
        <v>33</v>
      </c>
      <c r="C53" s="1643">
        <f>SUM(C49:C52)</f>
        <v>242407</v>
      </c>
      <c r="D53" s="1643">
        <f t="shared" ref="D53:L53" si="5">SUM(D49:D52)</f>
        <v>44986</v>
      </c>
      <c r="E53" s="1643">
        <f t="shared" si="5"/>
        <v>340237</v>
      </c>
      <c r="F53" s="1643">
        <f t="shared" si="5"/>
        <v>33815</v>
      </c>
      <c r="G53" s="1643">
        <f t="shared" si="5"/>
        <v>0</v>
      </c>
      <c r="H53" s="1643">
        <f t="shared" si="5"/>
        <v>20568</v>
      </c>
      <c r="I53" s="1643">
        <f t="shared" si="5"/>
        <v>0</v>
      </c>
      <c r="J53" s="1643">
        <f t="shared" si="5"/>
        <v>0</v>
      </c>
      <c r="K53" s="1643">
        <f t="shared" si="5"/>
        <v>682013</v>
      </c>
      <c r="L53" s="1643">
        <f t="shared" si="5"/>
        <v>702293</v>
      </c>
    </row>
    <row r="54" spans="1:14" ht="15.75" customHeight="1" thickTop="1" x14ac:dyDescent="0.2">
      <c r="A54" s="601" t="s">
        <v>610</v>
      </c>
      <c r="B54" s="602"/>
      <c r="C54" s="603"/>
      <c r="D54" s="603"/>
      <c r="E54" s="603"/>
      <c r="F54" s="603"/>
      <c r="G54" s="603"/>
      <c r="H54" s="603"/>
      <c r="I54" s="593"/>
      <c r="J54" s="593"/>
      <c r="K54" s="603"/>
      <c r="L54" s="603"/>
    </row>
    <row r="55" spans="1:14" x14ac:dyDescent="0.2">
      <c r="A55" s="1477" t="s">
        <v>1066</v>
      </c>
      <c r="B55" s="591">
        <v>2410</v>
      </c>
      <c r="C55" s="477">
        <v>898373</v>
      </c>
      <c r="D55" s="477">
        <v>198619</v>
      </c>
      <c r="E55" s="477">
        <v>13958</v>
      </c>
      <c r="F55" s="477">
        <v>25766</v>
      </c>
      <c r="G55" s="477">
        <v>0</v>
      </c>
      <c r="H55" s="477">
        <v>0</v>
      </c>
      <c r="I55" s="1968">
        <v>0</v>
      </c>
      <c r="J55" s="1968">
        <v>0</v>
      </c>
      <c r="K55" s="1645">
        <f>SUM(C55:J55)</f>
        <v>1136716</v>
      </c>
      <c r="L55" s="477">
        <v>1119196</v>
      </c>
    </row>
    <row r="56" spans="1:14" ht="12.75" customHeight="1" x14ac:dyDescent="0.2">
      <c r="A56" s="1481" t="s">
        <v>375</v>
      </c>
      <c r="B56" s="605">
        <v>2490</v>
      </c>
      <c r="C56" s="1967">
        <v>0</v>
      </c>
      <c r="D56" s="1967">
        <v>0</v>
      </c>
      <c r="E56" s="1967">
        <v>0</v>
      </c>
      <c r="F56" s="1967">
        <v>0</v>
      </c>
      <c r="G56" s="1967">
        <v>0</v>
      </c>
      <c r="H56" s="1967">
        <v>0</v>
      </c>
      <c r="I56" s="1968">
        <v>0</v>
      </c>
      <c r="J56" s="1968">
        <v>0</v>
      </c>
      <c r="K56" s="1645">
        <f>SUM(C56:J56)</f>
        <v>0</v>
      </c>
      <c r="L56" s="1989">
        <v>0</v>
      </c>
    </row>
    <row r="57" spans="1:14" s="343" customFormat="1" ht="12.75" customHeight="1" thickBot="1" x14ac:dyDescent="0.25">
      <c r="A57" s="1641" t="s">
        <v>263</v>
      </c>
      <c r="B57" s="1646" t="s">
        <v>34</v>
      </c>
      <c r="C57" s="1647">
        <f>SUM(C55:C56)</f>
        <v>898373</v>
      </c>
      <c r="D57" s="1647">
        <f t="shared" ref="D57:K57" si="6">SUM(D55:D56)</f>
        <v>198619</v>
      </c>
      <c r="E57" s="1647">
        <f t="shared" si="6"/>
        <v>13958</v>
      </c>
      <c r="F57" s="1647">
        <f t="shared" si="6"/>
        <v>25766</v>
      </c>
      <c r="G57" s="1647">
        <f t="shared" si="6"/>
        <v>0</v>
      </c>
      <c r="H57" s="1647">
        <f t="shared" si="6"/>
        <v>0</v>
      </c>
      <c r="I57" s="1647">
        <f t="shared" si="6"/>
        <v>0</v>
      </c>
      <c r="J57" s="1647">
        <f t="shared" si="6"/>
        <v>0</v>
      </c>
      <c r="K57" s="1647">
        <f t="shared" si="6"/>
        <v>1136716</v>
      </c>
      <c r="L57" s="1643">
        <f>SUM(L55:L56)</f>
        <v>1119196</v>
      </c>
      <c r="M57" s="586"/>
      <c r="N57" s="586"/>
    </row>
    <row r="58" spans="1:14" s="343" customFormat="1" ht="15.75" customHeight="1" thickTop="1" x14ac:dyDescent="0.2">
      <c r="A58" s="601" t="s">
        <v>611</v>
      </c>
      <c r="B58" s="602"/>
      <c r="C58" s="606"/>
      <c r="D58" s="603"/>
      <c r="E58" s="603"/>
      <c r="F58" s="603"/>
      <c r="G58" s="603"/>
      <c r="H58" s="603"/>
      <c r="I58" s="593"/>
      <c r="J58" s="593"/>
      <c r="K58" s="603"/>
      <c r="L58" s="603"/>
      <c r="M58" s="586"/>
      <c r="N58" s="586"/>
    </row>
    <row r="59" spans="1:14" s="343" customFormat="1" x14ac:dyDescent="0.2">
      <c r="A59" s="1477" t="s">
        <v>1067</v>
      </c>
      <c r="B59" s="591">
        <v>2510</v>
      </c>
      <c r="C59" s="477">
        <v>104193</v>
      </c>
      <c r="D59" s="477">
        <v>24071</v>
      </c>
      <c r="E59" s="477">
        <v>1325</v>
      </c>
      <c r="F59" s="477">
        <v>0</v>
      </c>
      <c r="G59" s="477">
        <v>0</v>
      </c>
      <c r="H59" s="477">
        <v>0</v>
      </c>
      <c r="I59" s="1968">
        <v>0</v>
      </c>
      <c r="J59" s="1968">
        <v>0</v>
      </c>
      <c r="K59" s="1645">
        <f t="shared" ref="K59:K64" si="7">SUM(C59:J59)</f>
        <v>129589</v>
      </c>
      <c r="L59" s="477">
        <v>130299</v>
      </c>
      <c r="M59" s="586"/>
      <c r="N59" s="586"/>
    </row>
    <row r="60" spans="1:14" s="343" customFormat="1" x14ac:dyDescent="0.2">
      <c r="A60" s="1477" t="s">
        <v>462</v>
      </c>
      <c r="B60" s="591">
        <v>2520</v>
      </c>
      <c r="C60" s="1967">
        <v>121013</v>
      </c>
      <c r="D60" s="1967">
        <v>24212</v>
      </c>
      <c r="E60" s="1967">
        <v>25519</v>
      </c>
      <c r="F60" s="1967">
        <v>3677</v>
      </c>
      <c r="G60" s="1967">
        <v>0</v>
      </c>
      <c r="H60" s="1967">
        <v>29771</v>
      </c>
      <c r="I60" s="1968">
        <v>0</v>
      </c>
      <c r="J60" s="1968">
        <v>0</v>
      </c>
      <c r="K60" s="1645">
        <f t="shared" si="7"/>
        <v>204192</v>
      </c>
      <c r="L60" s="1989">
        <v>210629</v>
      </c>
      <c r="M60" s="586"/>
      <c r="N60" s="586"/>
    </row>
    <row r="61" spans="1:14" s="343" customFormat="1" x14ac:dyDescent="0.2">
      <c r="A61" s="1477" t="s">
        <v>197</v>
      </c>
      <c r="B61" s="591">
        <v>2540</v>
      </c>
      <c r="C61" s="1967">
        <v>0</v>
      </c>
      <c r="D61" s="1967">
        <v>0</v>
      </c>
      <c r="E61" s="1967">
        <v>1561</v>
      </c>
      <c r="F61" s="1967">
        <v>0</v>
      </c>
      <c r="G61" s="1967">
        <v>0</v>
      </c>
      <c r="H61" s="1967">
        <v>0</v>
      </c>
      <c r="I61" s="1968">
        <v>0</v>
      </c>
      <c r="J61" s="1968">
        <v>0</v>
      </c>
      <c r="K61" s="1645">
        <f t="shared" si="7"/>
        <v>1561</v>
      </c>
      <c r="L61" s="1989">
        <v>1000</v>
      </c>
      <c r="M61" s="586"/>
      <c r="N61" s="586"/>
    </row>
    <row r="62" spans="1:14" s="343" customFormat="1" x14ac:dyDescent="0.2">
      <c r="A62" s="1477" t="s">
        <v>952</v>
      </c>
      <c r="B62" s="591">
        <v>2550</v>
      </c>
      <c r="C62" s="1967">
        <v>0</v>
      </c>
      <c r="D62" s="1967">
        <v>0</v>
      </c>
      <c r="E62" s="1967">
        <v>0</v>
      </c>
      <c r="F62" s="1967">
        <v>0</v>
      </c>
      <c r="G62" s="1967">
        <v>0</v>
      </c>
      <c r="H62" s="1967">
        <v>0</v>
      </c>
      <c r="I62" s="1968">
        <v>0</v>
      </c>
      <c r="J62" s="1968">
        <v>0</v>
      </c>
      <c r="K62" s="1645">
        <f t="shared" si="7"/>
        <v>0</v>
      </c>
      <c r="L62" s="1989">
        <v>0</v>
      </c>
      <c r="M62" s="586"/>
      <c r="N62" s="586"/>
    </row>
    <row r="63" spans="1:14" s="586" customFormat="1" x14ac:dyDescent="0.2">
      <c r="A63" s="1477" t="s">
        <v>100</v>
      </c>
      <c r="B63" s="591">
        <v>2560</v>
      </c>
      <c r="C63" s="1967">
        <v>250292</v>
      </c>
      <c r="D63" s="1967">
        <v>29455</v>
      </c>
      <c r="E63" s="1967">
        <v>6701</v>
      </c>
      <c r="F63" s="1967">
        <v>274002</v>
      </c>
      <c r="G63" s="1967">
        <v>0</v>
      </c>
      <c r="H63" s="1967">
        <v>4178</v>
      </c>
      <c r="I63" s="1968">
        <v>3028</v>
      </c>
      <c r="J63" s="1968">
        <v>0</v>
      </c>
      <c r="K63" s="1645">
        <f t="shared" si="7"/>
        <v>567656</v>
      </c>
      <c r="L63" s="1989">
        <v>637397</v>
      </c>
    </row>
    <row r="64" spans="1:14" s="586" customFormat="1" x14ac:dyDescent="0.2">
      <c r="A64" s="1482" t="s">
        <v>101</v>
      </c>
      <c r="B64" s="607">
        <v>2570</v>
      </c>
      <c r="C64" s="477">
        <v>0</v>
      </c>
      <c r="D64" s="477">
        <v>0</v>
      </c>
      <c r="E64" s="477">
        <v>0</v>
      </c>
      <c r="F64" s="477">
        <v>0</v>
      </c>
      <c r="G64" s="477">
        <v>0</v>
      </c>
      <c r="H64" s="477">
        <v>0</v>
      </c>
      <c r="I64" s="1968">
        <v>0</v>
      </c>
      <c r="J64" s="1968">
        <v>0</v>
      </c>
      <c r="K64" s="1645">
        <f t="shared" si="7"/>
        <v>0</v>
      </c>
      <c r="L64" s="477">
        <v>0</v>
      </c>
    </row>
    <row r="65" spans="1:14" s="343" customFormat="1" ht="12.75" customHeight="1" thickBot="1" x14ac:dyDescent="0.25">
      <c r="A65" s="1641" t="s">
        <v>718</v>
      </c>
      <c r="B65" s="1642" t="s">
        <v>35</v>
      </c>
      <c r="C65" s="1643">
        <f>SUM(C59:C64)</f>
        <v>475498</v>
      </c>
      <c r="D65" s="1643">
        <f t="shared" ref="D65:L65" si="8">SUM(D59:D64)</f>
        <v>77738</v>
      </c>
      <c r="E65" s="1643">
        <f t="shared" si="8"/>
        <v>35106</v>
      </c>
      <c r="F65" s="1643">
        <f t="shared" si="8"/>
        <v>277679</v>
      </c>
      <c r="G65" s="1643">
        <f t="shared" si="8"/>
        <v>0</v>
      </c>
      <c r="H65" s="1643">
        <f t="shared" si="8"/>
        <v>33949</v>
      </c>
      <c r="I65" s="1643">
        <f t="shared" si="8"/>
        <v>3028</v>
      </c>
      <c r="J65" s="1643">
        <f t="shared" si="8"/>
        <v>0</v>
      </c>
      <c r="K65" s="1643">
        <f t="shared" si="8"/>
        <v>902998</v>
      </c>
      <c r="L65" s="1643">
        <f t="shared" si="8"/>
        <v>979325</v>
      </c>
      <c r="M65" s="586"/>
      <c r="N65" s="586"/>
    </row>
    <row r="66" spans="1:14" s="343" customFormat="1" ht="15.75" customHeight="1" thickTop="1" x14ac:dyDescent="0.2">
      <c r="A66" s="601" t="s">
        <v>612</v>
      </c>
      <c r="B66" s="608"/>
      <c r="C66" s="593"/>
      <c r="D66" s="593"/>
      <c r="E66" s="593"/>
      <c r="F66" s="593"/>
      <c r="G66" s="593"/>
      <c r="H66" s="593"/>
      <c r="I66" s="593"/>
      <c r="J66" s="593"/>
      <c r="K66" s="603"/>
      <c r="L66" s="603"/>
      <c r="M66" s="586"/>
      <c r="N66" s="586"/>
    </row>
    <row r="67" spans="1:14" s="343" customFormat="1" x14ac:dyDescent="0.2">
      <c r="A67" s="1477" t="s">
        <v>1059</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606</v>
      </c>
      <c r="B68" s="591">
        <v>2620</v>
      </c>
      <c r="C68" s="1967">
        <v>0</v>
      </c>
      <c r="D68" s="1967">
        <v>0</v>
      </c>
      <c r="E68" s="1967">
        <v>0</v>
      </c>
      <c r="F68" s="1967">
        <v>0</v>
      </c>
      <c r="G68" s="1967">
        <v>0</v>
      </c>
      <c r="H68" s="1967">
        <v>0</v>
      </c>
      <c r="I68" s="1968">
        <v>0</v>
      </c>
      <c r="J68" s="1968">
        <v>0</v>
      </c>
      <c r="K68" s="1645">
        <f>SUM(C68:J68)</f>
        <v>0</v>
      </c>
      <c r="L68" s="1989">
        <v>0</v>
      </c>
      <c r="M68" s="586"/>
      <c r="N68" s="586"/>
    </row>
    <row r="69" spans="1:14" s="343" customFormat="1" x14ac:dyDescent="0.2">
      <c r="A69" s="1477" t="s">
        <v>1060</v>
      </c>
      <c r="B69" s="591">
        <v>2630</v>
      </c>
      <c r="C69" s="1967">
        <v>171302</v>
      </c>
      <c r="D69" s="1967">
        <v>20813</v>
      </c>
      <c r="E69" s="1967">
        <v>431661</v>
      </c>
      <c r="F69" s="1967">
        <v>25898</v>
      </c>
      <c r="G69" s="1967">
        <v>23587</v>
      </c>
      <c r="H69" s="1967">
        <v>300</v>
      </c>
      <c r="I69" s="1968">
        <v>238888</v>
      </c>
      <c r="J69" s="1968">
        <v>0</v>
      </c>
      <c r="K69" s="1645">
        <f>SUM(C69:J69)</f>
        <v>912449</v>
      </c>
      <c r="L69" s="1989">
        <v>918377</v>
      </c>
      <c r="M69" s="586"/>
      <c r="N69" s="586"/>
    </row>
    <row r="70" spans="1:14" s="343" customFormat="1" x14ac:dyDescent="0.2">
      <c r="A70" s="1477" t="s">
        <v>402</v>
      </c>
      <c r="B70" s="591">
        <v>2640</v>
      </c>
      <c r="C70" s="1967">
        <v>61368</v>
      </c>
      <c r="D70" s="1967">
        <v>8667</v>
      </c>
      <c r="E70" s="1967">
        <v>2960</v>
      </c>
      <c r="F70" s="1967">
        <v>0</v>
      </c>
      <c r="G70" s="1967">
        <v>0</v>
      </c>
      <c r="H70" s="1967">
        <v>0</v>
      </c>
      <c r="I70" s="1968">
        <v>0</v>
      </c>
      <c r="J70" s="1968">
        <v>0</v>
      </c>
      <c r="K70" s="1645">
        <f>SUM(C70:J70)</f>
        <v>72995</v>
      </c>
      <c r="L70" s="1989">
        <v>82696</v>
      </c>
      <c r="M70" s="586"/>
      <c r="N70" s="586"/>
    </row>
    <row r="71" spans="1:14" s="343" customFormat="1" x14ac:dyDescent="0.2">
      <c r="A71" s="1477" t="s">
        <v>403</v>
      </c>
      <c r="B71" s="591">
        <v>2660</v>
      </c>
      <c r="C71" s="1967">
        <v>0</v>
      </c>
      <c r="D71" s="1967">
        <v>0</v>
      </c>
      <c r="E71" s="1967">
        <v>0</v>
      </c>
      <c r="F71" s="1967">
        <v>0</v>
      </c>
      <c r="G71" s="1967">
        <v>0</v>
      </c>
      <c r="H71" s="1967">
        <v>0</v>
      </c>
      <c r="I71" s="1968">
        <v>0</v>
      </c>
      <c r="J71" s="1968">
        <v>0</v>
      </c>
      <c r="K71" s="1645">
        <f>SUM(C71:J71)</f>
        <v>0</v>
      </c>
      <c r="L71" s="1989">
        <v>0</v>
      </c>
      <c r="M71" s="586"/>
      <c r="N71" s="586"/>
    </row>
    <row r="72" spans="1:14" s="343" customFormat="1" ht="12.75" customHeight="1" thickBot="1" x14ac:dyDescent="0.25">
      <c r="A72" s="1641" t="s">
        <v>37</v>
      </c>
      <c r="B72" s="1648" t="s">
        <v>36</v>
      </c>
      <c r="C72" s="1643">
        <f>SUM(C67:C71)</f>
        <v>232670</v>
      </c>
      <c r="D72" s="1643">
        <f t="shared" ref="D72:K72" si="9">SUM(D67:D71)</f>
        <v>29480</v>
      </c>
      <c r="E72" s="1643">
        <f t="shared" si="9"/>
        <v>434621</v>
      </c>
      <c r="F72" s="1643">
        <f t="shared" si="9"/>
        <v>25898</v>
      </c>
      <c r="G72" s="1643">
        <f t="shared" si="9"/>
        <v>23587</v>
      </c>
      <c r="H72" s="1643">
        <f t="shared" si="9"/>
        <v>300</v>
      </c>
      <c r="I72" s="1643">
        <f t="shared" si="9"/>
        <v>238888</v>
      </c>
      <c r="J72" s="1643">
        <f t="shared" si="9"/>
        <v>0</v>
      </c>
      <c r="K72" s="1643">
        <f t="shared" si="9"/>
        <v>985444</v>
      </c>
      <c r="L72" s="1643">
        <f>SUM(L67:L71)</f>
        <v>1001073</v>
      </c>
      <c r="M72" s="586"/>
      <c r="N72" s="586"/>
    </row>
    <row r="73" spans="1:14" s="343" customFormat="1" ht="14.25" thickTop="1" thickBot="1" x14ac:dyDescent="0.25">
      <c r="A73" s="1483" t="s">
        <v>979</v>
      </c>
      <c r="B73" s="609" t="s">
        <v>573</v>
      </c>
      <c r="C73" s="1978">
        <v>0</v>
      </c>
      <c r="D73" s="1978">
        <v>0</v>
      </c>
      <c r="E73" s="1978">
        <v>450</v>
      </c>
      <c r="F73" s="1978">
        <v>2433</v>
      </c>
      <c r="G73" s="1978">
        <v>0</v>
      </c>
      <c r="H73" s="1978">
        <v>0</v>
      </c>
      <c r="I73" s="1975">
        <v>0</v>
      </c>
      <c r="J73" s="1975">
        <v>0</v>
      </c>
      <c r="K73" s="1643">
        <f>SUM(C73:J73)</f>
        <v>2883</v>
      </c>
      <c r="L73" s="2002">
        <v>4900</v>
      </c>
      <c r="M73" s="586"/>
      <c r="N73" s="586"/>
    </row>
    <row r="74" spans="1:14" ht="12.75" customHeight="1" thickTop="1" thickBot="1" x14ac:dyDescent="0.25">
      <c r="A74" s="1641" t="s">
        <v>810</v>
      </c>
      <c r="B74" s="1649">
        <v>2000</v>
      </c>
      <c r="C74" s="1650">
        <f>SUM(C42,C47,C53,C57,C65,C72,C73)</f>
        <v>3753211</v>
      </c>
      <c r="D74" s="1650">
        <f t="shared" ref="D74:K74" si="10">SUM(D42,D47,D53,D57,D65,D72,D73)</f>
        <v>858504</v>
      </c>
      <c r="E74" s="1650">
        <f t="shared" si="10"/>
        <v>936558</v>
      </c>
      <c r="F74" s="1650">
        <f t="shared" si="10"/>
        <v>401279</v>
      </c>
      <c r="G74" s="1650">
        <f t="shared" si="10"/>
        <v>23587</v>
      </c>
      <c r="H74" s="1650">
        <f t="shared" si="10"/>
        <v>54817</v>
      </c>
      <c r="I74" s="1650">
        <f t="shared" si="10"/>
        <v>241916</v>
      </c>
      <c r="J74" s="1650">
        <f t="shared" si="10"/>
        <v>0</v>
      </c>
      <c r="K74" s="1650">
        <f t="shared" si="10"/>
        <v>6269872</v>
      </c>
      <c r="L74" s="1650">
        <f>SUM(L42,L47,L53,L57,L65,L72,L73)</f>
        <v>6502347</v>
      </c>
    </row>
    <row r="75" spans="1:14" s="259" customFormat="1" ht="15.75" customHeight="1" thickTop="1" thickBot="1" x14ac:dyDescent="0.25">
      <c r="A75" s="1583" t="s">
        <v>47</v>
      </c>
      <c r="B75" s="1584" t="s">
        <v>574</v>
      </c>
      <c r="C75" s="1978">
        <v>0</v>
      </c>
      <c r="D75" s="1978">
        <v>0</v>
      </c>
      <c r="E75" s="1978">
        <v>2332</v>
      </c>
      <c r="F75" s="1978">
        <v>0</v>
      </c>
      <c r="G75" s="1978">
        <v>0</v>
      </c>
      <c r="H75" s="1978">
        <v>0</v>
      </c>
      <c r="I75" s="1975">
        <v>0</v>
      </c>
      <c r="J75" s="1975">
        <v>0</v>
      </c>
      <c r="K75" s="1643">
        <f>SUM(C75:J75)</f>
        <v>2332</v>
      </c>
      <c r="L75" s="2002">
        <v>3727</v>
      </c>
      <c r="M75" s="590"/>
      <c r="N75" s="590"/>
    </row>
    <row r="76" spans="1:14" s="610" customFormat="1" ht="15.75" customHeight="1" thickTop="1" x14ac:dyDescent="0.2">
      <c r="A76" s="1585" t="s">
        <v>364</v>
      </c>
      <c r="B76" s="1582" t="s">
        <v>859</v>
      </c>
      <c r="C76" s="595"/>
      <c r="D76" s="595"/>
      <c r="E76" s="593"/>
      <c r="F76" s="595"/>
      <c r="G76" s="595"/>
      <c r="H76" s="593"/>
      <c r="I76" s="593"/>
      <c r="J76" s="593"/>
      <c r="K76" s="593"/>
      <c r="L76" s="593"/>
      <c r="M76" s="184"/>
      <c r="N76" s="184"/>
    </row>
    <row r="77" spans="1:14" s="259" customFormat="1" ht="15.75" customHeight="1" x14ac:dyDescent="0.2">
      <c r="A77" s="598" t="s">
        <v>613</v>
      </c>
      <c r="B77" s="599"/>
      <c r="C77" s="593"/>
      <c r="D77" s="593"/>
      <c r="E77" s="600"/>
      <c r="F77" s="593"/>
      <c r="G77" s="593"/>
      <c r="H77" s="600"/>
      <c r="I77" s="593"/>
      <c r="J77" s="593"/>
      <c r="K77" s="600"/>
      <c r="L77" s="600"/>
      <c r="M77" s="590"/>
      <c r="N77" s="590"/>
    </row>
    <row r="78" spans="1:14" x14ac:dyDescent="0.2">
      <c r="A78" s="1477" t="s">
        <v>495</v>
      </c>
      <c r="B78" s="591">
        <v>4110</v>
      </c>
      <c r="C78" s="593"/>
      <c r="D78" s="593"/>
      <c r="E78" s="477">
        <v>0</v>
      </c>
      <c r="F78" s="593"/>
      <c r="G78" s="593"/>
      <c r="H78" s="611">
        <v>0</v>
      </c>
      <c r="I78" s="473"/>
      <c r="J78" s="473"/>
      <c r="K78" s="1644">
        <f t="shared" ref="K78:K83" si="11">SUM(C78:J78)</f>
        <v>0</v>
      </c>
      <c r="L78" s="477">
        <v>35000</v>
      </c>
    </row>
    <row r="79" spans="1:14" x14ac:dyDescent="0.2">
      <c r="A79" s="1477" t="s">
        <v>303</v>
      </c>
      <c r="B79" s="591">
        <v>4120</v>
      </c>
      <c r="C79" s="593"/>
      <c r="D79" s="593"/>
      <c r="E79" s="1967">
        <v>24510</v>
      </c>
      <c r="F79" s="593"/>
      <c r="G79" s="593"/>
      <c r="H79" s="1967">
        <v>3680</v>
      </c>
      <c r="I79" s="473"/>
      <c r="J79" s="473"/>
      <c r="K79" s="1644">
        <f t="shared" si="11"/>
        <v>28190</v>
      </c>
      <c r="L79" s="1989">
        <v>0</v>
      </c>
    </row>
    <row r="80" spans="1:14" x14ac:dyDescent="0.2">
      <c r="A80" s="1477" t="s">
        <v>304</v>
      </c>
      <c r="B80" s="591">
        <v>4130</v>
      </c>
      <c r="C80" s="593"/>
      <c r="D80" s="593"/>
      <c r="E80" s="1967">
        <v>0</v>
      </c>
      <c r="F80" s="593"/>
      <c r="G80" s="593"/>
      <c r="H80" s="1967">
        <v>0</v>
      </c>
      <c r="I80" s="473"/>
      <c r="J80" s="473"/>
      <c r="K80" s="1644">
        <f t="shared" si="11"/>
        <v>0</v>
      </c>
      <c r="L80" s="1989">
        <v>0</v>
      </c>
    </row>
    <row r="81" spans="1:12" x14ac:dyDescent="0.2">
      <c r="A81" s="1477" t="s">
        <v>696</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697</v>
      </c>
      <c r="B83" s="605">
        <v>4190</v>
      </c>
      <c r="C83" s="593"/>
      <c r="D83" s="593"/>
      <c r="E83" s="1967">
        <v>0</v>
      </c>
      <c r="F83" s="593"/>
      <c r="G83" s="593"/>
      <c r="H83" s="1967">
        <v>0</v>
      </c>
      <c r="I83" s="473"/>
      <c r="J83" s="473"/>
      <c r="K83" s="1644">
        <f t="shared" si="11"/>
        <v>0</v>
      </c>
      <c r="L83" s="1989">
        <v>0</v>
      </c>
    </row>
    <row r="84" spans="1:12" ht="13.5" thickBot="1" x14ac:dyDescent="0.25">
      <c r="A84" s="1641" t="s">
        <v>1484</v>
      </c>
      <c r="B84" s="1651">
        <v>4100</v>
      </c>
      <c r="C84" s="593"/>
      <c r="D84" s="593"/>
      <c r="E84" s="1643">
        <f>SUM(E78:E83)</f>
        <v>24510</v>
      </c>
      <c r="F84" s="593"/>
      <c r="G84" s="593"/>
      <c r="H84" s="1643">
        <f>SUM(H78:H83)</f>
        <v>3680</v>
      </c>
      <c r="I84" s="473"/>
      <c r="J84" s="473"/>
      <c r="K84" s="1643">
        <f>SUM(K78:K83)</f>
        <v>28190</v>
      </c>
      <c r="L84" s="1643">
        <f>SUM(L78:L83)</f>
        <v>35000</v>
      </c>
    </row>
    <row r="85" spans="1:12" ht="12.75" customHeight="1" thickTop="1" thickBot="1" x14ac:dyDescent="0.25">
      <c r="A85" s="1484" t="s">
        <v>255</v>
      </c>
      <c r="B85" s="612">
        <v>4210</v>
      </c>
      <c r="C85" s="593"/>
      <c r="D85" s="593"/>
      <c r="E85" s="613"/>
      <c r="F85" s="593"/>
      <c r="G85" s="593"/>
      <c r="H85" s="1977">
        <v>0</v>
      </c>
      <c r="I85" s="473"/>
      <c r="J85" s="473"/>
      <c r="K85" s="1650">
        <f>H85</f>
        <v>0</v>
      </c>
      <c r="L85" s="1997">
        <v>0</v>
      </c>
    </row>
    <row r="86" spans="1:12" ht="12.75" customHeight="1" thickTop="1" thickBot="1" x14ac:dyDescent="0.25">
      <c r="A86" s="1485" t="s">
        <v>698</v>
      </c>
      <c r="B86" s="614">
        <v>4220</v>
      </c>
      <c r="C86" s="593"/>
      <c r="D86" s="593"/>
      <c r="E86" s="615"/>
      <c r="F86" s="593"/>
      <c r="G86" s="593"/>
      <c r="H86" s="1968">
        <v>443105</v>
      </c>
      <c r="I86" s="473"/>
      <c r="J86" s="473"/>
      <c r="K86" s="1650">
        <f t="shared" ref="K86:K98" si="12">H86</f>
        <v>443105</v>
      </c>
      <c r="L86" s="1997">
        <v>400000</v>
      </c>
    </row>
    <row r="87" spans="1:12" ht="14.25" thickTop="1" thickBot="1" x14ac:dyDescent="0.25">
      <c r="A87" s="1486" t="s">
        <v>699</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764</v>
      </c>
      <c r="B88" s="616">
        <v>4240</v>
      </c>
      <c r="C88" s="593"/>
      <c r="D88" s="593"/>
      <c r="E88" s="615"/>
      <c r="F88" s="593"/>
      <c r="G88" s="593"/>
      <c r="H88" s="1968">
        <v>128832</v>
      </c>
      <c r="I88" s="473"/>
      <c r="J88" s="473"/>
      <c r="K88" s="1650">
        <f t="shared" si="12"/>
        <v>128832</v>
      </c>
      <c r="L88" s="1997">
        <v>150000</v>
      </c>
    </row>
    <row r="89" spans="1:12" ht="12.75" customHeight="1" thickTop="1" thickBot="1" x14ac:dyDescent="0.25">
      <c r="A89" s="1486" t="s">
        <v>700</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685</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686</v>
      </c>
      <c r="B91" s="616">
        <v>4290</v>
      </c>
      <c r="C91" s="593"/>
      <c r="D91" s="593"/>
      <c r="E91" s="615"/>
      <c r="F91" s="593"/>
      <c r="G91" s="593"/>
      <c r="H91" s="1968">
        <v>0</v>
      </c>
      <c r="I91" s="473"/>
      <c r="J91" s="473"/>
      <c r="K91" s="1650">
        <f t="shared" si="12"/>
        <v>0</v>
      </c>
      <c r="L91" s="1997">
        <v>0</v>
      </c>
    </row>
    <row r="92" spans="1:12" ht="14.25" thickTop="1" thickBot="1" x14ac:dyDescent="0.25">
      <c r="A92" s="1653" t="s">
        <v>1559</v>
      </c>
      <c r="B92" s="1651">
        <v>4200</v>
      </c>
      <c r="C92" s="593"/>
      <c r="D92" s="593"/>
      <c r="E92" s="615"/>
      <c r="F92" s="593"/>
      <c r="G92" s="593"/>
      <c r="H92" s="1643">
        <f>SUM(H85:H91)</f>
        <v>571937</v>
      </c>
      <c r="I92" s="473"/>
      <c r="J92" s="473"/>
      <c r="K92" s="1650">
        <f t="shared" si="12"/>
        <v>571937</v>
      </c>
      <c r="L92" s="1643">
        <f>SUM(L85:L91)</f>
        <v>550000</v>
      </c>
    </row>
    <row r="93" spans="1:12" ht="14.25" thickTop="1" thickBot="1" x14ac:dyDescent="0.25">
      <c r="A93" s="1485" t="s">
        <v>687</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688</v>
      </c>
      <c r="B94" s="616">
        <v>4320</v>
      </c>
      <c r="C94" s="593"/>
      <c r="D94" s="593"/>
      <c r="E94" s="615"/>
      <c r="F94" s="593"/>
      <c r="G94" s="593"/>
      <c r="H94" s="1968">
        <v>0</v>
      </c>
      <c r="I94" s="473"/>
      <c r="J94" s="473"/>
      <c r="K94" s="1650">
        <f t="shared" si="12"/>
        <v>0</v>
      </c>
      <c r="L94" s="1997">
        <v>0</v>
      </c>
    </row>
    <row r="95" spans="1:12" ht="15" customHeight="1" thickTop="1" thickBot="1" x14ac:dyDescent="0.25">
      <c r="A95" s="1486" t="s">
        <v>1487</v>
      </c>
      <c r="B95" s="616">
        <v>4330</v>
      </c>
      <c r="C95" s="593"/>
      <c r="D95" s="593"/>
      <c r="E95" s="615"/>
      <c r="F95" s="593"/>
      <c r="G95" s="593"/>
      <c r="H95" s="1968">
        <v>0</v>
      </c>
      <c r="I95" s="473"/>
      <c r="J95" s="473"/>
      <c r="K95" s="1650">
        <f t="shared" si="12"/>
        <v>0</v>
      </c>
      <c r="L95" s="1997">
        <v>0</v>
      </c>
    </row>
    <row r="96" spans="1:12" ht="14.25" thickTop="1" thickBot="1" x14ac:dyDescent="0.25">
      <c r="A96" s="1486" t="s">
        <v>689</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762</v>
      </c>
      <c r="B97" s="616">
        <v>4370</v>
      </c>
      <c r="C97" s="593"/>
      <c r="D97" s="593"/>
      <c r="E97" s="615"/>
      <c r="F97" s="593"/>
      <c r="G97" s="593"/>
      <c r="H97" s="1968">
        <v>0</v>
      </c>
      <c r="I97" s="473"/>
      <c r="J97" s="473"/>
      <c r="K97" s="1650">
        <f t="shared" si="12"/>
        <v>0</v>
      </c>
      <c r="L97" s="1997">
        <v>0</v>
      </c>
    </row>
    <row r="98" spans="1:14" ht="14.25" thickTop="1" thickBot="1" x14ac:dyDescent="0.25">
      <c r="A98" s="1486" t="s">
        <v>763</v>
      </c>
      <c r="B98" s="616">
        <v>4380</v>
      </c>
      <c r="C98" s="593"/>
      <c r="D98" s="593"/>
      <c r="E98" s="618"/>
      <c r="F98" s="593"/>
      <c r="G98" s="593"/>
      <c r="H98" s="1968">
        <v>0</v>
      </c>
      <c r="I98" s="473"/>
      <c r="J98" s="473"/>
      <c r="K98" s="1650">
        <f t="shared" si="12"/>
        <v>0</v>
      </c>
      <c r="L98" s="1997">
        <v>0</v>
      </c>
    </row>
    <row r="99" spans="1:14" ht="14.25" thickTop="1" thickBot="1" x14ac:dyDescent="0.25">
      <c r="A99" s="1486" t="s">
        <v>366</v>
      </c>
      <c r="B99" s="616">
        <v>4390</v>
      </c>
      <c r="C99" s="593"/>
      <c r="D99" s="593"/>
      <c r="E99" s="1976">
        <v>0</v>
      </c>
      <c r="F99" s="593"/>
      <c r="G99" s="593"/>
      <c r="H99" s="1968">
        <v>0</v>
      </c>
      <c r="I99" s="473"/>
      <c r="J99" s="473"/>
      <c r="K99" s="1650">
        <f>SUM(E99,H99)</f>
        <v>0</v>
      </c>
      <c r="L99" s="1997">
        <v>0</v>
      </c>
    </row>
    <row r="100" spans="1:14" ht="14.25" thickTop="1" thickBot="1" x14ac:dyDescent="0.25">
      <c r="A100" s="1653" t="s">
        <v>1485</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1488</v>
      </c>
      <c r="B101" s="619" t="s">
        <v>930</v>
      </c>
      <c r="C101" s="593"/>
      <c r="D101" s="593"/>
      <c r="E101" s="1975">
        <v>0</v>
      </c>
      <c r="F101" s="593"/>
      <c r="G101" s="593"/>
      <c r="H101" s="1975">
        <v>0</v>
      </c>
      <c r="I101" s="473"/>
      <c r="J101" s="473"/>
      <c r="K101" s="1652">
        <f>SUM(C101:J101)</f>
        <v>0</v>
      </c>
      <c r="L101" s="1997">
        <v>0</v>
      </c>
    </row>
    <row r="102" spans="1:14" ht="12.75" customHeight="1" thickTop="1" thickBot="1" x14ac:dyDescent="0.25">
      <c r="A102" s="1641" t="s">
        <v>1486</v>
      </c>
      <c r="B102" s="1651">
        <v>4000</v>
      </c>
      <c r="C102" s="593"/>
      <c r="D102" s="593"/>
      <c r="E102" s="1650">
        <f>SUM(E84,E92,E100,E101)</f>
        <v>24510</v>
      </c>
      <c r="F102" s="593"/>
      <c r="G102" s="593"/>
      <c r="H102" s="1650">
        <f>SUM(H84,H92,H100,H101)</f>
        <v>575617</v>
      </c>
      <c r="I102" s="473"/>
      <c r="J102" s="473"/>
      <c r="K102" s="1650">
        <f>SUM(K84,K92,K100,K101)</f>
        <v>600127</v>
      </c>
      <c r="L102" s="1650">
        <f>SUM(L84,L92,L100,L101)</f>
        <v>585000</v>
      </c>
    </row>
    <row r="103" spans="1:14" s="610" customFormat="1" ht="15.75" customHeight="1" thickTop="1" x14ac:dyDescent="0.2">
      <c r="A103" s="1585" t="s">
        <v>512</v>
      </c>
      <c r="B103" s="1582" t="s">
        <v>491</v>
      </c>
      <c r="C103" s="593"/>
      <c r="D103" s="593"/>
      <c r="E103" s="593"/>
      <c r="F103" s="593"/>
      <c r="G103" s="593"/>
      <c r="H103" s="595"/>
      <c r="I103" s="467"/>
      <c r="J103" s="467"/>
      <c r="K103" s="595"/>
      <c r="L103" s="595"/>
      <c r="M103" s="184"/>
      <c r="N103" s="184"/>
    </row>
    <row r="104" spans="1:14" s="622" customFormat="1" ht="15.75" customHeight="1" x14ac:dyDescent="0.2">
      <c r="A104" s="620" t="s">
        <v>614</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33883</v>
      </c>
      <c r="I105" s="467"/>
      <c r="J105" s="467"/>
      <c r="K105" s="1644">
        <f>H105</f>
        <v>33883</v>
      </c>
      <c r="L105" s="477">
        <v>45000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1169</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588</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1101</v>
      </c>
      <c r="B110" s="1648" t="s">
        <v>717</v>
      </c>
      <c r="C110" s="593"/>
      <c r="D110" s="593"/>
      <c r="E110" s="593"/>
      <c r="F110" s="593"/>
      <c r="G110" s="593"/>
      <c r="H110" s="1643">
        <f>SUM(H105:H109)</f>
        <v>33883</v>
      </c>
      <c r="I110" s="467"/>
      <c r="J110" s="467"/>
      <c r="K110" s="1643">
        <f>SUM(K105:K109)</f>
        <v>33883</v>
      </c>
      <c r="L110" s="1643">
        <f>SUM(L105:L109)</f>
        <v>45000</v>
      </c>
      <c r="M110" s="210"/>
      <c r="N110" s="210"/>
    </row>
    <row r="111" spans="1:14" s="574" customFormat="1" ht="12.75" customHeight="1" thickTop="1" thickBot="1" x14ac:dyDescent="0.25">
      <c r="A111" s="1487" t="s">
        <v>367</v>
      </c>
      <c r="B111" s="623" t="s">
        <v>38</v>
      </c>
      <c r="C111" s="593"/>
      <c r="D111" s="593"/>
      <c r="E111" s="593"/>
      <c r="F111" s="593"/>
      <c r="G111" s="593"/>
      <c r="H111" s="1977">
        <v>18100</v>
      </c>
      <c r="I111" s="467"/>
      <c r="J111" s="467"/>
      <c r="K111" s="1656">
        <f>H111</f>
        <v>18100</v>
      </c>
      <c r="L111" s="1999">
        <v>0</v>
      </c>
      <c r="M111" s="210"/>
      <c r="N111" s="210"/>
    </row>
    <row r="112" spans="1:14" s="574" customFormat="1" ht="12.75" customHeight="1" thickTop="1" thickBot="1" x14ac:dyDescent="0.25">
      <c r="A112" s="1641" t="s">
        <v>637</v>
      </c>
      <c r="B112" s="1642" t="s">
        <v>491</v>
      </c>
      <c r="C112" s="593"/>
      <c r="D112" s="593"/>
      <c r="E112" s="593"/>
      <c r="F112" s="593"/>
      <c r="G112" s="593"/>
      <c r="H112" s="1643">
        <f>SUM(H110:H111)</f>
        <v>51983</v>
      </c>
      <c r="I112" s="467"/>
      <c r="J112" s="467"/>
      <c r="K112" s="1643">
        <f>SUM(K110:K111)</f>
        <v>51983</v>
      </c>
      <c r="L112" s="1650">
        <f>SUM(L110,L111)</f>
        <v>45000</v>
      </c>
      <c r="M112" s="210"/>
      <c r="N112" s="210"/>
    </row>
    <row r="113" spans="1:14" s="259" customFormat="1" ht="15.75" customHeight="1" thickTop="1" thickBot="1" x14ac:dyDescent="0.25">
      <c r="A113" s="1579" t="s">
        <v>513</v>
      </c>
      <c r="B113" s="1586" t="s">
        <v>860</v>
      </c>
      <c r="C113" s="600"/>
      <c r="D113" s="600"/>
      <c r="E113" s="593"/>
      <c r="F113" s="593"/>
      <c r="G113" s="593"/>
      <c r="H113" s="600"/>
      <c r="I113" s="467"/>
      <c r="J113" s="467"/>
      <c r="K113" s="600"/>
      <c r="L113" s="1998">
        <v>300000</v>
      </c>
      <c r="M113" s="590"/>
      <c r="N113" s="590"/>
    </row>
    <row r="114" spans="1:14" ht="12.75" customHeight="1" thickTop="1" thickBot="1" x14ac:dyDescent="0.25">
      <c r="A114" s="1641" t="s">
        <v>48</v>
      </c>
      <c r="B114" s="1655"/>
      <c r="C114" s="1643">
        <f>SUM(C33,C74,C75,C102,C112,C113)</f>
        <v>13173224</v>
      </c>
      <c r="D114" s="1643">
        <f t="shared" ref="D114:K114" si="13">SUM(D33,D74,D75,D102,D112,D113)</f>
        <v>3379449</v>
      </c>
      <c r="E114" s="1643">
        <f t="shared" si="13"/>
        <v>1128189</v>
      </c>
      <c r="F114" s="1643">
        <f t="shared" si="13"/>
        <v>697398</v>
      </c>
      <c r="G114" s="1643">
        <f t="shared" si="13"/>
        <v>39644</v>
      </c>
      <c r="H114" s="1643">
        <f>SUM(H33,H74,H75,H102,H112,H113)</f>
        <v>1117265</v>
      </c>
      <c r="I114" s="1643">
        <f t="shared" si="13"/>
        <v>241916</v>
      </c>
      <c r="J114" s="1643">
        <f t="shared" si="13"/>
        <v>0</v>
      </c>
      <c r="K114" s="1643">
        <f t="shared" si="13"/>
        <v>19777085</v>
      </c>
      <c r="L114" s="1643">
        <f>SUM(L33,L74,L75,L102,L112,L113)</f>
        <v>20384714</v>
      </c>
    </row>
    <row r="115" spans="1:14" ht="13.5" thickTop="1" x14ac:dyDescent="0.2">
      <c r="A115" s="2256" t="s">
        <v>995</v>
      </c>
      <c r="B115" s="2257"/>
      <c r="C115" s="595"/>
      <c r="D115" s="595"/>
      <c r="E115" s="595"/>
      <c r="F115" s="595"/>
      <c r="G115" s="595"/>
      <c r="H115" s="595"/>
      <c r="I115" s="595"/>
      <c r="J115" s="595"/>
      <c r="K115" s="1657">
        <f>'Revenues 9-14'!C268-'Expenditures 15-22'!K114</f>
        <v>1323821</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4" t="s">
        <v>295</v>
      </c>
      <c r="B117" s="2235"/>
      <c r="C117" s="1599"/>
      <c r="D117" s="1600"/>
      <c r="E117" s="1600"/>
      <c r="F117" s="1600"/>
      <c r="G117" s="1600"/>
      <c r="H117" s="1600"/>
      <c r="I117" s="1600"/>
      <c r="J117" s="1600"/>
      <c r="K117" s="1600"/>
      <c r="L117" s="1601"/>
      <c r="M117" s="175"/>
      <c r="N117" s="175"/>
    </row>
    <row r="118" spans="1:14" ht="15.75" customHeight="1" x14ac:dyDescent="0.2">
      <c r="A118" s="1587" t="s">
        <v>1034</v>
      </c>
      <c r="B118" s="1588" t="s">
        <v>568</v>
      </c>
      <c r="C118" s="593"/>
      <c r="D118" s="593"/>
      <c r="E118" s="593"/>
      <c r="F118" s="593"/>
      <c r="G118" s="593"/>
      <c r="H118" s="593"/>
      <c r="I118" s="593"/>
      <c r="J118" s="593"/>
      <c r="K118" s="593"/>
      <c r="L118" s="593"/>
    </row>
    <row r="119" spans="1:14" ht="15.75" customHeight="1" x14ac:dyDescent="0.2">
      <c r="A119" s="628" t="s">
        <v>590</v>
      </c>
      <c r="B119" s="599"/>
      <c r="C119" s="600"/>
      <c r="D119" s="600"/>
      <c r="E119" s="600"/>
      <c r="F119" s="593"/>
      <c r="G119" s="593"/>
      <c r="H119" s="600"/>
      <c r="I119" s="593"/>
      <c r="J119" s="593"/>
      <c r="K119" s="600"/>
      <c r="L119" s="600"/>
    </row>
    <row r="120" spans="1:14" ht="12.75" customHeight="1" x14ac:dyDescent="0.2">
      <c r="A120" s="1481" t="s">
        <v>2057</v>
      </c>
      <c r="B120" s="605" t="s">
        <v>715</v>
      </c>
      <c r="C120" s="465">
        <v>0</v>
      </c>
      <c r="D120" s="465">
        <v>0</v>
      </c>
      <c r="E120" s="1989">
        <v>0</v>
      </c>
      <c r="F120" s="1989">
        <v>0</v>
      </c>
      <c r="G120" s="1989">
        <v>0</v>
      </c>
      <c r="H120" s="1989">
        <v>0</v>
      </c>
      <c r="I120" s="1989">
        <v>0</v>
      </c>
      <c r="J120" s="1989">
        <v>0</v>
      </c>
      <c r="K120" s="1644">
        <f>SUM(C120:J120)</f>
        <v>0</v>
      </c>
      <c r="L120" s="1989">
        <v>0</v>
      </c>
    </row>
    <row r="121" spans="1:14" ht="15.75" customHeight="1" x14ac:dyDescent="0.2">
      <c r="A121" s="629" t="s">
        <v>611</v>
      </c>
      <c r="B121" s="599"/>
      <c r="C121" s="514"/>
      <c r="D121" s="514"/>
      <c r="E121" s="514"/>
      <c r="F121" s="514"/>
      <c r="G121" s="514"/>
      <c r="H121" s="514"/>
      <c r="I121" s="593"/>
      <c r="J121" s="593"/>
      <c r="K121" s="600"/>
      <c r="L121" s="514"/>
    </row>
    <row r="122" spans="1:14" ht="13.5" thickBot="1" x14ac:dyDescent="0.25">
      <c r="A122" s="1477" t="s">
        <v>1067</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0</v>
      </c>
      <c r="F123" s="1967">
        <v>0</v>
      </c>
      <c r="G123" s="1967">
        <v>0</v>
      </c>
      <c r="H123" s="1967">
        <v>0</v>
      </c>
      <c r="I123" s="1968">
        <v>0</v>
      </c>
      <c r="J123" s="1968">
        <v>0</v>
      </c>
      <c r="K123" s="1643">
        <f>SUM(C123:J123)</f>
        <v>0</v>
      </c>
      <c r="L123" s="1989">
        <v>0</v>
      </c>
    </row>
    <row r="124" spans="1:14" ht="14.25" thickTop="1" thickBot="1" x14ac:dyDescent="0.25">
      <c r="A124" s="1477" t="s">
        <v>197</v>
      </c>
      <c r="B124" s="591">
        <v>2540</v>
      </c>
      <c r="C124" s="1967">
        <v>658860</v>
      </c>
      <c r="D124" s="1967">
        <v>190807</v>
      </c>
      <c r="E124" s="1967">
        <v>306844</v>
      </c>
      <c r="F124" s="1967">
        <v>706255</v>
      </c>
      <c r="G124" s="1967">
        <v>92238</v>
      </c>
      <c r="H124" s="1967">
        <v>0</v>
      </c>
      <c r="I124" s="1968">
        <v>71738</v>
      </c>
      <c r="J124" s="1968">
        <v>0</v>
      </c>
      <c r="K124" s="1643">
        <f>SUM(C124:J124)</f>
        <v>2026742</v>
      </c>
      <c r="L124" s="1989">
        <v>1956579</v>
      </c>
    </row>
    <row r="125" spans="1:14" ht="14.25" thickTop="1" thickBot="1" x14ac:dyDescent="0.25">
      <c r="A125" s="1477" t="s">
        <v>952</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718</v>
      </c>
      <c r="B127" s="1642" t="s">
        <v>35</v>
      </c>
      <c r="C127" s="1643">
        <f>SUM(C122:C126)</f>
        <v>658860</v>
      </c>
      <c r="D127" s="1643">
        <f t="shared" ref="D127:L127" si="14">SUM(D122:D126)</f>
        <v>190807</v>
      </c>
      <c r="E127" s="1643">
        <f t="shared" si="14"/>
        <v>306844</v>
      </c>
      <c r="F127" s="1643">
        <f t="shared" si="14"/>
        <v>706255</v>
      </c>
      <c r="G127" s="1643">
        <f t="shared" si="14"/>
        <v>92238</v>
      </c>
      <c r="H127" s="1643">
        <f t="shared" si="14"/>
        <v>0</v>
      </c>
      <c r="I127" s="1643">
        <f t="shared" si="14"/>
        <v>71738</v>
      </c>
      <c r="J127" s="1643">
        <f t="shared" si="14"/>
        <v>0</v>
      </c>
      <c r="K127" s="1643">
        <f t="shared" si="14"/>
        <v>2026742</v>
      </c>
      <c r="L127" s="1643">
        <f t="shared" si="14"/>
        <v>1956579</v>
      </c>
    </row>
    <row r="128" spans="1:14" ht="12.75" customHeight="1" thickTop="1" x14ac:dyDescent="0.2">
      <c r="A128" s="1484" t="s">
        <v>979</v>
      </c>
      <c r="B128" s="631" t="s">
        <v>573</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810</v>
      </c>
      <c r="B129" s="1660" t="s">
        <v>568</v>
      </c>
      <c r="C129" s="1650">
        <f>SUM(C120,C127,C128)</f>
        <v>658860</v>
      </c>
      <c r="D129" s="1650">
        <f t="shared" ref="D129:L129" si="15">SUM(D120,D127,D128)</f>
        <v>190807</v>
      </c>
      <c r="E129" s="1650">
        <f t="shared" si="15"/>
        <v>306844</v>
      </c>
      <c r="F129" s="1650">
        <f t="shared" si="15"/>
        <v>706255</v>
      </c>
      <c r="G129" s="1650">
        <f t="shared" si="15"/>
        <v>92238</v>
      </c>
      <c r="H129" s="1650">
        <f t="shared" si="15"/>
        <v>0</v>
      </c>
      <c r="I129" s="1650">
        <f t="shared" si="15"/>
        <v>71738</v>
      </c>
      <c r="J129" s="1650">
        <f t="shared" si="15"/>
        <v>0</v>
      </c>
      <c r="K129" s="1650">
        <f t="shared" si="15"/>
        <v>2026742</v>
      </c>
      <c r="L129" s="1650">
        <f t="shared" si="15"/>
        <v>1956579</v>
      </c>
    </row>
    <row r="130" spans="1:14" ht="15.75" customHeight="1" thickTop="1" thickBot="1" x14ac:dyDescent="0.25">
      <c r="A130" s="1583" t="s">
        <v>1035</v>
      </c>
      <c r="B130" s="1584" t="s">
        <v>574</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615</v>
      </c>
      <c r="B131" s="1582"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3" t="s">
        <v>495</v>
      </c>
      <c r="B133" s="1814" t="s">
        <v>1842</v>
      </c>
      <c r="C133" s="467"/>
      <c r="D133" s="467"/>
      <c r="E133" s="1971">
        <v>0</v>
      </c>
      <c r="F133" s="467"/>
      <c r="G133" s="467"/>
      <c r="H133" s="1971">
        <v>0</v>
      </c>
      <c r="I133" s="467"/>
      <c r="J133" s="467"/>
      <c r="K133" s="1794">
        <f>SUM(E133,H133)</f>
        <v>0</v>
      </c>
      <c r="L133" s="1993">
        <v>0</v>
      </c>
      <c r="M133" s="206"/>
      <c r="N133" s="206"/>
    </row>
    <row r="134" spans="1:14" x14ac:dyDescent="0.2">
      <c r="A134" s="1477" t="s">
        <v>303</v>
      </c>
      <c r="B134" s="591">
        <v>4120</v>
      </c>
      <c r="C134" s="593"/>
      <c r="D134" s="593"/>
      <c r="E134" s="474">
        <v>0</v>
      </c>
      <c r="F134" s="593"/>
      <c r="G134" s="593"/>
      <c r="H134" s="477">
        <v>0</v>
      </c>
      <c r="I134" s="473"/>
      <c r="J134" s="593"/>
      <c r="K134" s="1645">
        <f>SUM(E134,H134)</f>
        <v>0</v>
      </c>
      <c r="L134" s="477">
        <v>0</v>
      </c>
    </row>
    <row r="135" spans="1:14" x14ac:dyDescent="0.2">
      <c r="A135" s="1477" t="s">
        <v>696</v>
      </c>
      <c r="B135" s="591">
        <v>4140</v>
      </c>
      <c r="C135" s="593"/>
      <c r="D135" s="593"/>
      <c r="E135" s="1968">
        <v>0</v>
      </c>
      <c r="F135" s="593"/>
      <c r="G135" s="593"/>
      <c r="H135" s="1967">
        <v>0</v>
      </c>
      <c r="I135" s="473"/>
      <c r="J135" s="593"/>
      <c r="K135" s="1645">
        <f>SUM(E135,H135)</f>
        <v>0</v>
      </c>
      <c r="L135" s="1989">
        <v>0</v>
      </c>
    </row>
    <row r="136" spans="1:14" x14ac:dyDescent="0.2">
      <c r="A136" s="1481" t="s">
        <v>697</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479</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930</v>
      </c>
      <c r="C138" s="593"/>
      <c r="D138" s="593"/>
      <c r="E138" s="475"/>
      <c r="F138" s="593"/>
      <c r="G138" s="593"/>
      <c r="H138" s="1980">
        <v>0</v>
      </c>
      <c r="I138" s="473"/>
      <c r="J138" s="593"/>
      <c r="K138" s="1645">
        <f>SUM(E138,H138)</f>
        <v>0</v>
      </c>
      <c r="L138" s="1980">
        <v>0</v>
      </c>
    </row>
    <row r="139" spans="1:14" ht="12.75" customHeight="1" thickTop="1" thickBot="1" x14ac:dyDescent="0.25">
      <c r="A139" s="1641" t="s">
        <v>1486</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1036</v>
      </c>
      <c r="B140" s="1586" t="s">
        <v>491</v>
      </c>
      <c r="C140" s="593"/>
      <c r="D140" s="593"/>
      <c r="E140" s="615"/>
      <c r="F140" s="615"/>
      <c r="G140" s="615"/>
      <c r="H140" s="613"/>
      <c r="I140" s="473"/>
      <c r="J140" s="615"/>
      <c r="K140" s="613"/>
      <c r="L140" s="613"/>
    </row>
    <row r="141" spans="1:14" ht="15.75" customHeight="1" x14ac:dyDescent="0.2">
      <c r="A141" s="629" t="s">
        <v>614</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1169</v>
      </c>
      <c r="B144" s="605" t="s">
        <v>616</v>
      </c>
      <c r="C144" s="593"/>
      <c r="D144" s="593"/>
      <c r="E144" s="593"/>
      <c r="F144" s="593"/>
      <c r="G144" s="593"/>
      <c r="H144" s="1967">
        <v>0</v>
      </c>
      <c r="I144" s="467"/>
      <c r="J144" s="593"/>
      <c r="K144" s="1645">
        <f>SUM(H144)</f>
        <v>0</v>
      </c>
      <c r="L144" s="1989">
        <v>0</v>
      </c>
    </row>
    <row r="145" spans="1:14" x14ac:dyDescent="0.2">
      <c r="A145" s="1477" t="s">
        <v>89</v>
      </c>
      <c r="B145" s="591" t="s">
        <v>588</v>
      </c>
      <c r="C145" s="593"/>
      <c r="D145" s="593"/>
      <c r="E145" s="593"/>
      <c r="F145" s="593"/>
      <c r="G145" s="593"/>
      <c r="H145" s="1967">
        <v>0</v>
      </c>
      <c r="I145" s="467"/>
      <c r="J145" s="593"/>
      <c r="K145" s="1645">
        <f>SUM(H145)</f>
        <v>0</v>
      </c>
      <c r="L145" s="1989">
        <v>0</v>
      </c>
    </row>
    <row r="146" spans="1:14" ht="12.75" customHeight="1" x14ac:dyDescent="0.2">
      <c r="A146" s="1477" t="s">
        <v>618</v>
      </c>
      <c r="B146" s="591" t="s">
        <v>617</v>
      </c>
      <c r="C146" s="593"/>
      <c r="D146" s="593"/>
      <c r="E146" s="593"/>
      <c r="F146" s="593"/>
      <c r="G146" s="593"/>
      <c r="H146" s="1967">
        <v>0</v>
      </c>
      <c r="I146" s="467"/>
      <c r="J146" s="593"/>
      <c r="K146" s="1645">
        <f>SUM(H146)</f>
        <v>0</v>
      </c>
      <c r="L146" s="1989">
        <v>0</v>
      </c>
    </row>
    <row r="147" spans="1:14" ht="12.75" customHeight="1" thickBot="1" x14ac:dyDescent="0.25">
      <c r="A147" s="1488" t="s">
        <v>625</v>
      </c>
      <c r="B147" s="634" t="s">
        <v>717</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1102</v>
      </c>
      <c r="B148" s="636" t="s">
        <v>38</v>
      </c>
      <c r="C148" s="593"/>
      <c r="D148" s="593"/>
      <c r="E148" s="593"/>
      <c r="F148" s="593"/>
      <c r="G148" s="593"/>
      <c r="H148" s="1972">
        <v>0</v>
      </c>
      <c r="I148" s="467"/>
      <c r="J148" s="593"/>
      <c r="K148" s="1645">
        <f>SUM(H148)</f>
        <v>0</v>
      </c>
      <c r="L148" s="1996">
        <v>0</v>
      </c>
    </row>
    <row r="149" spans="1:14" ht="12.75" customHeight="1" thickBot="1" x14ac:dyDescent="0.25">
      <c r="A149" s="1480" t="s">
        <v>637</v>
      </c>
      <c r="B149" s="594" t="s">
        <v>491</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1037</v>
      </c>
      <c r="B150" s="1586" t="s">
        <v>860</v>
      </c>
      <c r="C150" s="593"/>
      <c r="D150" s="593"/>
      <c r="E150" s="593"/>
      <c r="F150" s="593"/>
      <c r="G150" s="593"/>
      <c r="H150" s="637"/>
      <c r="I150" s="514"/>
      <c r="J150" s="593"/>
      <c r="K150" s="600"/>
      <c r="L150" s="2001">
        <v>25000</v>
      </c>
    </row>
    <row r="151" spans="1:14" ht="12.75" customHeight="1" thickTop="1" thickBot="1" x14ac:dyDescent="0.25">
      <c r="A151" s="2246" t="s">
        <v>619</v>
      </c>
      <c r="B151" s="2228"/>
      <c r="C151" s="1643">
        <f>SUM(C129,C130,C139,C149,C150)</f>
        <v>658860</v>
      </c>
      <c r="D151" s="1643">
        <f t="shared" ref="D151:K151" si="16">SUM(D129,D130,D139,D149,D150)</f>
        <v>190807</v>
      </c>
      <c r="E151" s="1643">
        <f t="shared" si="16"/>
        <v>306844</v>
      </c>
      <c r="F151" s="1643">
        <f t="shared" si="16"/>
        <v>706255</v>
      </c>
      <c r="G151" s="1643">
        <f t="shared" si="16"/>
        <v>92238</v>
      </c>
      <c r="H151" s="1643">
        <f t="shared" si="16"/>
        <v>0</v>
      </c>
      <c r="I151" s="1643">
        <f t="shared" si="16"/>
        <v>71738</v>
      </c>
      <c r="J151" s="1643">
        <f t="shared" si="16"/>
        <v>0</v>
      </c>
      <c r="K151" s="1643">
        <f t="shared" si="16"/>
        <v>2026742</v>
      </c>
      <c r="L151" s="1643">
        <f>SUM(L129,L130,L139,L149,L150)</f>
        <v>1981579</v>
      </c>
    </row>
    <row r="152" spans="1:14" ht="12.75" customHeight="1" thickTop="1" x14ac:dyDescent="0.2">
      <c r="A152" s="2249" t="s">
        <v>1177</v>
      </c>
      <c r="B152" s="2250"/>
      <c r="C152" s="595"/>
      <c r="D152" s="595"/>
      <c r="E152" s="595"/>
      <c r="F152" s="595"/>
      <c r="G152" s="595"/>
      <c r="H152" s="595"/>
      <c r="I152" s="595"/>
      <c r="J152" s="593"/>
      <c r="K152" s="1657">
        <f>'Revenues 9-14'!D268-'Expenditures 15-22'!K151</f>
        <v>461545</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4" t="s">
        <v>620</v>
      </c>
      <c r="B154" s="2236"/>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859</v>
      </c>
      <c r="C155" s="593"/>
      <c r="D155" s="593"/>
      <c r="E155" s="593"/>
      <c r="F155" s="593"/>
      <c r="G155" s="593"/>
      <c r="H155" s="1815"/>
      <c r="I155" s="593"/>
      <c r="J155" s="593"/>
      <c r="K155" s="1798"/>
      <c r="L155" s="1815"/>
      <c r="M155" s="596"/>
      <c r="N155" s="596"/>
    </row>
    <row r="156" spans="1:14" s="597" customFormat="1" ht="15.75" customHeight="1" thickTop="1" x14ac:dyDescent="0.2">
      <c r="A156" s="1795" t="s">
        <v>1843</v>
      </c>
      <c r="B156" s="1796"/>
      <c r="C156" s="593"/>
      <c r="D156" s="593"/>
      <c r="E156" s="593"/>
      <c r="F156" s="593"/>
      <c r="G156" s="593"/>
      <c r="H156" s="1816"/>
      <c r="I156" s="593"/>
      <c r="J156" s="593"/>
      <c r="K156" s="1797"/>
      <c r="L156" s="1816"/>
      <c r="M156" s="596"/>
      <c r="N156" s="596"/>
    </row>
    <row r="157" spans="1:14" s="597" customFormat="1" ht="12" x14ac:dyDescent="0.2">
      <c r="A157" s="1799" t="s">
        <v>495</v>
      </c>
      <c r="B157" s="1800" t="s">
        <v>1842</v>
      </c>
      <c r="C157" s="593"/>
      <c r="D157" s="593"/>
      <c r="E157" s="593"/>
      <c r="F157" s="593"/>
      <c r="G157" s="593"/>
      <c r="H157" s="1971">
        <v>0</v>
      </c>
      <c r="I157" s="593"/>
      <c r="J157" s="593"/>
      <c r="K157" s="1644">
        <f>H157</f>
        <v>0</v>
      </c>
      <c r="L157" s="1990">
        <v>0</v>
      </c>
      <c r="M157" s="596"/>
      <c r="N157" s="596"/>
    </row>
    <row r="158" spans="1:14" s="597" customFormat="1" ht="12" x14ac:dyDescent="0.2">
      <c r="A158" s="1799" t="s">
        <v>303</v>
      </c>
      <c r="B158" s="1800" t="s">
        <v>1844</v>
      </c>
      <c r="C158" s="593"/>
      <c r="D158" s="593"/>
      <c r="E158" s="593"/>
      <c r="F158" s="593"/>
      <c r="G158" s="593"/>
      <c r="H158" s="1968">
        <v>0</v>
      </c>
      <c r="I158" s="593"/>
      <c r="J158" s="593"/>
      <c r="K158" s="1644">
        <f>H158</f>
        <v>0</v>
      </c>
      <c r="L158" s="1990">
        <v>0</v>
      </c>
      <c r="M158" s="596"/>
      <c r="N158" s="596"/>
    </row>
    <row r="159" spans="1:14" s="597" customFormat="1" ht="12" x14ac:dyDescent="0.2">
      <c r="A159" s="1799" t="s">
        <v>1845</v>
      </c>
      <c r="B159" s="1800" t="s">
        <v>557</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1846</v>
      </c>
      <c r="B160" s="1802" t="s">
        <v>859</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491</v>
      </c>
      <c r="C161" s="593"/>
      <c r="D161" s="593"/>
      <c r="E161" s="593"/>
      <c r="F161" s="593"/>
      <c r="G161" s="593"/>
      <c r="H161" s="593"/>
      <c r="I161" s="593"/>
      <c r="J161" s="593"/>
      <c r="K161" s="593"/>
      <c r="L161" s="593"/>
      <c r="M161" s="590"/>
      <c r="N161" s="590"/>
    </row>
    <row r="162" spans="1:14" s="259" customFormat="1" ht="15.75" customHeight="1" x14ac:dyDescent="0.2">
      <c r="A162" s="629" t="s">
        <v>614</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1169</v>
      </c>
      <c r="B165" s="591" t="s">
        <v>616</v>
      </c>
      <c r="C165" s="593"/>
      <c r="D165" s="593"/>
      <c r="E165" s="593"/>
      <c r="F165" s="593"/>
      <c r="G165" s="593"/>
      <c r="H165" s="1967">
        <v>0</v>
      </c>
      <c r="I165" s="593"/>
      <c r="J165" s="593"/>
      <c r="K165" s="1644">
        <f>SUM(C165:J165)</f>
        <v>0</v>
      </c>
      <c r="L165" s="1989">
        <v>0</v>
      </c>
    </row>
    <row r="166" spans="1:14" x14ac:dyDescent="0.2">
      <c r="A166" s="1477" t="s">
        <v>89</v>
      </c>
      <c r="B166" s="605" t="s">
        <v>588</v>
      </c>
      <c r="C166" s="593"/>
      <c r="D166" s="593"/>
      <c r="E166" s="593"/>
      <c r="F166" s="593"/>
      <c r="G166" s="593"/>
      <c r="H166" s="1967">
        <v>0</v>
      </c>
      <c r="I166" s="593"/>
      <c r="J166" s="593"/>
      <c r="K166" s="1644">
        <f>SUM(C166:J166)</f>
        <v>0</v>
      </c>
      <c r="L166" s="1989">
        <v>0</v>
      </c>
    </row>
    <row r="167" spans="1:14" ht="12.75" customHeight="1" x14ac:dyDescent="0.2">
      <c r="A167" s="1477" t="s">
        <v>618</v>
      </c>
      <c r="B167" s="591" t="s">
        <v>617</v>
      </c>
      <c r="C167" s="593"/>
      <c r="D167" s="593"/>
      <c r="E167" s="593"/>
      <c r="F167" s="593"/>
      <c r="G167" s="593"/>
      <c r="H167" s="1967">
        <v>0</v>
      </c>
      <c r="I167" s="593"/>
      <c r="J167" s="593"/>
      <c r="K167" s="1644">
        <f>SUM(C167:J167)</f>
        <v>0</v>
      </c>
      <c r="L167" s="1989">
        <v>0</v>
      </c>
    </row>
    <row r="168" spans="1:14" ht="13.5" thickBot="1" x14ac:dyDescent="0.25">
      <c r="A168" s="1641" t="s">
        <v>275</v>
      </c>
      <c r="B168" s="1648" t="s">
        <v>717</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1997171</v>
      </c>
      <c r="I169" s="593"/>
      <c r="J169" s="593"/>
      <c r="K169" s="1644">
        <f>SUM(C169:H169)</f>
        <v>1997171</v>
      </c>
      <c r="L169" s="2004">
        <v>2276261</v>
      </c>
    </row>
    <row r="170" spans="1:14" ht="33.75" customHeight="1" x14ac:dyDescent="0.2">
      <c r="A170" s="644" t="s">
        <v>1669</v>
      </c>
      <c r="B170" s="646" t="s">
        <v>31</v>
      </c>
      <c r="C170" s="593"/>
      <c r="D170" s="593"/>
      <c r="E170" s="593"/>
      <c r="F170" s="593"/>
      <c r="G170" s="593"/>
      <c r="H170" s="1973">
        <v>1346470</v>
      </c>
      <c r="I170" s="593"/>
      <c r="J170" s="593"/>
      <c r="K170" s="1644">
        <f>SUM(C170:J170)</f>
        <v>1346470</v>
      </c>
      <c r="L170" s="1995">
        <v>1030489</v>
      </c>
    </row>
    <row r="171" spans="1:14" ht="15.75" customHeight="1" x14ac:dyDescent="0.2">
      <c r="A171" s="598" t="s">
        <v>765</v>
      </c>
      <c r="B171" s="647" t="s">
        <v>84</v>
      </c>
      <c r="C171" s="593"/>
      <c r="D171" s="593"/>
      <c r="E171" s="1967">
        <v>0</v>
      </c>
      <c r="F171" s="593"/>
      <c r="G171" s="593"/>
      <c r="H171" s="1973">
        <v>1350</v>
      </c>
      <c r="I171" s="473"/>
      <c r="J171" s="593"/>
      <c r="K171" s="1644">
        <f>SUM(C171:J171)</f>
        <v>1350</v>
      </c>
      <c r="L171" s="1995">
        <v>4000</v>
      </c>
    </row>
    <row r="172" spans="1:14" ht="12.75" customHeight="1" thickBot="1" x14ac:dyDescent="0.25">
      <c r="A172" s="1641" t="s">
        <v>637</v>
      </c>
      <c r="B172" s="1642" t="s">
        <v>491</v>
      </c>
      <c r="C172" s="593"/>
      <c r="D172" s="593"/>
      <c r="E172" s="1650">
        <f>SUM(E168,E169,E170,E171)</f>
        <v>0</v>
      </c>
      <c r="F172" s="593"/>
      <c r="G172" s="593"/>
      <c r="H172" s="1650">
        <f>SUM(H168,H169,H170,H171)</f>
        <v>3344991</v>
      </c>
      <c r="I172" s="615"/>
      <c r="J172" s="593"/>
      <c r="K172" s="1650">
        <f>SUM(K168,K169,K170,K171)</f>
        <v>3344991</v>
      </c>
      <c r="L172" s="1650">
        <f>SUM(L168,L169,L170,L171)</f>
        <v>3310750</v>
      </c>
    </row>
    <row r="173" spans="1:14" ht="15.75" customHeight="1" thickTop="1" thickBot="1" x14ac:dyDescent="0.25">
      <c r="A173" s="1592" t="s">
        <v>85</v>
      </c>
      <c r="B173" s="1584" t="s">
        <v>860</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0</v>
      </c>
      <c r="F174" s="593"/>
      <c r="G174" s="593"/>
      <c r="H174" s="1650">
        <f>SUM(H160,H172,H173)</f>
        <v>3344991</v>
      </c>
      <c r="I174" s="615"/>
      <c r="J174" s="593"/>
      <c r="K174" s="1650">
        <f>SUM(K160,K172,K173)</f>
        <v>3344991</v>
      </c>
      <c r="L174" s="1650">
        <f>SUM(L160,L172,L173)</f>
        <v>3310750</v>
      </c>
    </row>
    <row r="175" spans="1:14" ht="13.5" thickTop="1" x14ac:dyDescent="0.2">
      <c r="A175" s="2256" t="s">
        <v>995</v>
      </c>
      <c r="B175" s="2257"/>
      <c r="C175" s="593"/>
      <c r="D175" s="593"/>
      <c r="E175" s="593"/>
      <c r="F175" s="593"/>
      <c r="G175" s="593"/>
      <c r="H175" s="595"/>
      <c r="I175" s="593"/>
      <c r="J175" s="593"/>
      <c r="K175" s="1657">
        <f>'Revenues 9-14'!E268-'Expenditures 15-22'!K174</f>
        <v>-309576</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936</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937</v>
      </c>
      <c r="B178" s="1594"/>
      <c r="C178" s="593"/>
      <c r="D178" s="593"/>
      <c r="E178" s="593"/>
      <c r="F178" s="593"/>
      <c r="G178" s="593"/>
      <c r="H178" s="593"/>
      <c r="I178" s="593"/>
      <c r="J178" s="593"/>
      <c r="K178" s="593"/>
      <c r="L178" s="593"/>
      <c r="M178" s="640"/>
      <c r="N178" s="640"/>
    </row>
    <row r="179" spans="1:14" s="649" customFormat="1" ht="15.75" customHeight="1" x14ac:dyDescent="0.2">
      <c r="A179" s="650" t="s">
        <v>590</v>
      </c>
      <c r="B179" s="599"/>
      <c r="C179" s="600"/>
      <c r="D179" s="600"/>
      <c r="E179" s="600"/>
      <c r="F179" s="593"/>
      <c r="G179" s="593"/>
      <c r="H179" s="600"/>
      <c r="I179" s="593"/>
      <c r="J179" s="593"/>
      <c r="K179" s="600"/>
      <c r="L179" s="600"/>
      <c r="M179" s="640"/>
      <c r="N179" s="640"/>
    </row>
    <row r="180" spans="1:14" ht="12.75" customHeight="1" x14ac:dyDescent="0.2">
      <c r="A180" s="1477" t="s">
        <v>2057</v>
      </c>
      <c r="B180" s="591" t="s">
        <v>715</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611</v>
      </c>
      <c r="B181" s="651"/>
      <c r="C181" s="557"/>
      <c r="D181" s="557"/>
      <c r="E181" s="557"/>
      <c r="F181" s="557"/>
      <c r="G181" s="557"/>
      <c r="H181" s="557"/>
      <c r="I181" s="467"/>
      <c r="J181" s="467"/>
      <c r="K181" s="557"/>
      <c r="L181" s="557"/>
    </row>
    <row r="182" spans="1:14" ht="12.75" customHeight="1" x14ac:dyDescent="0.2">
      <c r="A182" s="1477" t="s">
        <v>952</v>
      </c>
      <c r="B182" s="591">
        <v>2550</v>
      </c>
      <c r="C182" s="1967">
        <v>677307</v>
      </c>
      <c r="D182" s="1967">
        <v>42234</v>
      </c>
      <c r="E182" s="1967">
        <v>307546</v>
      </c>
      <c r="F182" s="1967">
        <v>139247</v>
      </c>
      <c r="G182" s="1967">
        <v>1559758</v>
      </c>
      <c r="H182" s="1967">
        <v>819</v>
      </c>
      <c r="I182" s="1968">
        <v>0</v>
      </c>
      <c r="J182" s="1968">
        <v>0</v>
      </c>
      <c r="K182" s="1644">
        <f>SUM(C182:J182)</f>
        <v>2726911</v>
      </c>
      <c r="L182" s="1989">
        <v>1253136</v>
      </c>
    </row>
    <row r="183" spans="1:14" ht="12.75" customHeight="1" thickBot="1" x14ac:dyDescent="0.25">
      <c r="A183" s="1482" t="s">
        <v>979</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810</v>
      </c>
      <c r="B184" s="1642" t="s">
        <v>568</v>
      </c>
      <c r="C184" s="1650">
        <f>SUM(C180,C182,C183)</f>
        <v>677307</v>
      </c>
      <c r="D184" s="1650">
        <f t="shared" ref="D184:J184" si="17">SUM(D180,D182,D183)</f>
        <v>42234</v>
      </c>
      <c r="E184" s="1650">
        <f t="shared" si="17"/>
        <v>307546</v>
      </c>
      <c r="F184" s="1650">
        <f t="shared" si="17"/>
        <v>139247</v>
      </c>
      <c r="G184" s="1650">
        <f t="shared" si="17"/>
        <v>1559758</v>
      </c>
      <c r="H184" s="1650">
        <f t="shared" si="17"/>
        <v>819</v>
      </c>
      <c r="I184" s="1650">
        <f t="shared" si="17"/>
        <v>0</v>
      </c>
      <c r="J184" s="1650">
        <f t="shared" si="17"/>
        <v>0</v>
      </c>
      <c r="K184" s="1650">
        <f>SUM(K180,K182,K183)</f>
        <v>2726911</v>
      </c>
      <c r="L184" s="1650">
        <f>SUM(L180, L182:L183)</f>
        <v>1253136</v>
      </c>
    </row>
    <row r="185" spans="1:14" ht="15.75" customHeight="1" thickTop="1" thickBot="1" x14ac:dyDescent="0.25">
      <c r="A185" s="1595" t="s">
        <v>938</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859</v>
      </c>
      <c r="C186" s="593"/>
      <c r="D186" s="593"/>
      <c r="E186" s="593"/>
      <c r="F186" s="593"/>
      <c r="G186" s="593"/>
      <c r="H186" s="593"/>
      <c r="I186" s="593"/>
      <c r="J186" s="593"/>
      <c r="K186" s="593"/>
      <c r="L186" s="593"/>
      <c r="M186" s="640"/>
      <c r="N186" s="640"/>
    </row>
    <row r="187" spans="1:14" s="649" customFormat="1" ht="15.75" customHeight="1" x14ac:dyDescent="0.2">
      <c r="A187" s="598" t="s">
        <v>1130</v>
      </c>
      <c r="B187" s="599"/>
      <c r="C187" s="593"/>
      <c r="D187" s="593"/>
      <c r="E187" s="593"/>
      <c r="F187" s="593"/>
      <c r="G187" s="593"/>
      <c r="H187" s="593"/>
      <c r="I187" s="593"/>
      <c r="J187" s="593"/>
      <c r="K187" s="593"/>
      <c r="L187" s="593"/>
      <c r="M187" s="640"/>
      <c r="N187" s="640"/>
    </row>
    <row r="188" spans="1:14" x14ac:dyDescent="0.2">
      <c r="A188" s="1477" t="s">
        <v>495</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303</v>
      </c>
      <c r="B189" s="591">
        <v>4120</v>
      </c>
      <c r="C189" s="593"/>
      <c r="D189" s="593"/>
      <c r="E189" s="1967">
        <v>0</v>
      </c>
      <c r="F189" s="593"/>
      <c r="G189" s="593"/>
      <c r="H189" s="1967">
        <v>0</v>
      </c>
      <c r="I189" s="473"/>
      <c r="J189" s="593"/>
      <c r="K189" s="1644">
        <f t="shared" si="18"/>
        <v>0</v>
      </c>
      <c r="L189" s="1989">
        <v>0</v>
      </c>
    </row>
    <row r="190" spans="1:14" x14ac:dyDescent="0.2">
      <c r="A190" s="1477" t="s">
        <v>304</v>
      </c>
      <c r="B190" s="605">
        <v>4130</v>
      </c>
      <c r="C190" s="593"/>
      <c r="D190" s="593"/>
      <c r="E190" s="1967">
        <v>0</v>
      </c>
      <c r="F190" s="593"/>
      <c r="G190" s="593"/>
      <c r="H190" s="1967">
        <v>0</v>
      </c>
      <c r="I190" s="473"/>
      <c r="J190" s="593"/>
      <c r="K190" s="1644">
        <f t="shared" si="18"/>
        <v>0</v>
      </c>
      <c r="L190" s="1989">
        <v>0</v>
      </c>
    </row>
    <row r="191" spans="1:14" x14ac:dyDescent="0.2">
      <c r="A191" s="1477" t="s">
        <v>696</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697</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1139</v>
      </c>
      <c r="B194" s="1642" t="s">
        <v>558</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930</v>
      </c>
      <c r="C195" s="593"/>
      <c r="D195" s="593"/>
      <c r="E195" s="1983">
        <v>0</v>
      </c>
      <c r="F195" s="593"/>
      <c r="G195" s="593"/>
      <c r="H195" s="1983">
        <v>0</v>
      </c>
      <c r="I195" s="473"/>
      <c r="J195" s="593"/>
      <c r="K195" s="1658">
        <f>SUM(E195,H195)</f>
        <v>0</v>
      </c>
      <c r="L195" s="2004">
        <v>0</v>
      </c>
    </row>
    <row r="196" spans="1:14" ht="12.75" customHeight="1" thickBot="1" x14ac:dyDescent="0.25">
      <c r="A196" s="1641" t="s">
        <v>1486</v>
      </c>
      <c r="B196" s="1642" t="s">
        <v>859</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939</v>
      </c>
      <c r="B197" s="1582" t="s">
        <v>491</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1169</v>
      </c>
      <c r="B201" s="605" t="s">
        <v>616</v>
      </c>
      <c r="C201" s="593"/>
      <c r="D201" s="593"/>
      <c r="E201" s="593"/>
      <c r="F201" s="593"/>
      <c r="G201" s="593"/>
      <c r="H201" s="1967">
        <v>0</v>
      </c>
      <c r="I201" s="593"/>
      <c r="J201" s="593"/>
      <c r="K201" s="1644">
        <f>SUM(H201)</f>
        <v>0</v>
      </c>
      <c r="L201" s="1989">
        <v>0</v>
      </c>
    </row>
    <row r="202" spans="1:14" x14ac:dyDescent="0.2">
      <c r="A202" s="1477" t="s">
        <v>89</v>
      </c>
      <c r="B202" s="591" t="s">
        <v>588</v>
      </c>
      <c r="C202" s="593"/>
      <c r="D202" s="593"/>
      <c r="E202" s="593"/>
      <c r="F202" s="593"/>
      <c r="G202" s="593"/>
      <c r="H202" s="1967">
        <v>0</v>
      </c>
      <c r="I202" s="593"/>
      <c r="J202" s="593"/>
      <c r="K202" s="1644">
        <f>SUM(H202)</f>
        <v>0</v>
      </c>
      <c r="L202" s="1989">
        <v>0</v>
      </c>
    </row>
    <row r="203" spans="1:14" x14ac:dyDescent="0.2">
      <c r="A203" s="1489" t="s">
        <v>618</v>
      </c>
      <c r="B203" s="591" t="s">
        <v>617</v>
      </c>
      <c r="C203" s="593"/>
      <c r="D203" s="593"/>
      <c r="E203" s="593"/>
      <c r="F203" s="593"/>
      <c r="G203" s="593"/>
      <c r="H203" s="1969">
        <v>0</v>
      </c>
      <c r="I203" s="593"/>
      <c r="J203" s="593"/>
      <c r="K203" s="1644">
        <f>SUM(H203)</f>
        <v>0</v>
      </c>
      <c r="L203" s="1991">
        <v>0</v>
      </c>
    </row>
    <row r="204" spans="1:14" ht="13.5" thickBot="1" x14ac:dyDescent="0.25">
      <c r="A204" s="1641" t="s">
        <v>275</v>
      </c>
      <c r="B204" s="1642" t="s">
        <v>717</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1975</v>
      </c>
      <c r="I205" s="593"/>
      <c r="J205" s="593"/>
      <c r="K205" s="1658">
        <f>SUM(H205)</f>
        <v>1975</v>
      </c>
      <c r="L205" s="2000">
        <v>1975</v>
      </c>
    </row>
    <row r="206" spans="1:14" ht="30" customHeight="1" x14ac:dyDescent="0.2">
      <c r="A206" s="656" t="s">
        <v>1670</v>
      </c>
      <c r="B206" s="647" t="s">
        <v>31</v>
      </c>
      <c r="C206" s="593"/>
      <c r="D206" s="593"/>
      <c r="E206" s="593"/>
      <c r="F206" s="593"/>
      <c r="G206" s="593"/>
      <c r="H206" s="1967">
        <v>337816</v>
      </c>
      <c r="I206" s="593"/>
      <c r="J206" s="593"/>
      <c r="K206" s="1644">
        <f>SUM(H206)</f>
        <v>337816</v>
      </c>
      <c r="L206" s="1989">
        <v>337816</v>
      </c>
    </row>
    <row r="207" spans="1:14" ht="15.75" customHeight="1" x14ac:dyDescent="0.2">
      <c r="A207" s="598" t="s">
        <v>765</v>
      </c>
      <c r="B207" s="647" t="s">
        <v>84</v>
      </c>
      <c r="C207" s="593"/>
      <c r="D207" s="593"/>
      <c r="E207" s="593"/>
      <c r="F207" s="593"/>
      <c r="G207" s="593"/>
      <c r="H207" s="1968">
        <v>0</v>
      </c>
      <c r="I207" s="593"/>
      <c r="J207" s="593"/>
      <c r="K207" s="1644">
        <f>H207</f>
        <v>0</v>
      </c>
      <c r="L207" s="1989">
        <v>0</v>
      </c>
    </row>
    <row r="208" spans="1:14" ht="12.75" customHeight="1" thickBot="1" x14ac:dyDescent="0.25">
      <c r="A208" s="1659" t="s">
        <v>637</v>
      </c>
      <c r="B208" s="1660" t="s">
        <v>491</v>
      </c>
      <c r="C208" s="593"/>
      <c r="D208" s="593"/>
      <c r="E208" s="593"/>
      <c r="F208" s="593"/>
      <c r="G208" s="593"/>
      <c r="H208" s="1650">
        <f>SUM(H204,H205,H206,H207)</f>
        <v>339791</v>
      </c>
      <c r="I208" s="593"/>
      <c r="J208" s="593"/>
      <c r="K208" s="1650">
        <f>SUM(K204,K205,K206,K207)</f>
        <v>339791</v>
      </c>
      <c r="L208" s="1650">
        <f>SUM(L204,L205,L206,L207)</f>
        <v>339791</v>
      </c>
    </row>
    <row r="209" spans="1:14" ht="15.75" customHeight="1" thickTop="1" thickBot="1" x14ac:dyDescent="0.25">
      <c r="A209" s="1579" t="s">
        <v>871</v>
      </c>
      <c r="B209" s="1586" t="s">
        <v>860</v>
      </c>
      <c r="C209" s="600"/>
      <c r="D209" s="600"/>
      <c r="E209" s="600"/>
      <c r="F209" s="600"/>
      <c r="G209" s="600"/>
      <c r="H209" s="600"/>
      <c r="I209" s="593"/>
      <c r="J209" s="593"/>
      <c r="K209" s="600"/>
      <c r="L209" s="2002">
        <v>0</v>
      </c>
    </row>
    <row r="210" spans="1:14" ht="12.75" customHeight="1" thickTop="1" thickBot="1" x14ac:dyDescent="0.25">
      <c r="A210" s="1665" t="s">
        <v>276</v>
      </c>
      <c r="B210" s="1666"/>
      <c r="C210" s="1643">
        <f>SUM(C184,C185)</f>
        <v>677307</v>
      </c>
      <c r="D210" s="1643">
        <f>SUM(D184,D185)</f>
        <v>42234</v>
      </c>
      <c r="E210" s="1643">
        <f>SUM(E184,E185,E196)</f>
        <v>307546</v>
      </c>
      <c r="F210" s="1643">
        <f>SUM(F184,F185)</f>
        <v>139247</v>
      </c>
      <c r="G210" s="1643">
        <f>SUM(G184,G185)</f>
        <v>1559758</v>
      </c>
      <c r="H210" s="1643">
        <f>SUM(H184,H185,H196,H208,H209)</f>
        <v>340610</v>
      </c>
      <c r="I210" s="1643">
        <f>SUM(I184,I185)</f>
        <v>0</v>
      </c>
      <c r="J210" s="1643">
        <f>SUM(J184,J185)</f>
        <v>0</v>
      </c>
      <c r="K210" s="1644">
        <f>SUM(K184,K185,K196,K208,K209)</f>
        <v>3066702</v>
      </c>
      <c r="L210" s="1643">
        <f>SUM(L184,L185,L196,L208,L209)</f>
        <v>1592927</v>
      </c>
    </row>
    <row r="211" spans="1:14" ht="13.5" thickTop="1" x14ac:dyDescent="0.2">
      <c r="A211" s="2256" t="s">
        <v>995</v>
      </c>
      <c r="B211" s="2257"/>
      <c r="C211" s="595"/>
      <c r="D211" s="595"/>
      <c r="E211" s="595"/>
      <c r="F211" s="595"/>
      <c r="G211" s="595"/>
      <c r="H211" s="595"/>
      <c r="I211" s="593"/>
      <c r="J211" s="593"/>
      <c r="K211" s="1657">
        <f>'Revenues 9-14'!F268-'Expenditures 15-22'!K210</f>
        <v>-1483088</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51" t="s">
        <v>964</v>
      </c>
      <c r="B213" s="2252"/>
      <c r="C213" s="1524"/>
      <c r="D213" s="1525"/>
      <c r="E213" s="1525"/>
      <c r="F213" s="1525"/>
      <c r="G213" s="1525"/>
      <c r="H213" s="1525"/>
      <c r="I213" s="1525"/>
      <c r="J213" s="1525"/>
      <c r="K213" s="1525"/>
      <c r="L213" s="1526"/>
      <c r="M213" s="586"/>
      <c r="N213" s="586"/>
    </row>
    <row r="214" spans="1:14" s="649" customFormat="1" ht="15.75" customHeight="1" x14ac:dyDescent="0.2">
      <c r="A214" s="1596" t="s">
        <v>872</v>
      </c>
      <c r="B214" s="1588" t="s">
        <v>569</v>
      </c>
      <c r="C214" s="593"/>
      <c r="D214" s="600"/>
      <c r="E214" s="593"/>
      <c r="F214" s="593"/>
      <c r="G214" s="593"/>
      <c r="H214" s="593"/>
      <c r="I214" s="593"/>
      <c r="J214" s="593"/>
      <c r="K214" s="600"/>
      <c r="L214" s="600"/>
      <c r="M214" s="640"/>
      <c r="N214" s="640"/>
    </row>
    <row r="215" spans="1:14" x14ac:dyDescent="0.2">
      <c r="A215" s="1477" t="s">
        <v>960</v>
      </c>
      <c r="B215" s="591">
        <v>1100</v>
      </c>
      <c r="C215" s="593"/>
      <c r="D215" s="1967">
        <v>116370</v>
      </c>
      <c r="E215" s="593"/>
      <c r="F215" s="593"/>
      <c r="G215" s="593"/>
      <c r="H215" s="593"/>
      <c r="I215" s="593"/>
      <c r="J215" s="593"/>
      <c r="K215" s="1644">
        <f>D215</f>
        <v>116370</v>
      </c>
      <c r="L215" s="1989">
        <v>74556</v>
      </c>
    </row>
    <row r="216" spans="1:14" x14ac:dyDescent="0.2">
      <c r="A216" s="1477" t="s">
        <v>163</v>
      </c>
      <c r="B216" s="591" t="s">
        <v>966</v>
      </c>
      <c r="C216" s="593"/>
      <c r="D216" s="1968">
        <v>0</v>
      </c>
      <c r="E216" s="593"/>
      <c r="F216" s="593"/>
      <c r="G216" s="593"/>
      <c r="H216" s="593"/>
      <c r="I216" s="593"/>
      <c r="J216" s="593"/>
      <c r="K216" s="1644">
        <f t="shared" ref="K216:K228" si="19">D216</f>
        <v>0</v>
      </c>
      <c r="L216" s="1989">
        <v>42866</v>
      </c>
    </row>
    <row r="217" spans="1:14" x14ac:dyDescent="0.2">
      <c r="A217" s="1477" t="s">
        <v>164</v>
      </c>
      <c r="B217" s="591">
        <v>1200</v>
      </c>
      <c r="C217" s="593"/>
      <c r="D217" s="1967">
        <v>96587</v>
      </c>
      <c r="E217" s="593"/>
      <c r="F217" s="593"/>
      <c r="G217" s="593"/>
      <c r="H217" s="593"/>
      <c r="I217" s="593"/>
      <c r="J217" s="593"/>
      <c r="K217" s="1644">
        <f t="shared" si="19"/>
        <v>96587</v>
      </c>
      <c r="L217" s="1989">
        <v>114728</v>
      </c>
    </row>
    <row r="218" spans="1:14" x14ac:dyDescent="0.2">
      <c r="A218" s="1477" t="s">
        <v>277</v>
      </c>
      <c r="B218" s="591" t="s">
        <v>967</v>
      </c>
      <c r="C218" s="593"/>
      <c r="D218" s="1968">
        <v>4348</v>
      </c>
      <c r="E218" s="593"/>
      <c r="F218" s="593"/>
      <c r="G218" s="593"/>
      <c r="H218" s="593"/>
      <c r="I218" s="593"/>
      <c r="J218" s="593"/>
      <c r="K218" s="1644">
        <f t="shared" si="19"/>
        <v>4348</v>
      </c>
      <c r="L218" s="1989">
        <v>4917</v>
      </c>
    </row>
    <row r="219" spans="1:14" x14ac:dyDescent="0.2">
      <c r="A219" s="1477" t="s">
        <v>278</v>
      </c>
      <c r="B219" s="591">
        <v>1250</v>
      </c>
      <c r="C219" s="593"/>
      <c r="D219" s="1967">
        <v>9425</v>
      </c>
      <c r="E219" s="593"/>
      <c r="F219" s="593"/>
      <c r="G219" s="593"/>
      <c r="H219" s="593"/>
      <c r="I219" s="593"/>
      <c r="J219" s="593"/>
      <c r="K219" s="1644">
        <f t="shared" si="19"/>
        <v>9425</v>
      </c>
      <c r="L219" s="1989">
        <v>2366</v>
      </c>
    </row>
    <row r="220" spans="1:14" x14ac:dyDescent="0.2">
      <c r="A220" s="1477" t="s">
        <v>279</v>
      </c>
      <c r="B220" s="591" t="s">
        <v>161</v>
      </c>
      <c r="C220" s="593"/>
      <c r="D220" s="1968">
        <v>0</v>
      </c>
      <c r="E220" s="593"/>
      <c r="F220" s="593"/>
      <c r="G220" s="593"/>
      <c r="H220" s="593"/>
      <c r="I220" s="593"/>
      <c r="J220" s="593"/>
      <c r="K220" s="1644">
        <f t="shared" si="19"/>
        <v>0</v>
      </c>
      <c r="L220" s="1989">
        <v>0</v>
      </c>
    </row>
    <row r="221" spans="1:14" x14ac:dyDescent="0.2">
      <c r="A221" s="1477" t="s">
        <v>961</v>
      </c>
      <c r="B221" s="591">
        <v>1300</v>
      </c>
      <c r="C221" s="593"/>
      <c r="D221" s="1967">
        <v>0</v>
      </c>
      <c r="E221" s="593"/>
      <c r="F221" s="593"/>
      <c r="G221" s="593"/>
      <c r="H221" s="593"/>
      <c r="I221" s="593"/>
      <c r="J221" s="593"/>
      <c r="K221" s="1644">
        <f t="shared" si="19"/>
        <v>0</v>
      </c>
      <c r="L221" s="1989">
        <v>0</v>
      </c>
    </row>
    <row r="222" spans="1:14" x14ac:dyDescent="0.2">
      <c r="A222" s="1477" t="s">
        <v>722</v>
      </c>
      <c r="B222" s="591">
        <v>1400</v>
      </c>
      <c r="C222" s="593"/>
      <c r="D222" s="1967">
        <v>4577</v>
      </c>
      <c r="E222" s="593"/>
      <c r="F222" s="593"/>
      <c r="G222" s="593"/>
      <c r="H222" s="593"/>
      <c r="I222" s="593"/>
      <c r="J222" s="593"/>
      <c r="K222" s="1644">
        <f t="shared" si="19"/>
        <v>4577</v>
      </c>
      <c r="L222" s="1989">
        <v>4436</v>
      </c>
    </row>
    <row r="223" spans="1:14" x14ac:dyDescent="0.2">
      <c r="A223" s="1477" t="s">
        <v>962</v>
      </c>
      <c r="B223" s="591">
        <v>1500</v>
      </c>
      <c r="C223" s="593"/>
      <c r="D223" s="1967">
        <v>25992</v>
      </c>
      <c r="E223" s="593"/>
      <c r="F223" s="593"/>
      <c r="G223" s="593"/>
      <c r="H223" s="593"/>
      <c r="I223" s="593"/>
      <c r="J223" s="593"/>
      <c r="K223" s="1644">
        <f t="shared" si="19"/>
        <v>25992</v>
      </c>
      <c r="L223" s="1989">
        <v>30598</v>
      </c>
    </row>
    <row r="224" spans="1:14" x14ac:dyDescent="0.2">
      <c r="A224" s="1477" t="s">
        <v>963</v>
      </c>
      <c r="B224" s="591">
        <v>1600</v>
      </c>
      <c r="C224" s="593"/>
      <c r="D224" s="1967">
        <v>0</v>
      </c>
      <c r="E224" s="593"/>
      <c r="F224" s="593"/>
      <c r="G224" s="593"/>
      <c r="H224" s="593"/>
      <c r="I224" s="593"/>
      <c r="J224" s="593"/>
      <c r="K224" s="1644">
        <f t="shared" si="19"/>
        <v>0</v>
      </c>
      <c r="L224" s="1989">
        <v>0</v>
      </c>
    </row>
    <row r="225" spans="1:12" x14ac:dyDescent="0.2">
      <c r="A225" s="1477" t="s">
        <v>986</v>
      </c>
      <c r="B225" s="591">
        <v>1650</v>
      </c>
      <c r="C225" s="593"/>
      <c r="D225" s="1967">
        <v>744</v>
      </c>
      <c r="E225" s="593"/>
      <c r="F225" s="593"/>
      <c r="G225" s="593"/>
      <c r="H225" s="593"/>
      <c r="I225" s="593"/>
      <c r="J225" s="593"/>
      <c r="K225" s="1644">
        <f t="shared" si="19"/>
        <v>744</v>
      </c>
      <c r="L225" s="1989">
        <v>757</v>
      </c>
    </row>
    <row r="226" spans="1:12" x14ac:dyDescent="0.2">
      <c r="A226" s="1477" t="s">
        <v>723</v>
      </c>
      <c r="B226" s="591" t="s">
        <v>162</v>
      </c>
      <c r="C226" s="593"/>
      <c r="D226" s="1968">
        <v>912</v>
      </c>
      <c r="E226" s="593"/>
      <c r="F226" s="593"/>
      <c r="G226" s="593"/>
      <c r="H226" s="593"/>
      <c r="I226" s="593"/>
      <c r="J226" s="593"/>
      <c r="K226" s="1644">
        <f t="shared" si="19"/>
        <v>912</v>
      </c>
      <c r="L226" s="1989">
        <v>2077</v>
      </c>
    </row>
    <row r="227" spans="1:12" x14ac:dyDescent="0.2">
      <c r="A227" s="1477" t="s">
        <v>1086</v>
      </c>
      <c r="B227" s="591">
        <v>1800</v>
      </c>
      <c r="C227" s="593"/>
      <c r="D227" s="1967">
        <v>1376</v>
      </c>
      <c r="E227" s="593"/>
      <c r="F227" s="593"/>
      <c r="G227" s="593"/>
      <c r="H227" s="593"/>
      <c r="I227" s="593"/>
      <c r="J227" s="593"/>
      <c r="K227" s="1644">
        <f t="shared" si="19"/>
        <v>1376</v>
      </c>
      <c r="L227" s="1989">
        <v>843</v>
      </c>
    </row>
    <row r="228" spans="1:12" x14ac:dyDescent="0.2">
      <c r="A228" s="1477" t="s">
        <v>1087</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714</v>
      </c>
      <c r="B229" s="1648" t="s">
        <v>569</v>
      </c>
      <c r="C229" s="593"/>
      <c r="D229" s="1643">
        <f>SUM(D215:D228)</f>
        <v>260331</v>
      </c>
      <c r="E229" s="593"/>
      <c r="F229" s="593"/>
      <c r="G229" s="593"/>
      <c r="H229" s="593"/>
      <c r="I229" s="593"/>
      <c r="J229" s="593"/>
      <c r="K229" s="1643">
        <f>SUM(K215:K228)</f>
        <v>260331</v>
      </c>
      <c r="L229" s="1643">
        <f>SUM(L215:L228)</f>
        <v>278144</v>
      </c>
    </row>
    <row r="230" spans="1:12" ht="15.75" customHeight="1" thickTop="1" x14ac:dyDescent="0.2">
      <c r="A230" s="1585" t="s">
        <v>873</v>
      </c>
      <c r="B230" s="1586" t="s">
        <v>568</v>
      </c>
      <c r="C230" s="593"/>
      <c r="D230" s="593"/>
      <c r="E230" s="593"/>
      <c r="F230" s="593"/>
      <c r="G230" s="593"/>
      <c r="H230" s="593"/>
      <c r="I230" s="593"/>
      <c r="J230" s="593"/>
      <c r="K230" s="593"/>
      <c r="L230" s="593"/>
    </row>
    <row r="231" spans="1:12" ht="15.75" customHeight="1" x14ac:dyDescent="0.2">
      <c r="A231" s="629" t="s">
        <v>590</v>
      </c>
      <c r="B231" s="599"/>
      <c r="C231" s="593"/>
      <c r="D231" s="593"/>
      <c r="E231" s="593"/>
      <c r="F231" s="593"/>
      <c r="G231" s="593"/>
      <c r="H231" s="593"/>
      <c r="I231" s="593"/>
      <c r="J231" s="593"/>
      <c r="K231" s="593"/>
      <c r="L231" s="593"/>
    </row>
    <row r="232" spans="1:12" x14ac:dyDescent="0.2">
      <c r="A232" s="1477" t="s">
        <v>1088</v>
      </c>
      <c r="B232" s="591">
        <v>2110</v>
      </c>
      <c r="C232" s="593"/>
      <c r="D232" s="1967">
        <v>5426</v>
      </c>
      <c r="E232" s="593"/>
      <c r="F232" s="593"/>
      <c r="G232" s="593"/>
      <c r="H232" s="593"/>
      <c r="I232" s="593"/>
      <c r="J232" s="593"/>
      <c r="K232" s="1644">
        <f t="shared" ref="K232:K237" si="20">D232</f>
        <v>5426</v>
      </c>
      <c r="L232" s="1989">
        <v>5183</v>
      </c>
    </row>
    <row r="233" spans="1:12" x14ac:dyDescent="0.2">
      <c r="A233" s="1477" t="s">
        <v>1089</v>
      </c>
      <c r="B233" s="591">
        <v>2120</v>
      </c>
      <c r="C233" s="593"/>
      <c r="D233" s="1967">
        <v>5123</v>
      </c>
      <c r="E233" s="593"/>
      <c r="F233" s="593"/>
      <c r="G233" s="593"/>
      <c r="H233" s="593"/>
      <c r="I233" s="593"/>
      <c r="J233" s="593"/>
      <c r="K233" s="1644">
        <f t="shared" si="20"/>
        <v>5123</v>
      </c>
      <c r="L233" s="1989">
        <v>5012</v>
      </c>
    </row>
    <row r="234" spans="1:12" x14ac:dyDescent="0.2">
      <c r="A234" s="1477" t="s">
        <v>198</v>
      </c>
      <c r="B234" s="591">
        <v>2130</v>
      </c>
      <c r="C234" s="593"/>
      <c r="D234" s="1967">
        <v>18435</v>
      </c>
      <c r="E234" s="593"/>
      <c r="F234" s="593"/>
      <c r="G234" s="593"/>
      <c r="H234" s="593"/>
      <c r="I234" s="593"/>
      <c r="J234" s="593"/>
      <c r="K234" s="1644">
        <f t="shared" si="20"/>
        <v>18435</v>
      </c>
      <c r="L234" s="1989">
        <v>18593</v>
      </c>
    </row>
    <row r="235" spans="1:12" x14ac:dyDescent="0.2">
      <c r="A235" s="1477" t="s">
        <v>199</v>
      </c>
      <c r="B235" s="591">
        <v>2140</v>
      </c>
      <c r="C235" s="593"/>
      <c r="D235" s="1967">
        <v>1928</v>
      </c>
      <c r="E235" s="593"/>
      <c r="F235" s="593"/>
      <c r="G235" s="593"/>
      <c r="H235" s="593"/>
      <c r="I235" s="593"/>
      <c r="J235" s="593"/>
      <c r="K235" s="1644">
        <f t="shared" si="20"/>
        <v>1928</v>
      </c>
      <c r="L235" s="1989">
        <v>2014</v>
      </c>
    </row>
    <row r="236" spans="1:12" x14ac:dyDescent="0.2">
      <c r="A236" s="1477" t="s">
        <v>200</v>
      </c>
      <c r="B236" s="591">
        <v>2150</v>
      </c>
      <c r="C236" s="593"/>
      <c r="D236" s="1967">
        <v>4877</v>
      </c>
      <c r="E236" s="593"/>
      <c r="F236" s="593"/>
      <c r="G236" s="593"/>
      <c r="H236" s="593"/>
      <c r="I236" s="593"/>
      <c r="J236" s="593"/>
      <c r="K236" s="1644">
        <f t="shared" si="20"/>
        <v>4877</v>
      </c>
      <c r="L236" s="1989">
        <v>4829</v>
      </c>
    </row>
    <row r="237" spans="1:12" x14ac:dyDescent="0.2">
      <c r="A237" s="1477" t="s">
        <v>165</v>
      </c>
      <c r="B237" s="591">
        <v>2190</v>
      </c>
      <c r="C237" s="593"/>
      <c r="D237" s="1967">
        <v>42800</v>
      </c>
      <c r="E237" s="593"/>
      <c r="F237" s="593"/>
      <c r="G237" s="593"/>
      <c r="H237" s="593"/>
      <c r="I237" s="593"/>
      <c r="J237" s="593"/>
      <c r="K237" s="1644">
        <f t="shared" si="20"/>
        <v>42800</v>
      </c>
      <c r="L237" s="1989">
        <v>48959</v>
      </c>
    </row>
    <row r="238" spans="1:12" ht="12.75" customHeight="1" thickBot="1" x14ac:dyDescent="0.25">
      <c r="A238" s="1641" t="s">
        <v>559</v>
      </c>
      <c r="B238" s="1648" t="s">
        <v>715</v>
      </c>
      <c r="C238" s="593"/>
      <c r="D238" s="1643">
        <f>SUM(D232:D237)</f>
        <v>78589</v>
      </c>
      <c r="E238" s="593"/>
      <c r="F238" s="593"/>
      <c r="G238" s="593"/>
      <c r="H238" s="593"/>
      <c r="I238" s="593"/>
      <c r="J238" s="593"/>
      <c r="K238" s="1643">
        <f>SUM(K232:K237)</f>
        <v>78589</v>
      </c>
      <c r="L238" s="1643">
        <f>SUM(L232:L237)</f>
        <v>84590</v>
      </c>
    </row>
    <row r="239" spans="1:12" ht="15.75" customHeight="1" thickTop="1" x14ac:dyDescent="0.2">
      <c r="A239" s="601" t="s">
        <v>591</v>
      </c>
      <c r="B239" s="608"/>
      <c r="C239" s="593"/>
      <c r="D239" s="603"/>
      <c r="E239" s="593"/>
      <c r="F239" s="593"/>
      <c r="G239" s="593"/>
      <c r="H239" s="593"/>
      <c r="I239" s="593"/>
      <c r="J239" s="593"/>
      <c r="K239" s="603"/>
      <c r="L239" s="603"/>
    </row>
    <row r="240" spans="1:12" x14ac:dyDescent="0.2">
      <c r="A240" s="1477" t="s">
        <v>813</v>
      </c>
      <c r="B240" s="591">
        <v>2210</v>
      </c>
      <c r="C240" s="593"/>
      <c r="D240" s="477">
        <v>11494</v>
      </c>
      <c r="E240" s="593"/>
      <c r="F240" s="593"/>
      <c r="G240" s="593"/>
      <c r="H240" s="593"/>
      <c r="I240" s="593"/>
      <c r="J240" s="593"/>
      <c r="K240" s="1645">
        <f>D240</f>
        <v>11494</v>
      </c>
      <c r="L240" s="477">
        <v>5798</v>
      </c>
    </row>
    <row r="241" spans="1:12" x14ac:dyDescent="0.2">
      <c r="A241" s="1477" t="s">
        <v>814</v>
      </c>
      <c r="B241" s="591">
        <v>2220</v>
      </c>
      <c r="C241" s="593"/>
      <c r="D241" s="1967">
        <v>13206</v>
      </c>
      <c r="E241" s="593"/>
      <c r="F241" s="593"/>
      <c r="G241" s="593"/>
      <c r="H241" s="593"/>
      <c r="I241" s="593"/>
      <c r="J241" s="593"/>
      <c r="K241" s="1645">
        <f>D241</f>
        <v>13206</v>
      </c>
      <c r="L241" s="1989">
        <v>5766</v>
      </c>
    </row>
    <row r="242" spans="1:12" x14ac:dyDescent="0.2">
      <c r="A242" s="1477" t="s">
        <v>815</v>
      </c>
      <c r="B242" s="591">
        <v>2230</v>
      </c>
      <c r="C242" s="593"/>
      <c r="D242" s="1967">
        <v>0</v>
      </c>
      <c r="E242" s="593"/>
      <c r="F242" s="593"/>
      <c r="G242" s="593"/>
      <c r="H242" s="593"/>
      <c r="I242" s="593"/>
      <c r="J242" s="593"/>
      <c r="K242" s="1645">
        <f>D242</f>
        <v>0</v>
      </c>
      <c r="L242" s="1989">
        <v>0</v>
      </c>
    </row>
    <row r="243" spans="1:12" ht="12.75" customHeight="1" thickBot="1" x14ac:dyDescent="0.25">
      <c r="A243" s="1667" t="s">
        <v>560</v>
      </c>
      <c r="B243" s="1668">
        <v>2200</v>
      </c>
      <c r="C243" s="593"/>
      <c r="D243" s="1643">
        <f>SUM(D240:D242)</f>
        <v>24700</v>
      </c>
      <c r="E243" s="593"/>
      <c r="F243" s="593"/>
      <c r="G243" s="593"/>
      <c r="H243" s="593"/>
      <c r="I243" s="593"/>
      <c r="J243" s="593"/>
      <c r="K243" s="1643">
        <f>SUM(K240:K242)</f>
        <v>24700</v>
      </c>
      <c r="L243" s="1643">
        <f>SUM(L240:L242)</f>
        <v>11564</v>
      </c>
    </row>
    <row r="244" spans="1:12" ht="15.75" customHeight="1" thickTop="1" x14ac:dyDescent="0.2">
      <c r="A244" s="601" t="s">
        <v>609</v>
      </c>
      <c r="B244" s="657"/>
      <c r="C244" s="593"/>
      <c r="D244" s="603"/>
      <c r="E244" s="593"/>
      <c r="F244" s="593"/>
      <c r="G244" s="593"/>
      <c r="H244" s="593"/>
      <c r="I244" s="593"/>
      <c r="J244" s="593"/>
      <c r="K244" s="603"/>
      <c r="L244" s="603"/>
    </row>
    <row r="245" spans="1:12" x14ac:dyDescent="0.2">
      <c r="A245" s="1477" t="s">
        <v>816</v>
      </c>
      <c r="B245" s="591">
        <v>2310</v>
      </c>
      <c r="C245" s="593"/>
      <c r="D245" s="477">
        <v>0</v>
      </c>
      <c r="E245" s="593"/>
      <c r="F245" s="593"/>
      <c r="G245" s="593"/>
      <c r="H245" s="593"/>
      <c r="I245" s="593"/>
      <c r="J245" s="593"/>
      <c r="K245" s="1645">
        <f>D245</f>
        <v>0</v>
      </c>
      <c r="L245" s="477">
        <v>0</v>
      </c>
    </row>
    <row r="246" spans="1:12" x14ac:dyDescent="0.2">
      <c r="A246" s="1477" t="s">
        <v>817</v>
      </c>
      <c r="B246" s="591">
        <v>2320</v>
      </c>
      <c r="C246" s="593"/>
      <c r="D246" s="1967">
        <v>12615</v>
      </c>
      <c r="E246" s="593"/>
      <c r="F246" s="593"/>
      <c r="G246" s="593"/>
      <c r="H246" s="593"/>
      <c r="I246" s="593"/>
      <c r="J246" s="593"/>
      <c r="K246" s="1645">
        <f t="shared" ref="K246:K256" si="21">D246</f>
        <v>12615</v>
      </c>
      <c r="L246" s="1989">
        <v>6794</v>
      </c>
    </row>
    <row r="247" spans="1:12" x14ac:dyDescent="0.2">
      <c r="A247" s="1477" t="s">
        <v>818</v>
      </c>
      <c r="B247" s="591">
        <v>2330</v>
      </c>
      <c r="C247" s="593"/>
      <c r="D247" s="1967">
        <v>0</v>
      </c>
      <c r="E247" s="593"/>
      <c r="F247" s="593"/>
      <c r="G247" s="593"/>
      <c r="H247" s="593"/>
      <c r="I247" s="593"/>
      <c r="J247" s="593"/>
      <c r="K247" s="1645">
        <f t="shared" si="21"/>
        <v>0</v>
      </c>
      <c r="L247" s="1989">
        <v>0</v>
      </c>
    </row>
    <row r="248" spans="1:12" x14ac:dyDescent="0.2">
      <c r="A248" s="1478" t="s">
        <v>298</v>
      </c>
      <c r="B248" s="579" t="s">
        <v>280</v>
      </c>
      <c r="C248" s="593"/>
      <c r="D248" s="1970">
        <v>0</v>
      </c>
      <c r="E248" s="593"/>
      <c r="F248" s="593"/>
      <c r="G248" s="593"/>
      <c r="H248" s="593"/>
      <c r="I248" s="593"/>
      <c r="J248" s="593"/>
      <c r="K248" s="1645">
        <f t="shared" si="21"/>
        <v>0</v>
      </c>
      <c r="L248" s="1989">
        <v>0</v>
      </c>
    </row>
    <row r="249" spans="1:12" x14ac:dyDescent="0.2">
      <c r="A249" s="1479" t="s">
        <v>1802</v>
      </c>
      <c r="B249" s="658" t="s">
        <v>281</v>
      </c>
      <c r="C249" s="593"/>
      <c r="D249" s="1970">
        <v>0</v>
      </c>
      <c r="E249" s="593"/>
      <c r="F249" s="593"/>
      <c r="G249" s="593"/>
      <c r="H249" s="593"/>
      <c r="I249" s="593"/>
      <c r="J249" s="593"/>
      <c r="K249" s="1645">
        <f t="shared" si="21"/>
        <v>0</v>
      </c>
      <c r="L249" s="1989">
        <v>0</v>
      </c>
    </row>
    <row r="250" spans="1:12" x14ac:dyDescent="0.2">
      <c r="A250" s="1478" t="s">
        <v>1803</v>
      </c>
      <c r="B250" s="579" t="s">
        <v>282</v>
      </c>
      <c r="C250" s="593"/>
      <c r="D250" s="1970">
        <v>0</v>
      </c>
      <c r="E250" s="593"/>
      <c r="F250" s="593"/>
      <c r="G250" s="593"/>
      <c r="H250" s="593"/>
      <c r="I250" s="593"/>
      <c r="J250" s="593"/>
      <c r="K250" s="1645">
        <f t="shared" si="21"/>
        <v>0</v>
      </c>
      <c r="L250" s="1989">
        <v>0</v>
      </c>
    </row>
    <row r="251" spans="1:12" x14ac:dyDescent="0.2">
      <c r="A251" s="1478" t="s">
        <v>238</v>
      </c>
      <c r="B251" s="579" t="s">
        <v>283</v>
      </c>
      <c r="C251" s="593"/>
      <c r="D251" s="1970">
        <v>0</v>
      </c>
      <c r="E251" s="593"/>
      <c r="F251" s="593"/>
      <c r="G251" s="593"/>
      <c r="H251" s="593"/>
      <c r="I251" s="593"/>
      <c r="J251" s="593"/>
      <c r="K251" s="1645">
        <f t="shared" si="21"/>
        <v>0</v>
      </c>
      <c r="L251" s="1989">
        <v>0</v>
      </c>
    </row>
    <row r="252" spans="1:12" x14ac:dyDescent="0.2">
      <c r="A252" s="1478" t="s">
        <v>701</v>
      </c>
      <c r="B252" s="579" t="s">
        <v>284</v>
      </c>
      <c r="C252" s="593"/>
      <c r="D252" s="1970">
        <v>0</v>
      </c>
      <c r="E252" s="593"/>
      <c r="F252" s="593"/>
      <c r="G252" s="593"/>
      <c r="H252" s="593"/>
      <c r="I252" s="593"/>
      <c r="J252" s="593"/>
      <c r="K252" s="1645">
        <f t="shared" si="21"/>
        <v>0</v>
      </c>
      <c r="L252" s="1989">
        <v>0</v>
      </c>
    </row>
    <row r="253" spans="1:12" x14ac:dyDescent="0.2">
      <c r="A253" s="1478" t="s">
        <v>239</v>
      </c>
      <c r="B253" s="579" t="s">
        <v>285</v>
      </c>
      <c r="C253" s="593"/>
      <c r="D253" s="1970">
        <v>0</v>
      </c>
      <c r="E253" s="593"/>
      <c r="F253" s="593"/>
      <c r="G253" s="593"/>
      <c r="H253" s="593"/>
      <c r="I253" s="593"/>
      <c r="J253" s="593"/>
      <c r="K253" s="1645">
        <f t="shared" si="21"/>
        <v>0</v>
      </c>
      <c r="L253" s="1989">
        <v>0</v>
      </c>
    </row>
    <row r="254" spans="1:12" ht="22.5" x14ac:dyDescent="0.2">
      <c r="A254" s="1478" t="s">
        <v>1028</v>
      </c>
      <c r="B254" s="658" t="s">
        <v>286</v>
      </c>
      <c r="C254" s="593"/>
      <c r="D254" s="1970">
        <v>0</v>
      </c>
      <c r="E254" s="593"/>
      <c r="F254" s="593"/>
      <c r="G254" s="593"/>
      <c r="H254" s="593"/>
      <c r="I254" s="593"/>
      <c r="J254" s="593"/>
      <c r="K254" s="1645">
        <f t="shared" si="21"/>
        <v>0</v>
      </c>
      <c r="L254" s="1989">
        <v>0</v>
      </c>
    </row>
    <row r="255" spans="1:12" x14ac:dyDescent="0.2">
      <c r="A255" s="1478" t="s">
        <v>1029</v>
      </c>
      <c r="B255" s="579" t="s">
        <v>287</v>
      </c>
      <c r="C255" s="593"/>
      <c r="D255" s="1970">
        <v>0</v>
      </c>
      <c r="E255" s="593"/>
      <c r="F255" s="593"/>
      <c r="G255" s="593"/>
      <c r="H255" s="593"/>
      <c r="I255" s="593"/>
      <c r="J255" s="593"/>
      <c r="K255" s="1645">
        <f t="shared" si="21"/>
        <v>0</v>
      </c>
      <c r="L255" s="1989">
        <v>0</v>
      </c>
    </row>
    <row r="256" spans="1:12" x14ac:dyDescent="0.2">
      <c r="A256" s="1478" t="s">
        <v>970</v>
      </c>
      <c r="B256" s="591" t="s">
        <v>288</v>
      </c>
      <c r="C256" s="593"/>
      <c r="D256" s="1970">
        <v>0</v>
      </c>
      <c r="E256" s="593"/>
      <c r="F256" s="593"/>
      <c r="G256" s="593"/>
      <c r="H256" s="593"/>
      <c r="I256" s="593"/>
      <c r="J256" s="593"/>
      <c r="K256" s="1645">
        <f t="shared" si="21"/>
        <v>0</v>
      </c>
      <c r="L256" s="1989">
        <v>0</v>
      </c>
    </row>
    <row r="257" spans="1:14" ht="12.75" customHeight="1" thickBot="1" x14ac:dyDescent="0.25">
      <c r="A257" s="1641" t="s">
        <v>716</v>
      </c>
      <c r="B257" s="1669">
        <v>2300</v>
      </c>
      <c r="C257" s="593"/>
      <c r="D257" s="1643">
        <f>SUM(D245:D256)</f>
        <v>12615</v>
      </c>
      <c r="E257" s="593"/>
      <c r="F257" s="593"/>
      <c r="G257" s="593"/>
      <c r="H257" s="593"/>
      <c r="I257" s="593"/>
      <c r="J257" s="593"/>
      <c r="K257" s="1643">
        <f>SUM(K245:K256)</f>
        <v>12615</v>
      </c>
      <c r="L257" s="1643">
        <f>SUM(L245:L256)</f>
        <v>6794</v>
      </c>
    </row>
    <row r="258" spans="1:14" ht="15.75" customHeight="1" thickTop="1" x14ac:dyDescent="0.2">
      <c r="A258" s="601" t="s">
        <v>610</v>
      </c>
      <c r="B258" s="659"/>
      <c r="C258" s="593"/>
      <c r="D258" s="603"/>
      <c r="E258" s="593"/>
      <c r="F258" s="593"/>
      <c r="G258" s="593"/>
      <c r="H258" s="593"/>
      <c r="I258" s="593"/>
      <c r="J258" s="593"/>
      <c r="K258" s="603"/>
      <c r="L258" s="603"/>
    </row>
    <row r="259" spans="1:14" x14ac:dyDescent="0.2">
      <c r="A259" s="1477" t="s">
        <v>1066</v>
      </c>
      <c r="B259" s="660">
        <v>2410</v>
      </c>
      <c r="C259" s="593"/>
      <c r="D259" s="477">
        <v>53241</v>
      </c>
      <c r="E259" s="593"/>
      <c r="F259" s="593"/>
      <c r="G259" s="593"/>
      <c r="H259" s="593"/>
      <c r="I259" s="593"/>
      <c r="J259" s="593"/>
      <c r="K259" s="1645">
        <f>D259</f>
        <v>53241</v>
      </c>
      <c r="L259" s="477">
        <v>60855</v>
      </c>
    </row>
    <row r="260" spans="1:14" s="574" customFormat="1" x14ac:dyDescent="0.2">
      <c r="A260" s="1495" t="s">
        <v>1801</v>
      </c>
      <c r="B260" s="605">
        <v>2490</v>
      </c>
      <c r="C260" s="593"/>
      <c r="D260" s="1967">
        <v>0</v>
      </c>
      <c r="E260" s="593"/>
      <c r="F260" s="593"/>
      <c r="G260" s="593"/>
      <c r="H260" s="593"/>
      <c r="I260" s="593"/>
      <c r="J260" s="593"/>
      <c r="K260" s="1645">
        <f>D260</f>
        <v>0</v>
      </c>
      <c r="L260" s="1989">
        <v>0</v>
      </c>
      <c r="M260" s="210"/>
      <c r="N260" s="210"/>
    </row>
    <row r="261" spans="1:14" ht="12.75" customHeight="1" thickBot="1" x14ac:dyDescent="0.25">
      <c r="A261" s="1665" t="s">
        <v>263</v>
      </c>
      <c r="B261" s="1670" t="s">
        <v>34</v>
      </c>
      <c r="C261" s="593"/>
      <c r="D261" s="1643">
        <f>SUM(D259:D260)</f>
        <v>53241</v>
      </c>
      <c r="E261" s="593"/>
      <c r="F261" s="593"/>
      <c r="G261" s="593"/>
      <c r="H261" s="593"/>
      <c r="I261" s="593"/>
      <c r="J261" s="593"/>
      <c r="K261" s="1643">
        <f>SUM(K259:K260)</f>
        <v>53241</v>
      </c>
      <c r="L261" s="1643">
        <f>SUM(L259:L260)</f>
        <v>60855</v>
      </c>
    </row>
    <row r="262" spans="1:14" ht="15.75" customHeight="1" thickTop="1" x14ac:dyDescent="0.2">
      <c r="A262" s="601" t="s">
        <v>611</v>
      </c>
      <c r="B262" s="659"/>
      <c r="C262" s="593"/>
      <c r="D262" s="593"/>
      <c r="E262" s="593"/>
      <c r="F262" s="593"/>
      <c r="G262" s="593"/>
      <c r="H262" s="593"/>
      <c r="I262" s="593"/>
      <c r="J262" s="593"/>
      <c r="K262" s="603"/>
      <c r="L262" s="603"/>
    </row>
    <row r="263" spans="1:14" x14ac:dyDescent="0.2">
      <c r="A263" s="1477" t="s">
        <v>1067</v>
      </c>
      <c r="B263" s="660">
        <v>2510</v>
      </c>
      <c r="C263" s="593"/>
      <c r="D263" s="1967">
        <v>1512</v>
      </c>
      <c r="E263" s="593"/>
      <c r="F263" s="593"/>
      <c r="G263" s="593"/>
      <c r="H263" s="593"/>
      <c r="I263" s="593"/>
      <c r="J263" s="593"/>
      <c r="K263" s="1645">
        <f>D263</f>
        <v>1512</v>
      </c>
      <c r="L263" s="477">
        <v>1511</v>
      </c>
    </row>
    <row r="264" spans="1:14" x14ac:dyDescent="0.2">
      <c r="A264" s="1477" t="s">
        <v>462</v>
      </c>
      <c r="B264" s="660">
        <v>2520</v>
      </c>
      <c r="C264" s="593"/>
      <c r="D264" s="1967">
        <v>20940</v>
      </c>
      <c r="E264" s="593"/>
      <c r="F264" s="593"/>
      <c r="G264" s="593"/>
      <c r="H264" s="593"/>
      <c r="I264" s="593"/>
      <c r="J264" s="593"/>
      <c r="K264" s="1645">
        <f t="shared" ref="K264:K269" si="22">D264</f>
        <v>20940</v>
      </c>
      <c r="L264" s="1989">
        <v>27417</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110725</v>
      </c>
      <c r="E266" s="593"/>
      <c r="F266" s="593"/>
      <c r="G266" s="593"/>
      <c r="H266" s="593"/>
      <c r="I266" s="593"/>
      <c r="J266" s="593"/>
      <c r="K266" s="1645">
        <f t="shared" si="22"/>
        <v>110725</v>
      </c>
      <c r="L266" s="1989">
        <v>118198</v>
      </c>
    </row>
    <row r="267" spans="1:14" x14ac:dyDescent="0.2">
      <c r="A267" s="1477" t="s">
        <v>952</v>
      </c>
      <c r="B267" s="591">
        <v>2550</v>
      </c>
      <c r="C267" s="593"/>
      <c r="D267" s="1967">
        <v>113349</v>
      </c>
      <c r="E267" s="593"/>
      <c r="F267" s="593"/>
      <c r="G267" s="593"/>
      <c r="H267" s="593"/>
      <c r="I267" s="593"/>
      <c r="J267" s="593"/>
      <c r="K267" s="1645">
        <f t="shared" si="22"/>
        <v>113349</v>
      </c>
      <c r="L267" s="1989">
        <v>114017</v>
      </c>
    </row>
    <row r="268" spans="1:14" x14ac:dyDescent="0.2">
      <c r="A268" s="1477" t="s">
        <v>100</v>
      </c>
      <c r="B268" s="591">
        <v>2560</v>
      </c>
      <c r="C268" s="593"/>
      <c r="D268" s="1967">
        <v>42224</v>
      </c>
      <c r="E268" s="593"/>
      <c r="F268" s="593"/>
      <c r="G268" s="593"/>
      <c r="H268" s="593"/>
      <c r="I268" s="593"/>
      <c r="J268" s="593"/>
      <c r="K268" s="1645">
        <f t="shared" si="22"/>
        <v>42224</v>
      </c>
      <c r="L268" s="1989">
        <v>47143</v>
      </c>
    </row>
    <row r="269" spans="1:14" x14ac:dyDescent="0.2">
      <c r="A269" s="1477" t="s">
        <v>101</v>
      </c>
      <c r="B269" s="591">
        <v>2570</v>
      </c>
      <c r="C269" s="593"/>
      <c r="D269" s="1967">
        <v>0</v>
      </c>
      <c r="E269" s="593"/>
      <c r="F269" s="593"/>
      <c r="G269" s="593"/>
      <c r="H269" s="593"/>
      <c r="I269" s="593"/>
      <c r="J269" s="593"/>
      <c r="K269" s="1645">
        <f t="shared" si="22"/>
        <v>0</v>
      </c>
      <c r="L269" s="1989">
        <v>0</v>
      </c>
    </row>
    <row r="270" spans="1:14" ht="12.75" customHeight="1" thickBot="1" x14ac:dyDescent="0.25">
      <c r="A270" s="1641" t="s">
        <v>718</v>
      </c>
      <c r="B270" s="1648" t="s">
        <v>35</v>
      </c>
      <c r="C270" s="593"/>
      <c r="D270" s="1643">
        <f>SUM(D263:D269)</f>
        <v>288750</v>
      </c>
      <c r="E270" s="593"/>
      <c r="F270" s="593"/>
      <c r="G270" s="593"/>
      <c r="H270" s="593"/>
      <c r="I270" s="593"/>
      <c r="J270" s="593"/>
      <c r="K270" s="1643">
        <f>SUM(K263:K269)</f>
        <v>288750</v>
      </c>
      <c r="L270" s="1643">
        <f>SUM(L263:L269)</f>
        <v>308286</v>
      </c>
    </row>
    <row r="271" spans="1:14" ht="15.75" customHeight="1" thickTop="1" x14ac:dyDescent="0.2">
      <c r="A271" s="644" t="s">
        <v>612</v>
      </c>
      <c r="B271" s="602"/>
      <c r="C271" s="593"/>
      <c r="D271" s="603"/>
      <c r="E271" s="593"/>
      <c r="F271" s="593"/>
      <c r="G271" s="593"/>
      <c r="H271" s="593"/>
      <c r="I271" s="593"/>
      <c r="J271" s="593"/>
      <c r="K271" s="603"/>
      <c r="L271" s="603"/>
    </row>
    <row r="272" spans="1:14" x14ac:dyDescent="0.2">
      <c r="A272" s="1477" t="s">
        <v>1059</v>
      </c>
      <c r="B272" s="591">
        <v>2610</v>
      </c>
      <c r="C272" s="593"/>
      <c r="D272" s="477">
        <v>0</v>
      </c>
      <c r="E272" s="593"/>
      <c r="F272" s="593"/>
      <c r="G272" s="593"/>
      <c r="H272" s="593"/>
      <c r="I272" s="593"/>
      <c r="J272" s="593"/>
      <c r="K272" s="1645">
        <f>D272</f>
        <v>0</v>
      </c>
      <c r="L272" s="477">
        <v>0</v>
      </c>
    </row>
    <row r="273" spans="1:12" x14ac:dyDescent="0.2">
      <c r="A273" s="1477" t="s">
        <v>606</v>
      </c>
      <c r="B273" s="605">
        <v>2620</v>
      </c>
      <c r="C273" s="593"/>
      <c r="D273" s="1967">
        <v>0</v>
      </c>
      <c r="E273" s="593"/>
      <c r="F273" s="593"/>
      <c r="G273" s="593"/>
      <c r="H273" s="593"/>
      <c r="I273" s="593"/>
      <c r="J273" s="593"/>
      <c r="K273" s="1645">
        <f>D273</f>
        <v>0</v>
      </c>
      <c r="L273" s="1989">
        <v>0</v>
      </c>
    </row>
    <row r="274" spans="1:12" ht="12" customHeight="1" x14ac:dyDescent="0.2">
      <c r="A274" s="1477" t="s">
        <v>1060</v>
      </c>
      <c r="B274" s="591">
        <v>2630</v>
      </c>
      <c r="C274" s="593"/>
      <c r="D274" s="1967">
        <v>29378</v>
      </c>
      <c r="E274" s="593"/>
      <c r="F274" s="593"/>
      <c r="G274" s="593"/>
      <c r="H274" s="593"/>
      <c r="I274" s="593"/>
      <c r="J274" s="593"/>
      <c r="K274" s="1645">
        <f>D274</f>
        <v>29378</v>
      </c>
      <c r="L274" s="1989">
        <v>29084</v>
      </c>
    </row>
    <row r="275" spans="1:12" x14ac:dyDescent="0.2">
      <c r="A275" s="1477" t="s">
        <v>402</v>
      </c>
      <c r="B275" s="591">
        <v>2640</v>
      </c>
      <c r="C275" s="593"/>
      <c r="D275" s="1967">
        <v>10406</v>
      </c>
      <c r="E275" s="593"/>
      <c r="F275" s="593"/>
      <c r="G275" s="593"/>
      <c r="H275" s="593"/>
      <c r="I275" s="593"/>
      <c r="J275" s="593"/>
      <c r="K275" s="1645">
        <f>D275</f>
        <v>10406</v>
      </c>
      <c r="L275" s="1989">
        <v>11796</v>
      </c>
    </row>
    <row r="276" spans="1:12" x14ac:dyDescent="0.2">
      <c r="A276" s="1477" t="s">
        <v>403</v>
      </c>
      <c r="B276" s="591">
        <v>2660</v>
      </c>
      <c r="C276" s="593"/>
      <c r="D276" s="1967">
        <v>0</v>
      </c>
      <c r="E276" s="593"/>
      <c r="F276" s="593"/>
      <c r="G276" s="593"/>
      <c r="H276" s="593"/>
      <c r="I276" s="593"/>
      <c r="J276" s="593"/>
      <c r="K276" s="1645">
        <f>D276</f>
        <v>0</v>
      </c>
      <c r="L276" s="1989">
        <v>0</v>
      </c>
    </row>
    <row r="277" spans="1:12" ht="12.75" customHeight="1" thickBot="1" x14ac:dyDescent="0.25">
      <c r="A277" s="1664" t="s">
        <v>37</v>
      </c>
      <c r="B277" s="1642" t="s">
        <v>36</v>
      </c>
      <c r="C277" s="593"/>
      <c r="D277" s="1643">
        <f>SUM(D272:D276)</f>
        <v>39784</v>
      </c>
      <c r="E277" s="593"/>
      <c r="F277" s="593"/>
      <c r="G277" s="593"/>
      <c r="H277" s="593"/>
      <c r="I277" s="593"/>
      <c r="J277" s="593"/>
      <c r="K277" s="1643">
        <f>SUM(K272:K276)</f>
        <v>39784</v>
      </c>
      <c r="L277" s="1643">
        <f>SUM(L272:L276)</f>
        <v>40880</v>
      </c>
    </row>
    <row r="278" spans="1:12" ht="13.5" customHeight="1" thickTop="1" x14ac:dyDescent="0.2">
      <c r="A278" s="1483" t="s">
        <v>979</v>
      </c>
      <c r="B278" s="631" t="s">
        <v>573</v>
      </c>
      <c r="C278" s="593"/>
      <c r="D278" s="1983">
        <v>0</v>
      </c>
      <c r="E278" s="593"/>
      <c r="F278" s="593"/>
      <c r="G278" s="593"/>
      <c r="H278" s="593"/>
      <c r="I278" s="593"/>
      <c r="J278" s="593"/>
      <c r="K278" s="1658">
        <f>D278</f>
        <v>0</v>
      </c>
      <c r="L278" s="2004">
        <v>0</v>
      </c>
    </row>
    <row r="279" spans="1:12" ht="12.75" customHeight="1" thickBot="1" x14ac:dyDescent="0.25">
      <c r="A279" s="1671" t="s">
        <v>810</v>
      </c>
      <c r="B279" s="1654">
        <v>2000</v>
      </c>
      <c r="C279" s="593"/>
      <c r="D279" s="1650">
        <f>SUM(D238,D243,D257,D261,D270,D277,D278)</f>
        <v>497679</v>
      </c>
      <c r="E279" s="593"/>
      <c r="F279" s="593"/>
      <c r="G279" s="593"/>
      <c r="H279" s="593"/>
      <c r="I279" s="593"/>
      <c r="J279" s="593"/>
      <c r="K279" s="1650">
        <f>SUM(K238,K243,K257,K261,K270,K277,K278)</f>
        <v>497679</v>
      </c>
      <c r="L279" s="1650">
        <f>SUM(L238,L243,L257,L261,L270,L277,L278)</f>
        <v>512969</v>
      </c>
    </row>
    <row r="280" spans="1:12" ht="15.75" customHeight="1" thickTop="1" thickBot="1" x14ac:dyDescent="0.25">
      <c r="A280" s="1597" t="s">
        <v>874</v>
      </c>
      <c r="B280" s="1586">
        <v>3000</v>
      </c>
      <c r="C280" s="593"/>
      <c r="D280" s="1980">
        <v>0</v>
      </c>
      <c r="E280" s="593"/>
      <c r="F280" s="593"/>
      <c r="G280" s="593"/>
      <c r="H280" s="593"/>
      <c r="I280" s="593"/>
      <c r="J280" s="593"/>
      <c r="K280" s="1652">
        <f>D280</f>
        <v>0</v>
      </c>
      <c r="L280" s="2002">
        <v>0</v>
      </c>
    </row>
    <row r="281" spans="1:12" ht="15.75" customHeight="1" thickTop="1" x14ac:dyDescent="0.2">
      <c r="A281" s="1587" t="s">
        <v>142</v>
      </c>
      <c r="B281" s="1588" t="s">
        <v>859</v>
      </c>
      <c r="C281" s="593"/>
      <c r="D281" s="554"/>
      <c r="E281" s="593"/>
      <c r="F281" s="593"/>
      <c r="G281" s="593"/>
      <c r="H281" s="593"/>
      <c r="I281" s="593"/>
      <c r="J281" s="593"/>
      <c r="K281" s="593"/>
      <c r="L281" s="593"/>
    </row>
    <row r="282" spans="1:12" ht="15.75" customHeight="1" x14ac:dyDescent="0.2">
      <c r="A282" s="1803" t="s">
        <v>495</v>
      </c>
      <c r="B282" s="665" t="s">
        <v>1842</v>
      </c>
      <c r="C282" s="593"/>
      <c r="D282" s="1968">
        <v>0</v>
      </c>
      <c r="E282" s="593"/>
      <c r="F282" s="593"/>
      <c r="G282" s="593"/>
      <c r="H282" s="593"/>
      <c r="I282" s="593"/>
      <c r="J282" s="593"/>
      <c r="K282" s="1644">
        <f>D282</f>
        <v>0</v>
      </c>
      <c r="L282" s="1990">
        <v>0</v>
      </c>
    </row>
    <row r="283" spans="1:12" x14ac:dyDescent="0.2">
      <c r="A283" s="1477" t="s">
        <v>303</v>
      </c>
      <c r="B283" s="591">
        <v>4120</v>
      </c>
      <c r="C283" s="593"/>
      <c r="D283" s="1967">
        <v>0</v>
      </c>
      <c r="E283" s="593"/>
      <c r="F283" s="593"/>
      <c r="G283" s="593"/>
      <c r="H283" s="593"/>
      <c r="I283" s="593"/>
      <c r="J283" s="593"/>
      <c r="K283" s="1644">
        <f>D283</f>
        <v>0</v>
      </c>
      <c r="L283" s="1989">
        <v>0</v>
      </c>
    </row>
    <row r="284" spans="1:12" x14ac:dyDescent="0.2">
      <c r="A284" s="1477" t="s">
        <v>696</v>
      </c>
      <c r="B284" s="591">
        <v>4140</v>
      </c>
      <c r="C284" s="593"/>
      <c r="D284" s="1968">
        <v>0</v>
      </c>
      <c r="E284" s="593"/>
      <c r="F284" s="593"/>
      <c r="G284" s="593"/>
      <c r="H284" s="593"/>
      <c r="I284" s="593"/>
      <c r="J284" s="593"/>
      <c r="K284" s="1644">
        <f>D284</f>
        <v>0</v>
      </c>
      <c r="L284" s="1989">
        <v>0</v>
      </c>
    </row>
    <row r="285" spans="1:12" ht="12.75" customHeight="1" thickBot="1" x14ac:dyDescent="0.25">
      <c r="A285" s="1641" t="s">
        <v>1486</v>
      </c>
      <c r="B285" s="1642" t="s">
        <v>859</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875</v>
      </c>
      <c r="B286" s="1582" t="s">
        <v>491</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1169</v>
      </c>
      <c r="B290" s="605" t="s">
        <v>616</v>
      </c>
      <c r="C290" s="593"/>
      <c r="D290" s="593"/>
      <c r="E290" s="593"/>
      <c r="F290" s="593"/>
      <c r="G290" s="593"/>
      <c r="H290" s="1967">
        <v>0</v>
      </c>
      <c r="I290" s="593"/>
      <c r="J290" s="593"/>
      <c r="K290" s="1644">
        <f>H290</f>
        <v>0</v>
      </c>
      <c r="L290" s="1989">
        <v>0</v>
      </c>
    </row>
    <row r="291" spans="1:14" x14ac:dyDescent="0.2">
      <c r="A291" s="1477" t="s">
        <v>89</v>
      </c>
      <c r="B291" s="591" t="s">
        <v>588</v>
      </c>
      <c r="C291" s="593"/>
      <c r="D291" s="593"/>
      <c r="E291" s="593"/>
      <c r="F291" s="593"/>
      <c r="G291" s="593"/>
      <c r="H291" s="1967">
        <v>0</v>
      </c>
      <c r="I291" s="593"/>
      <c r="J291" s="593"/>
      <c r="K291" s="1644">
        <f>H291</f>
        <v>0</v>
      </c>
      <c r="L291" s="1989">
        <v>0</v>
      </c>
    </row>
    <row r="292" spans="1:14" x14ac:dyDescent="0.2">
      <c r="A292" s="1477" t="s">
        <v>761</v>
      </c>
      <c r="B292" s="591" t="s">
        <v>617</v>
      </c>
      <c r="C292" s="593"/>
      <c r="D292" s="593"/>
      <c r="E292" s="593"/>
      <c r="F292" s="593"/>
      <c r="G292" s="593"/>
      <c r="H292" s="1967">
        <v>0</v>
      </c>
      <c r="I292" s="593"/>
      <c r="J292" s="593"/>
      <c r="K292" s="1644">
        <f>H292</f>
        <v>0</v>
      </c>
      <c r="L292" s="1989">
        <v>0</v>
      </c>
    </row>
    <row r="293" spans="1:14" ht="12.75" customHeight="1" thickBot="1" x14ac:dyDescent="0.25">
      <c r="A293" s="1641" t="s">
        <v>483</v>
      </c>
      <c r="B293" s="1642" t="s">
        <v>491</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876</v>
      </c>
      <c r="B294" s="1586" t="s">
        <v>860</v>
      </c>
      <c r="C294" s="593"/>
      <c r="D294" s="600"/>
      <c r="E294" s="593"/>
      <c r="F294" s="593"/>
      <c r="G294" s="593"/>
      <c r="H294" s="661"/>
      <c r="I294" s="593"/>
      <c r="J294" s="593"/>
      <c r="K294" s="661"/>
      <c r="L294" s="2003">
        <v>0</v>
      </c>
    </row>
    <row r="295" spans="1:14" ht="12.75" customHeight="1" thickTop="1" thickBot="1" x14ac:dyDescent="0.25">
      <c r="A295" s="2247" t="s">
        <v>504</v>
      </c>
      <c r="B295" s="2248"/>
      <c r="C295" s="593"/>
      <c r="D295" s="1643">
        <f>SUM(D229,D279,D280,D285)</f>
        <v>758010</v>
      </c>
      <c r="E295" s="593"/>
      <c r="F295" s="593"/>
      <c r="G295" s="593"/>
      <c r="H295" s="1643">
        <f>H293</f>
        <v>0</v>
      </c>
      <c r="I295" s="593"/>
      <c r="J295" s="593"/>
      <c r="K295" s="1643">
        <f>SUM(K229,K279,K280,K285,K293,K294)</f>
        <v>758010</v>
      </c>
      <c r="L295" s="1643">
        <f>SUM(L229,L279,L280,L285,L293,L294)</f>
        <v>791113</v>
      </c>
    </row>
    <row r="296" spans="1:14" ht="13.5" thickTop="1" x14ac:dyDescent="0.2">
      <c r="A296" s="2256" t="s">
        <v>995</v>
      </c>
      <c r="B296" s="2257"/>
      <c r="C296" s="593"/>
      <c r="D296" s="595"/>
      <c r="E296" s="593"/>
      <c r="F296" s="593"/>
      <c r="G296" s="593"/>
      <c r="H296" s="662"/>
      <c r="I296" s="593"/>
      <c r="J296" s="593"/>
      <c r="K296" s="1657">
        <f>'Revenues 9-14'!G268-'Expenditures 15-22'!K295</f>
        <v>36368</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9" t="s">
        <v>143</v>
      </c>
      <c r="B298" s="2233"/>
      <c r="C298" s="1524"/>
      <c r="D298" s="1525"/>
      <c r="E298" s="1525"/>
      <c r="F298" s="1525"/>
      <c r="G298" s="1525"/>
      <c r="H298" s="1525"/>
      <c r="I298" s="1525"/>
      <c r="J298" s="1525"/>
      <c r="K298" s="1525"/>
      <c r="L298" s="1526"/>
    </row>
    <row r="299" spans="1:14" ht="15.75" customHeight="1" x14ac:dyDescent="0.2">
      <c r="A299" s="1585" t="s">
        <v>144</v>
      </c>
      <c r="B299" s="1588" t="s">
        <v>568</v>
      </c>
      <c r="C299" s="593"/>
      <c r="D299" s="593"/>
      <c r="E299" s="593"/>
      <c r="F299" s="593"/>
      <c r="G299" s="593"/>
      <c r="H299" s="593"/>
      <c r="I299" s="593"/>
      <c r="J299" s="593"/>
      <c r="K299" s="593"/>
      <c r="L299" s="593"/>
    </row>
    <row r="300" spans="1:14" ht="15.75" customHeight="1" x14ac:dyDescent="0.2">
      <c r="A300" s="663" t="s">
        <v>611</v>
      </c>
      <c r="B300" s="608"/>
      <c r="C300" s="600"/>
      <c r="D300" s="600"/>
      <c r="E300" s="600"/>
      <c r="F300" s="600"/>
      <c r="G300" s="600"/>
      <c r="H300" s="600"/>
      <c r="I300" s="593"/>
      <c r="J300" s="593"/>
      <c r="K300" s="600"/>
      <c r="L300" s="600"/>
    </row>
    <row r="301" spans="1:14" x14ac:dyDescent="0.2">
      <c r="A301" s="1490" t="s">
        <v>607</v>
      </c>
      <c r="B301" s="664">
        <v>2530</v>
      </c>
      <c r="C301" s="1967">
        <v>0</v>
      </c>
      <c r="D301" s="1967">
        <v>0</v>
      </c>
      <c r="E301" s="1967">
        <v>0</v>
      </c>
      <c r="F301" s="1967">
        <v>0</v>
      </c>
      <c r="G301" s="1967">
        <v>116356</v>
      </c>
      <c r="H301" s="1967">
        <v>0</v>
      </c>
      <c r="I301" s="1968">
        <v>0</v>
      </c>
      <c r="J301" s="1968">
        <v>0</v>
      </c>
      <c r="K301" s="1644">
        <f>SUM(C301:J301)</f>
        <v>116356</v>
      </c>
      <c r="L301" s="1990">
        <v>116292</v>
      </c>
    </row>
    <row r="302" spans="1:14" ht="13.5" customHeight="1" x14ac:dyDescent="0.2">
      <c r="A302" s="1490" t="s">
        <v>979</v>
      </c>
      <c r="B302" s="591" t="s">
        <v>573</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810</v>
      </c>
      <c r="B303" s="1642" t="s">
        <v>568</v>
      </c>
      <c r="C303" s="1650">
        <f>SUM(C301:C302)</f>
        <v>0</v>
      </c>
      <c r="D303" s="1650">
        <f t="shared" ref="D303:L303" si="23">SUM(D301:D302)</f>
        <v>0</v>
      </c>
      <c r="E303" s="1650">
        <f t="shared" si="23"/>
        <v>0</v>
      </c>
      <c r="F303" s="1650">
        <f t="shared" si="23"/>
        <v>0</v>
      </c>
      <c r="G303" s="1650">
        <f t="shared" si="23"/>
        <v>116356</v>
      </c>
      <c r="H303" s="1650">
        <f t="shared" si="23"/>
        <v>0</v>
      </c>
      <c r="I303" s="1650">
        <f t="shared" si="23"/>
        <v>0</v>
      </c>
      <c r="J303" s="1650">
        <f t="shared" si="23"/>
        <v>0</v>
      </c>
      <c r="K303" s="1650">
        <f t="shared" si="23"/>
        <v>116356</v>
      </c>
      <c r="L303" s="1650">
        <f t="shared" si="23"/>
        <v>116292</v>
      </c>
    </row>
    <row r="304" spans="1:14" ht="15.75" customHeight="1" thickTop="1" x14ac:dyDescent="0.2">
      <c r="A304" s="1585" t="s">
        <v>145</v>
      </c>
      <c r="B304" s="1586" t="s">
        <v>859</v>
      </c>
      <c r="C304" s="593"/>
      <c r="D304" s="593"/>
      <c r="E304" s="593"/>
      <c r="F304" s="593"/>
      <c r="G304" s="593"/>
      <c r="H304" s="593"/>
      <c r="I304" s="593"/>
      <c r="J304" s="593"/>
      <c r="K304" s="593"/>
      <c r="L304" s="593"/>
    </row>
    <row r="305" spans="1:14" ht="15.75" customHeight="1" x14ac:dyDescent="0.2">
      <c r="A305" s="629" t="s">
        <v>896</v>
      </c>
      <c r="B305" s="599"/>
      <c r="C305" s="593"/>
      <c r="D305" s="593"/>
      <c r="E305" s="593"/>
      <c r="F305" s="593"/>
      <c r="G305" s="593"/>
      <c r="H305" s="593"/>
      <c r="I305" s="593"/>
      <c r="J305" s="593"/>
      <c r="K305" s="593"/>
      <c r="L305" s="593"/>
    </row>
    <row r="306" spans="1:14" x14ac:dyDescent="0.2">
      <c r="A306" s="1491" t="s">
        <v>1847</v>
      </c>
      <c r="B306" s="665" t="s">
        <v>1842</v>
      </c>
      <c r="C306" s="593"/>
      <c r="D306" s="593"/>
      <c r="E306" s="1968">
        <v>0</v>
      </c>
      <c r="F306" s="593"/>
      <c r="G306" s="593"/>
      <c r="H306" s="1968">
        <v>0</v>
      </c>
      <c r="I306" s="593"/>
      <c r="J306" s="593"/>
      <c r="K306" s="1644">
        <f>SUM(E306,H306)</f>
        <v>0</v>
      </c>
      <c r="L306" s="1990">
        <v>0</v>
      </c>
    </row>
    <row r="307" spans="1:14" x14ac:dyDescent="0.2">
      <c r="A307" s="1477" t="s">
        <v>303</v>
      </c>
      <c r="B307" s="591">
        <v>4120</v>
      </c>
      <c r="C307" s="593"/>
      <c r="D307" s="593"/>
      <c r="E307" s="1968">
        <v>0</v>
      </c>
      <c r="F307" s="593"/>
      <c r="G307" s="593"/>
      <c r="H307" s="1968">
        <v>0</v>
      </c>
      <c r="I307" s="473"/>
      <c r="J307" s="593"/>
      <c r="K307" s="1644">
        <f>SUM(E307,H307)</f>
        <v>0</v>
      </c>
      <c r="L307" s="1989">
        <v>0</v>
      </c>
    </row>
    <row r="308" spans="1:14" x14ac:dyDescent="0.2">
      <c r="A308" s="1477" t="s">
        <v>696</v>
      </c>
      <c r="B308" s="591">
        <v>4140</v>
      </c>
      <c r="C308" s="593"/>
      <c r="D308" s="593"/>
      <c r="E308" s="1968">
        <v>0</v>
      </c>
      <c r="F308" s="593"/>
      <c r="G308" s="593"/>
      <c r="H308" s="1968">
        <v>0</v>
      </c>
      <c r="I308" s="473"/>
      <c r="J308" s="593"/>
      <c r="K308" s="1644">
        <f>SUM(E308,H308)</f>
        <v>0</v>
      </c>
      <c r="L308" s="1989">
        <v>0</v>
      </c>
    </row>
    <row r="309" spans="1:14" ht="12.75" customHeight="1" x14ac:dyDescent="0.2">
      <c r="A309" s="1481" t="s">
        <v>697</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1486</v>
      </c>
      <c r="B310" s="1648" t="s">
        <v>859</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894</v>
      </c>
      <c r="B311" s="1584" t="s">
        <v>860</v>
      </c>
      <c r="C311" s="600"/>
      <c r="D311" s="600"/>
      <c r="E311" s="600"/>
      <c r="F311" s="600"/>
      <c r="G311" s="600"/>
      <c r="H311" s="600"/>
      <c r="I311" s="600"/>
      <c r="J311" s="593"/>
      <c r="K311" s="600"/>
      <c r="L311" s="2002">
        <v>0</v>
      </c>
    </row>
    <row r="312" spans="1:14" s="649" customFormat="1" ht="12.75" customHeight="1" thickTop="1" thickBot="1" x14ac:dyDescent="0.25">
      <c r="A312" s="2244" t="s">
        <v>276</v>
      </c>
      <c r="B312" s="2245"/>
      <c r="C312" s="1643">
        <f>SUM(C303)</f>
        <v>0</v>
      </c>
      <c r="D312" s="1643">
        <f>SUM(D303)</f>
        <v>0</v>
      </c>
      <c r="E312" s="1643">
        <f>SUM(E303,E310)</f>
        <v>0</v>
      </c>
      <c r="F312" s="1643">
        <f>SUM(F303)</f>
        <v>0</v>
      </c>
      <c r="G312" s="1643">
        <f>SUM(G303)</f>
        <v>116356</v>
      </c>
      <c r="H312" s="1643">
        <f>SUM(H303,H310)</f>
        <v>0</v>
      </c>
      <c r="I312" s="1643">
        <f>SUM(I303)</f>
        <v>0</v>
      </c>
      <c r="J312" s="1643">
        <f>SUM(J303)</f>
        <v>0</v>
      </c>
      <c r="K312" s="1643">
        <f>SUM(K303,K310,K311)</f>
        <v>116356</v>
      </c>
      <c r="L312" s="1643">
        <f>SUM(L303,L310,L311)</f>
        <v>116292</v>
      </c>
      <c r="M312" s="640"/>
      <c r="N312" s="640"/>
    </row>
    <row r="313" spans="1:14" ht="13.5" thickTop="1" x14ac:dyDescent="0.2">
      <c r="A313" s="2240" t="s">
        <v>995</v>
      </c>
      <c r="B313" s="2241"/>
      <c r="C313" s="603"/>
      <c r="D313" s="603"/>
      <c r="E313" s="603"/>
      <c r="F313" s="603"/>
      <c r="G313" s="603"/>
      <c r="H313" s="603"/>
      <c r="I313" s="603"/>
      <c r="J313" s="603"/>
      <c r="K313" s="1658">
        <f>'Revenues 9-14'!H268-'Expenditures 15-22'!K312</f>
        <v>-115884</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53" t="s">
        <v>149</v>
      </c>
      <c r="B315" s="2254"/>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5" t="s">
        <v>897</v>
      </c>
      <c r="B317" s="2254"/>
      <c r="C317" s="1529"/>
      <c r="D317" s="1530"/>
      <c r="E317" s="1530"/>
      <c r="F317" s="1530"/>
      <c r="G317" s="1530"/>
      <c r="H317" s="1530"/>
      <c r="I317" s="1530"/>
      <c r="J317" s="1530"/>
      <c r="K317" s="1530"/>
      <c r="L317" s="1531"/>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2" t="s">
        <v>298</v>
      </c>
      <c r="B319" s="672" t="s">
        <v>280</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1802</v>
      </c>
      <c r="B320" s="673" t="s">
        <v>281</v>
      </c>
      <c r="C320" s="1968">
        <v>0</v>
      </c>
      <c r="D320" s="1968">
        <v>0</v>
      </c>
      <c r="E320" s="1968">
        <v>0</v>
      </c>
      <c r="F320" s="1968">
        <v>0</v>
      </c>
      <c r="G320" s="1968">
        <v>0</v>
      </c>
      <c r="H320" s="1968">
        <v>0</v>
      </c>
      <c r="I320" s="1968">
        <v>0</v>
      </c>
      <c r="J320" s="1968">
        <v>0</v>
      </c>
      <c r="K320" s="1644">
        <f t="shared" ref="K320:K327" si="24">SUM(C320:J320)</f>
        <v>0</v>
      </c>
      <c r="L320" s="1990">
        <v>0</v>
      </c>
      <c r="M320" s="640"/>
      <c r="N320" s="640"/>
    </row>
    <row r="321" spans="1:14" s="649" customFormat="1" x14ac:dyDescent="0.2">
      <c r="A321" s="1492" t="s">
        <v>299</v>
      </c>
      <c r="B321" s="672" t="s">
        <v>282</v>
      </c>
      <c r="C321" s="1968">
        <v>0</v>
      </c>
      <c r="D321" s="1968">
        <v>0</v>
      </c>
      <c r="E321" s="1968">
        <v>0</v>
      </c>
      <c r="F321" s="1968">
        <v>0</v>
      </c>
      <c r="G321" s="1968">
        <v>0</v>
      </c>
      <c r="H321" s="1968">
        <v>0</v>
      </c>
      <c r="I321" s="1968">
        <v>0</v>
      </c>
      <c r="J321" s="1968">
        <v>0</v>
      </c>
      <c r="K321" s="1644">
        <f t="shared" si="24"/>
        <v>0</v>
      </c>
      <c r="L321" s="1990">
        <v>0</v>
      </c>
      <c r="M321" s="640"/>
      <c r="N321" s="640"/>
    </row>
    <row r="322" spans="1:14" s="649" customFormat="1" x14ac:dyDescent="0.2">
      <c r="A322" s="1492" t="s">
        <v>238</v>
      </c>
      <c r="B322" s="672" t="s">
        <v>283</v>
      </c>
      <c r="C322" s="1968">
        <v>0</v>
      </c>
      <c r="D322" s="1968">
        <v>0</v>
      </c>
      <c r="E322" s="1968">
        <v>0</v>
      </c>
      <c r="F322" s="1968">
        <v>0</v>
      </c>
      <c r="G322" s="1968">
        <v>0</v>
      </c>
      <c r="H322" s="1968">
        <v>0</v>
      </c>
      <c r="I322" s="1968">
        <v>0</v>
      </c>
      <c r="J322" s="1968">
        <v>0</v>
      </c>
      <c r="K322" s="1644">
        <f t="shared" si="24"/>
        <v>0</v>
      </c>
      <c r="L322" s="1990">
        <v>0</v>
      </c>
      <c r="M322" s="640"/>
      <c r="N322" s="640"/>
    </row>
    <row r="323" spans="1:14" s="649" customFormat="1" x14ac:dyDescent="0.2">
      <c r="A323" s="1492" t="s">
        <v>701</v>
      </c>
      <c r="B323" s="672" t="s">
        <v>284</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285</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1028</v>
      </c>
      <c r="B325" s="673" t="s">
        <v>286</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1029</v>
      </c>
      <c r="B326" s="672" t="s">
        <v>287</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970</v>
      </c>
      <c r="B327" s="672" t="s">
        <v>288</v>
      </c>
      <c r="C327" s="1968">
        <v>0</v>
      </c>
      <c r="D327" s="1968">
        <v>0</v>
      </c>
      <c r="E327" s="1968">
        <v>0</v>
      </c>
      <c r="F327" s="1968">
        <v>0</v>
      </c>
      <c r="G327" s="1968">
        <v>0</v>
      </c>
      <c r="H327" s="1968">
        <v>0</v>
      </c>
      <c r="I327" s="1968">
        <v>0</v>
      </c>
      <c r="J327" s="1968">
        <v>0</v>
      </c>
      <c r="K327" s="1644">
        <f t="shared" si="24"/>
        <v>0</v>
      </c>
      <c r="L327" s="1990">
        <v>0</v>
      </c>
      <c r="M327" s="640"/>
      <c r="N327" s="640"/>
    </row>
    <row r="328" spans="1:14" s="649" customFormat="1" x14ac:dyDescent="0.2">
      <c r="A328" s="1493" t="s">
        <v>471</v>
      </c>
      <c r="B328" s="665" t="s">
        <v>1131</v>
      </c>
      <c r="C328" s="1970">
        <v>0</v>
      </c>
      <c r="D328" s="1970">
        <v>0</v>
      </c>
      <c r="E328" s="1970">
        <v>0</v>
      </c>
      <c r="F328" s="1970">
        <v>0</v>
      </c>
      <c r="G328" s="1970">
        <v>0</v>
      </c>
      <c r="H328" s="1970">
        <v>0</v>
      </c>
      <c r="I328" s="1970">
        <v>0</v>
      </c>
      <c r="J328" s="1970">
        <v>0</v>
      </c>
      <c r="K328" s="1672">
        <f>SUM(C328:J328)</f>
        <v>0</v>
      </c>
      <c r="L328" s="1992">
        <v>0</v>
      </c>
      <c r="M328" s="640"/>
      <c r="N328" s="640"/>
    </row>
    <row r="329" spans="1:14" s="649" customFormat="1" x14ac:dyDescent="0.2">
      <c r="A329" s="1493" t="s">
        <v>1132</v>
      </c>
      <c r="B329" s="665" t="s">
        <v>1133</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716</v>
      </c>
      <c r="B330" s="1642" t="s">
        <v>568</v>
      </c>
      <c r="C330" s="1643">
        <f>SUM(C319:C329)</f>
        <v>0</v>
      </c>
      <c r="D330" s="1643">
        <f t="shared" ref="D330:J330" si="25">SUM(D319:D329)</f>
        <v>0</v>
      </c>
      <c r="E330" s="1643">
        <f t="shared" si="25"/>
        <v>0</v>
      </c>
      <c r="F330" s="1643">
        <f t="shared" si="25"/>
        <v>0</v>
      </c>
      <c r="G330" s="1643">
        <f t="shared" si="25"/>
        <v>0</v>
      </c>
      <c r="H330" s="1643">
        <f t="shared" si="25"/>
        <v>0</v>
      </c>
      <c r="I330" s="1643">
        <f t="shared" si="25"/>
        <v>0</v>
      </c>
      <c r="J330" s="1643">
        <f t="shared" si="25"/>
        <v>0</v>
      </c>
      <c r="K330" s="1643">
        <f>SUM(K319:K329)</f>
        <v>0</v>
      </c>
      <c r="L330" s="1643">
        <f>SUM(L319:L329)</f>
        <v>0</v>
      </c>
      <c r="M330" s="640"/>
      <c r="N330" s="640"/>
    </row>
    <row r="331" spans="1:14" s="649" customFormat="1" ht="12.75" customHeight="1" thickTop="1" x14ac:dyDescent="0.2">
      <c r="A331" s="1804" t="s">
        <v>1848</v>
      </c>
      <c r="B331" s="623" t="s">
        <v>859</v>
      </c>
      <c r="C331" s="1806"/>
      <c r="D331" s="1806"/>
      <c r="E331" s="1806"/>
      <c r="F331" s="1806"/>
      <c r="G331" s="1806"/>
      <c r="H331" s="1806"/>
      <c r="I331" s="1806"/>
      <c r="J331" s="1806"/>
      <c r="K331" s="1806"/>
      <c r="L331" s="1806"/>
      <c r="M331" s="640"/>
      <c r="N331" s="640"/>
    </row>
    <row r="332" spans="1:14" s="649" customFormat="1" ht="12.75" customHeight="1" x14ac:dyDescent="0.2">
      <c r="A332" s="1805" t="s">
        <v>495</v>
      </c>
      <c r="B332" s="1800" t="s">
        <v>1842</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303</v>
      </c>
      <c r="B333" s="1800" t="s">
        <v>1844</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1849</v>
      </c>
      <c r="B334" s="1800" t="s">
        <v>859</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898</v>
      </c>
      <c r="B335" s="1580" t="s">
        <v>491</v>
      </c>
      <c r="C335" s="593"/>
      <c r="D335" s="593"/>
      <c r="E335" s="593"/>
      <c r="F335" s="593"/>
      <c r="G335" s="593"/>
      <c r="H335" s="593"/>
      <c r="I335" s="593"/>
      <c r="J335" s="593"/>
      <c r="K335" s="593"/>
      <c r="L335" s="593"/>
    </row>
    <row r="336" spans="1:14" ht="15.75" customHeight="1" x14ac:dyDescent="0.2">
      <c r="A336" s="629" t="s">
        <v>614</v>
      </c>
      <c r="B336" s="599"/>
      <c r="C336" s="593"/>
      <c r="D336" s="593"/>
      <c r="E336" s="593"/>
      <c r="F336" s="593"/>
      <c r="G336" s="593"/>
      <c r="H336" s="600"/>
      <c r="I336" s="593"/>
      <c r="J336" s="593"/>
      <c r="K336" s="600"/>
      <c r="L336" s="600"/>
    </row>
    <row r="337" spans="1:14" x14ac:dyDescent="0.2">
      <c r="A337" s="1491" t="s">
        <v>87</v>
      </c>
      <c r="B337" s="665" t="s">
        <v>899</v>
      </c>
      <c r="C337" s="615"/>
      <c r="D337" s="615"/>
      <c r="E337" s="615"/>
      <c r="F337" s="615"/>
      <c r="G337" s="615"/>
      <c r="H337" s="474">
        <v>0</v>
      </c>
      <c r="I337" s="615"/>
      <c r="J337" s="615"/>
      <c r="K337" s="1644">
        <f>H337</f>
        <v>0</v>
      </c>
      <c r="L337" s="474">
        <v>0</v>
      </c>
    </row>
    <row r="338" spans="1:14" ht="12.75" customHeight="1" x14ac:dyDescent="0.2">
      <c r="A338" s="1491" t="s">
        <v>1169</v>
      </c>
      <c r="B338" s="665" t="s">
        <v>616</v>
      </c>
      <c r="C338" s="615"/>
      <c r="D338" s="615"/>
      <c r="E338" s="615"/>
      <c r="F338" s="615"/>
      <c r="G338" s="615"/>
      <c r="H338" s="474">
        <v>0</v>
      </c>
      <c r="I338" s="615"/>
      <c r="J338" s="615"/>
      <c r="K338" s="1644">
        <f>H338</f>
        <v>0</v>
      </c>
      <c r="L338" s="474">
        <v>0</v>
      </c>
    </row>
    <row r="339" spans="1:14" x14ac:dyDescent="0.2">
      <c r="A339" s="1477" t="s">
        <v>900</v>
      </c>
      <c r="B339" s="605">
        <v>5150</v>
      </c>
      <c r="C339" s="615"/>
      <c r="D339" s="615"/>
      <c r="E339" s="615"/>
      <c r="F339" s="615"/>
      <c r="G339" s="615"/>
      <c r="H339" s="1968">
        <v>0</v>
      </c>
      <c r="I339" s="615"/>
      <c r="J339" s="615"/>
      <c r="K339" s="1644">
        <f>H339</f>
        <v>0</v>
      </c>
      <c r="L339" s="1990">
        <v>0</v>
      </c>
    </row>
    <row r="340" spans="1:14" ht="13.5" thickBot="1" x14ac:dyDescent="0.25">
      <c r="A340" s="1667" t="s">
        <v>901</v>
      </c>
      <c r="B340" s="1642" t="s">
        <v>491</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902</v>
      </c>
      <c r="B341" s="1584" t="s">
        <v>860</v>
      </c>
      <c r="C341" s="593"/>
      <c r="D341" s="593"/>
      <c r="E341" s="473"/>
      <c r="F341" s="467"/>
      <c r="G341" s="467"/>
      <c r="H341" s="473"/>
      <c r="I341" s="473"/>
      <c r="J341" s="467"/>
      <c r="K341" s="473"/>
      <c r="L341" s="2002">
        <v>0</v>
      </c>
    </row>
    <row r="342" spans="1:14" ht="12.75" customHeight="1" thickTop="1" thickBot="1" x14ac:dyDescent="0.25">
      <c r="A342" s="1659" t="s">
        <v>504</v>
      </c>
      <c r="B342" s="1674"/>
      <c r="C342" s="1643">
        <f>SUM(C330)</f>
        <v>0</v>
      </c>
      <c r="D342" s="1643">
        <f>SUM(D330)</f>
        <v>0</v>
      </c>
      <c r="E342" s="1643">
        <f>SUM(E330)</f>
        <v>0</v>
      </c>
      <c r="F342" s="1643">
        <f>SUM(F330)</f>
        <v>0</v>
      </c>
      <c r="G342" s="1643">
        <f>SUM(G330)</f>
        <v>0</v>
      </c>
      <c r="H342" s="1643">
        <f>SUM(H330,H334,H340)</f>
        <v>0</v>
      </c>
      <c r="I342" s="1643">
        <f>SUM(I330)</f>
        <v>0</v>
      </c>
      <c r="J342" s="1643">
        <f>SUM(J330)</f>
        <v>0</v>
      </c>
      <c r="K342" s="1643">
        <f>SUM(K330,K334,K340)</f>
        <v>0</v>
      </c>
      <c r="L342" s="1650">
        <f>SUM(L330,L340,L341)</f>
        <v>0</v>
      </c>
    </row>
    <row r="343" spans="1:14" ht="12.75" customHeight="1" thickTop="1" x14ac:dyDescent="0.2">
      <c r="A343" s="2242" t="s">
        <v>995</v>
      </c>
      <c r="B343" s="2243"/>
      <c r="C343" s="593"/>
      <c r="D343" s="593"/>
      <c r="E343" s="593"/>
      <c r="F343" s="593"/>
      <c r="G343" s="593"/>
      <c r="H343" s="593"/>
      <c r="I343" s="593"/>
      <c r="J343" s="593"/>
      <c r="K343" s="1657">
        <f>'Revenues 9-14'!J268-'Expenditures 15-22'!K342</f>
        <v>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32" t="s">
        <v>965</v>
      </c>
      <c r="B345" s="2233"/>
      <c r="C345" s="1524"/>
      <c r="D345" s="1525"/>
      <c r="E345" s="1525"/>
      <c r="F345" s="1525"/>
      <c r="G345" s="1525"/>
      <c r="H345" s="1525"/>
      <c r="I345" s="1525"/>
      <c r="J345" s="1525"/>
      <c r="K345" s="1525"/>
      <c r="L345" s="1526"/>
      <c r="M345" s="642"/>
      <c r="N345" s="642"/>
    </row>
    <row r="346" spans="1:14" s="343" customFormat="1" ht="15.75" customHeight="1" x14ac:dyDescent="0.2">
      <c r="A346" s="1596" t="s">
        <v>843</v>
      </c>
      <c r="B346" s="1588" t="s">
        <v>568</v>
      </c>
      <c r="C346" s="593"/>
      <c r="D346" s="593"/>
      <c r="E346" s="593"/>
      <c r="F346" s="593"/>
      <c r="G346" s="593"/>
      <c r="H346" s="593"/>
      <c r="I346" s="593"/>
      <c r="J346" s="593"/>
      <c r="K346" s="593"/>
      <c r="L346" s="593"/>
      <c r="M346" s="586"/>
      <c r="N346" s="586"/>
    </row>
    <row r="347" spans="1:14" ht="15.75" customHeight="1" x14ac:dyDescent="0.2">
      <c r="A347" s="674" t="s">
        <v>611</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0</v>
      </c>
    </row>
    <row r="350" spans="1:14" ht="12.75" customHeight="1" thickBot="1" x14ac:dyDescent="0.25">
      <c r="A350" s="1641" t="s">
        <v>718</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979</v>
      </c>
      <c r="B351" s="619" t="s">
        <v>573</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623</v>
      </c>
      <c r="B352" s="1648" t="s">
        <v>568</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624</v>
      </c>
      <c r="B353" s="1582" t="s">
        <v>859</v>
      </c>
      <c r="C353" s="593"/>
      <c r="D353" s="593"/>
      <c r="E353" s="593"/>
      <c r="F353" s="593"/>
      <c r="G353" s="593"/>
      <c r="H353" s="593"/>
      <c r="I353" s="593"/>
      <c r="J353" s="593"/>
      <c r="K353" s="593"/>
      <c r="L353" s="593"/>
      <c r="M353" s="586"/>
      <c r="N353" s="586"/>
    </row>
    <row r="354" spans="1:14" x14ac:dyDescent="0.2">
      <c r="A354" s="1807" t="s">
        <v>1850</v>
      </c>
      <c r="B354" s="658" t="s">
        <v>1842</v>
      </c>
      <c r="C354" s="593"/>
      <c r="D354" s="593"/>
      <c r="E354" s="593"/>
      <c r="F354" s="593"/>
      <c r="G354" s="593"/>
      <c r="H354" s="1970">
        <v>0</v>
      </c>
      <c r="I354" s="676"/>
      <c r="J354" s="593"/>
      <c r="K354" s="1672">
        <f>H354</f>
        <v>0</v>
      </c>
      <c r="L354" s="1991">
        <v>0</v>
      </c>
    </row>
    <row r="355" spans="1:14" ht="12.75" customHeight="1" x14ac:dyDescent="0.2">
      <c r="A355" s="1486" t="s">
        <v>1851</v>
      </c>
      <c r="B355" s="665" t="s">
        <v>1844</v>
      </c>
      <c r="C355" s="593"/>
      <c r="D355" s="593"/>
      <c r="E355" s="593"/>
      <c r="F355" s="593"/>
      <c r="G355" s="593"/>
      <c r="H355" s="1968">
        <v>0</v>
      </c>
      <c r="I355" s="676"/>
      <c r="J355" s="593"/>
      <c r="K355" s="1716">
        <f>H355</f>
        <v>0</v>
      </c>
      <c r="L355" s="1990">
        <v>0</v>
      </c>
    </row>
    <row r="356" spans="1:14" ht="12.75" customHeight="1" x14ac:dyDescent="0.2">
      <c r="A356" s="1807" t="s">
        <v>697</v>
      </c>
      <c r="B356" s="658" t="s">
        <v>557</v>
      </c>
      <c r="C356" s="593"/>
      <c r="D356" s="593"/>
      <c r="E356" s="593"/>
      <c r="F356" s="593"/>
      <c r="G356" s="593"/>
      <c r="H356" s="1972">
        <v>0</v>
      </c>
      <c r="I356" s="676"/>
      <c r="J356" s="593"/>
      <c r="K356" s="1713">
        <f>H356</f>
        <v>0</v>
      </c>
      <c r="L356" s="1994">
        <v>0</v>
      </c>
    </row>
    <row r="357" spans="1:14" ht="12.75" customHeight="1" thickBot="1" x14ac:dyDescent="0.25">
      <c r="A357" s="1641" t="s">
        <v>1486</v>
      </c>
      <c r="B357" s="1642" t="s">
        <v>859</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947</v>
      </c>
      <c r="B358" s="1582" t="s">
        <v>491</v>
      </c>
      <c r="C358" s="593"/>
      <c r="D358" s="593"/>
      <c r="E358" s="593"/>
      <c r="F358" s="593"/>
      <c r="G358" s="593"/>
      <c r="H358" s="593"/>
      <c r="I358" s="593"/>
      <c r="J358" s="593"/>
      <c r="K358" s="593"/>
      <c r="L358" s="593"/>
      <c r="M358" s="586"/>
      <c r="N358" s="586"/>
    </row>
    <row r="359" spans="1:14" s="343" customFormat="1" ht="15.75" customHeight="1" x14ac:dyDescent="0.2">
      <c r="A359" s="629" t="s">
        <v>626</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618</v>
      </c>
      <c r="B361" s="579" t="s">
        <v>617</v>
      </c>
      <c r="C361" s="593"/>
      <c r="D361" s="593"/>
      <c r="E361" s="593"/>
      <c r="F361" s="593"/>
      <c r="G361" s="593"/>
      <c r="H361" s="1984">
        <v>0</v>
      </c>
      <c r="I361" s="593"/>
      <c r="J361" s="593"/>
      <c r="K361" s="1644">
        <f>SUM(C361:J361)</f>
        <v>0</v>
      </c>
      <c r="L361" s="1989">
        <v>0</v>
      </c>
    </row>
    <row r="362" spans="1:14" ht="12.75" customHeight="1" thickBot="1" x14ac:dyDescent="0.25">
      <c r="A362" s="1641" t="s">
        <v>625</v>
      </c>
      <c r="B362" s="1642" t="s">
        <v>717</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1671</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589</v>
      </c>
      <c r="B365" s="634" t="s">
        <v>491</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948</v>
      </c>
      <c r="B366" s="1586" t="s">
        <v>860</v>
      </c>
      <c r="C366" s="600"/>
      <c r="D366" s="600"/>
      <c r="E366" s="600"/>
      <c r="F366" s="600"/>
      <c r="G366" s="600"/>
      <c r="H366" s="600"/>
      <c r="I366" s="600"/>
      <c r="J366" s="593"/>
      <c r="K366" s="600"/>
      <c r="L366" s="2001">
        <v>0</v>
      </c>
      <c r="M366" s="586"/>
      <c r="N366" s="586"/>
    </row>
    <row r="367" spans="1:14" ht="12.75" customHeight="1" thickTop="1" thickBot="1" x14ac:dyDescent="0.25">
      <c r="A367" s="1665" t="s">
        <v>504</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56" t="s">
        <v>995</v>
      </c>
      <c r="B368" s="2257"/>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7C0BB24B3B274B9DEDA793A795A348" ma:contentTypeVersion="9" ma:contentTypeDescription="Create a new document." ma:contentTypeScope="" ma:versionID="d62665202c7b46e50f42e814f6053d97">
  <xsd:schema xmlns:xsd="http://www.w3.org/2001/XMLSchema" xmlns:xs="http://www.w3.org/2001/XMLSchema" xmlns:p="http://schemas.microsoft.com/office/2006/metadata/properties" xmlns:ns3="54fdbbb2-8a27-4de6-9bc4-b74849914af9" targetNamespace="http://schemas.microsoft.com/office/2006/metadata/properties" ma:root="true" ma:fieldsID="fa96caf6dfb2fa20647192df3f60e67c" ns3:_="">
    <xsd:import namespace="54fdbbb2-8a27-4de6-9bc4-b74849914af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dbbb2-8a27-4de6-9bc4-b74849914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B1C4D7-D73F-4FAB-9F45-59290F4559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dbbb2-8a27-4de6-9bc4-b74849914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openxmlformats.org/package/2006/metadata/core-properties"/>
    <ds:schemaRef ds:uri="http://www.w3.org/XML/1998/namespace"/>
    <ds:schemaRef ds:uri="54fdbbb2-8a27-4de6-9bc4-b74849914af9"/>
    <ds:schemaRef ds:uri="http://purl.org/dc/terms/"/>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(2)</vt:lpstr>
      <vt:lpstr> SEFA (3)</vt:lpstr>
      <vt:lpstr>SEFA NOTES</vt:lpstr>
      <vt:lpstr>SF&amp;QC Sec-1</vt:lpstr>
      <vt:lpstr>SF&amp;QC Sec-2</vt:lpstr>
      <vt:lpstr>SF&amp;QC Sec-3</vt:lpstr>
      <vt:lpstr>SSPAF</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2019-10-11T14:00:43Z</cp:lastPrinted>
  <dcterms:created xsi:type="dcterms:W3CDTF">2003-10-29T19:06:34Z</dcterms:created>
  <dcterms:modified xsi:type="dcterms:W3CDTF">2019-11-20T17:57:06Z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0x010100317C0BB24B3B274B9DEDA793A795A348</vt:lpwstr>
  </property>
  <property fmtid="{D5CDD505-2E9C-101B-9397-08002B2CF9AE}" pid="3" name="TaxKeyword">
    <vt:lpwstr/>
  </property>
  <property fmtid="{D5CDD505-2E9C-101B-9397-08002B2CF9AE}" pid="4" name="tabName">
    <vt:lpwstr>AFR</vt:lpwstr>
  </property>
  <property fmtid="{D5CDD505-2E9C-101B-9397-08002B2CF9AE}" pid="5" name="tabIndex">
    <vt:lpwstr>1a</vt:lpwstr>
  </property>
  <property fmtid="{D5CDD505-2E9C-101B-9397-08002B2CF9AE}" pid="6" name="workpaperIndex">
    <vt:lpwstr>1a-2</vt:lpwstr>
  </property>
</Properties>
</file>