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37AD6FA-E913-4052-8727-683FCE126F50}" xr6:coauthVersionLast="36" xr6:coauthVersionMax="36" xr10:uidLastSave="{00000000-0000-0000-0000-000000000000}"/>
  <bookViews>
    <workbookView xWindow="60" yWindow="900" windowWidth="28515" windowHeight="14175"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Itemization 33" sheetId="19" r:id="rId19"/>
    <sheet name="REF 34" sheetId="20" r:id="rId20"/>
    <sheet name="Opinion-Notes 35" sheetId="21" r:id="rId21"/>
    <sheet name="DeficitAFRSum Calc 36" sheetId="22" r:id="rId22"/>
    <sheet name="AUDITCHECK" sheetId="23" r:id="rId23"/>
    <sheet name="AFR19" sheetId="24" state="hidden" r:id="rId24"/>
    <sheet name="Single Audit Cover" sheetId="25" r:id="rId25"/>
    <sheet name="Single Audit Checklist" sheetId="26" r:id="rId26"/>
    <sheet name="SEFA Reconcile" sheetId="27" r:id="rId27"/>
    <sheet name=" SEFA" sheetId="28" r:id="rId28"/>
    <sheet name=" SEFA (2)" sheetId="29" r:id="rId29"/>
    <sheet name=" SEFA (3)" sheetId="30" r:id="rId30"/>
    <sheet name=" SEFA (4)" sheetId="31" r:id="rId31"/>
    <sheet name="SEFA NOTES" sheetId="32" r:id="rId32"/>
    <sheet name="SF&amp;QC Sec-1" sheetId="33" r:id="rId33"/>
    <sheet name="SF&amp;QC Sec-2" sheetId="34" r:id="rId34"/>
    <sheet name="SF&amp;QC Sec-3" sheetId="35" r:id="rId35"/>
    <sheet name="SSPAF" sheetId="36"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2">'Aud Quest 2'!$A$1:$J$119</definedName>
    <definedName name="_xlnm.Print_Area" localSheetId="18">'Itemization 33'!$A$1:$B$19</definedName>
    <definedName name="_xlnm.Print_Area" localSheetId="11">'Rest Tax Levies-Tort Im 25'!$A$1:$K$49</definedName>
    <definedName name="_xlnm.Print_Area" localSheetId="7">'Revenues 9-14'!$A$1:$K$268</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 name="Z_1CEE81F4_A6A8_4CF6_96C8_1AACCC28872D_.wvu.Cols" localSheetId="14" hidden="1">'Contracts Paid in CY 29'!$E:$E</definedName>
    <definedName name="Z_1CEE81F4_A6A8_4CF6_96C8_1AACCC28872D_.wvu.Cols" localSheetId="4" hidden="1">'Fin Profile 4'!$J:$J</definedName>
    <definedName name="Z_1CEE81F4_A6A8_4CF6_96C8_1AACCC28872D_.wvu.PrintArea" localSheetId="27" hidden="1">' SEFA'!$B$1:$M$46</definedName>
    <definedName name="Z_1CEE81F4_A6A8_4CF6_96C8_1AACCC28872D_.wvu.PrintArea" localSheetId="28" hidden="1">' SEFA (2)'!$B$1:$M$46</definedName>
    <definedName name="Z_1CEE81F4_A6A8_4CF6_96C8_1AACCC28872D_.wvu.PrintArea" localSheetId="29" hidden="1">' SEFA (3)'!$B$1:$M$46</definedName>
    <definedName name="Z_1CEE81F4_A6A8_4CF6_96C8_1AACCC28872D_.wvu.PrintArea" localSheetId="30" hidden="1">' SEFA (4)'!$B$1:$M$46</definedName>
    <definedName name="Z_1CEE81F4_A6A8_4CF6_96C8_1AACCC28872D_.wvu.PrintArea" localSheetId="2" hidden="1">'Aud Quest 2'!$A$1:$J$119</definedName>
    <definedName name="Z_1CEE81F4_A6A8_4CF6_96C8_1AACCC28872D_.wvu.PrintArea" localSheetId="18" hidden="1">'Itemization 33'!$A$1:$B$19</definedName>
    <definedName name="Z_1CEE81F4_A6A8_4CF6_96C8_1AACCC28872D_.wvu.PrintArea" localSheetId="11" hidden="1">'Rest Tax Levies-Tort Im 25'!$A$1:$K$49</definedName>
    <definedName name="Z_1CEE81F4_A6A8_4CF6_96C8_1AACCC28872D_.wvu.PrintArea" localSheetId="7" hidden="1">'Revenues 9-14'!$A$1:$K$268</definedName>
    <definedName name="Z_1CEE81F4_A6A8_4CF6_96C8_1AACCC28872D_.wvu.PrintArea" localSheetId="31" hidden="1">'SEFA NOTES'!$A$1:$F$52</definedName>
    <definedName name="Z_1CEE81F4_A6A8_4CF6_96C8_1AACCC28872D_.wvu.PrintArea" localSheetId="26" hidden="1">'SEFA Reconcile'!$A$1:$E$49</definedName>
    <definedName name="Z_1CEE81F4_A6A8_4CF6_96C8_1AACCC28872D_.wvu.PrintArea" localSheetId="32" hidden="1">'SF&amp;QC Sec-1'!$A$1:$J$63</definedName>
    <definedName name="Z_1CEE81F4_A6A8_4CF6_96C8_1AACCC28872D_.wvu.PrintArea" localSheetId="34" hidden="1">'SF&amp;QC Sec-3'!$A$1:$K$48</definedName>
    <definedName name="Z_1CEE81F4_A6A8_4CF6_96C8_1AACCC28872D_.wvu.PrintArea" localSheetId="16" hidden="1">'Shared Outsourced Services 31'!$A$1:$F$43</definedName>
    <definedName name="Z_1CEE81F4_A6A8_4CF6_96C8_1AACCC28872D_.wvu.PrintArea" localSheetId="25" hidden="1">'Single Audit Checklist'!$A$1:$D$124</definedName>
    <definedName name="Z_1CEE81F4_A6A8_4CF6_96C8_1AACCC28872D_.wvu.PrintArea" localSheetId="24" hidden="1">'Single Audit Cover'!$A$1:$L$51</definedName>
    <definedName name="Z_1CEE81F4_A6A8_4CF6_96C8_1AACCC28872D_.wvu.PrintArea" localSheetId="1" hidden="1">TOC!$A$1:$F$80</definedName>
    <definedName name="Z_1CEE81F4_A6A8_4CF6_96C8_1AACCC28872D_.wvu.PrintTitles" localSheetId="6" hidden="1">'Acct Summary 7-8'!$A:$B,'Acct Summary 7-8'!$1:$2</definedName>
    <definedName name="Z_1CEE81F4_A6A8_4CF6_96C8_1AACCC28872D_.wvu.PrintTitles" localSheetId="5" hidden="1">'Assets-Liab 5-6'!$A:$B,'Assets-Liab 5-6'!$1:$2</definedName>
    <definedName name="Z_1CEE81F4_A6A8_4CF6_96C8_1AACCC28872D_.wvu.PrintTitles" localSheetId="22" hidden="1">AUDITCHECK!$20:$20</definedName>
    <definedName name="Z_1CEE81F4_A6A8_4CF6_96C8_1AACCC28872D_.wvu.PrintTitles" localSheetId="14" hidden="1">'Contracts Paid in CY 29'!$15:$15</definedName>
    <definedName name="Z_1CEE81F4_A6A8_4CF6_96C8_1AACCC28872D_.wvu.PrintTitles" localSheetId="8" hidden="1">'Expenditures 15-22'!$A:$B,'Expenditures 15-22'!$1:$2</definedName>
    <definedName name="Z_1CEE81F4_A6A8_4CF6_96C8_1AACCC28872D_.wvu.PrintTitles" localSheetId="13" hidden="1">'PCTC-OEPP 27-28'!$1:$5</definedName>
    <definedName name="Z_1CEE81F4_A6A8_4CF6_96C8_1AACCC28872D_.wvu.PrintTitles" localSheetId="7" hidden="1">'Revenues 9-14'!$A:$B,'Revenues 9-14'!$1:$2</definedName>
    <definedName name="Z_1CEE81F4_A6A8_4CF6_96C8_1AACCC28872D_.wvu.PrintTitles" localSheetId="16" hidden="1">'Shared Outsourced Services 31'!$5:$5</definedName>
    <definedName name="Z_1CEE81F4_A6A8_4CF6_96C8_1AACCC28872D_.wvu.PrintTitles" localSheetId="25" hidden="1">'Single Audit Checklist'!$1:$4</definedName>
    <definedName name="Z_1CEE81F4_A6A8_4CF6_96C8_1AACCC28872D_.wvu.Rows" localSheetId="6" hidden="1">'Acct Summary 7-8'!$83:$83</definedName>
    <definedName name="Z_1CEE81F4_A6A8_4CF6_96C8_1AACCC28872D_.wvu.Rows" localSheetId="2" hidden="1">'Aud Quest 2'!$12:$12,'Aud Quest 2'!$17:$17,'Aud Quest 2'!$19:$19,'Aud Quest 2'!$34:$34,'Aud Quest 2'!$39:$39</definedName>
    <definedName name="Z_1CEE81F4_A6A8_4CF6_96C8_1AACCC28872D_.wvu.Rows" localSheetId="22" hidden="1">AUDITCHECK!$27:$28</definedName>
    <definedName name="Z_1CEE81F4_A6A8_4CF6_96C8_1AACCC28872D_.wvu.Rows" localSheetId="21" hidden="1">'DeficitAFRSum Calc 36'!$16:$19</definedName>
    <definedName name="Z_1CEE81F4_A6A8_4CF6_96C8_1AACCC28872D_.wvu.Rows" localSheetId="3" hidden="1">'FP Info 3'!$12:$12,'FP Info 3'!$26:$26,'FP Info 3'!$39:$39</definedName>
    <definedName name="Z_1CEE81F4_A6A8_4CF6_96C8_1AACCC28872D_.wvu.Rows" localSheetId="13" hidden="1">'PCTC-OEPP 27-28'!$133:$156</definedName>
    <definedName name="Z_1CEE81F4_A6A8_4CF6_96C8_1AACCC28872D_.wvu.Rows" localSheetId="16" hidden="1">'Shared Outsourced Services 31'!$39:$39,'Shared Outsourced Services 31'!$44:$44,'Shared Outsourced Services 31'!$49:$49</definedName>
    <definedName name="Z_1CEE81F4_A6A8_4CF6_96C8_1AACCC28872D_.wvu.Rows" localSheetId="1" hidden="1">TOC!$38:$39</definedName>
    <definedName name="Z_58008B32_E4E8_4E32_8B1E_F6CE50059F4A_.wvu.Cols" localSheetId="14" hidden="1">'Contracts Paid in CY 29'!$E:$E</definedName>
    <definedName name="Z_58008B32_E4E8_4E32_8B1E_F6CE50059F4A_.wvu.Cols" localSheetId="4" hidden="1">'Fin Profile 4'!$J:$J</definedName>
    <definedName name="Z_58008B32_E4E8_4E32_8B1E_F6CE50059F4A_.wvu.PrintArea" localSheetId="27" hidden="1">' SEFA'!$B$1:$M$46</definedName>
    <definedName name="Z_58008B32_E4E8_4E32_8B1E_F6CE50059F4A_.wvu.PrintArea" localSheetId="28" hidden="1">' SEFA (2)'!$B$1:$M$46</definedName>
    <definedName name="Z_58008B32_E4E8_4E32_8B1E_F6CE50059F4A_.wvu.PrintArea" localSheetId="29" hidden="1">' SEFA (3)'!$B$1:$M$46</definedName>
    <definedName name="Z_58008B32_E4E8_4E32_8B1E_F6CE50059F4A_.wvu.PrintArea" localSheetId="30" hidden="1">' SEFA (4)'!$B$1:$M$46</definedName>
    <definedName name="Z_58008B32_E4E8_4E32_8B1E_F6CE50059F4A_.wvu.PrintArea" localSheetId="2" hidden="1">'Aud Quest 2'!$A$1:$J$119</definedName>
    <definedName name="Z_58008B32_E4E8_4E32_8B1E_F6CE50059F4A_.wvu.PrintArea" localSheetId="18" hidden="1">'Itemization 33'!$A$1:$B$19</definedName>
    <definedName name="Z_58008B32_E4E8_4E32_8B1E_F6CE50059F4A_.wvu.PrintArea" localSheetId="11" hidden="1">'Rest Tax Levies-Tort Im 25'!$A$1:$K$49</definedName>
    <definedName name="Z_58008B32_E4E8_4E32_8B1E_F6CE50059F4A_.wvu.PrintArea" localSheetId="7" hidden="1">'Revenues 9-14'!$A$1:$K$268</definedName>
    <definedName name="Z_58008B32_E4E8_4E32_8B1E_F6CE50059F4A_.wvu.PrintArea" localSheetId="31" hidden="1">'SEFA NOTES'!$A$1:$F$52</definedName>
    <definedName name="Z_58008B32_E4E8_4E32_8B1E_F6CE50059F4A_.wvu.PrintArea" localSheetId="26" hidden="1">'SEFA Reconcile'!$A$1:$E$49</definedName>
    <definedName name="Z_58008B32_E4E8_4E32_8B1E_F6CE50059F4A_.wvu.PrintArea" localSheetId="32" hidden="1">'SF&amp;QC Sec-1'!$A$1:$J$63</definedName>
    <definedName name="Z_58008B32_E4E8_4E32_8B1E_F6CE50059F4A_.wvu.PrintArea" localSheetId="34" hidden="1">'SF&amp;QC Sec-3'!$A$1:$K$48</definedName>
    <definedName name="Z_58008B32_E4E8_4E32_8B1E_F6CE50059F4A_.wvu.PrintArea" localSheetId="16" hidden="1">'Shared Outsourced Services 31'!$A$1:$F$43</definedName>
    <definedName name="Z_58008B32_E4E8_4E32_8B1E_F6CE50059F4A_.wvu.PrintArea" localSheetId="25" hidden="1">'Single Audit Checklist'!$A$1:$D$124</definedName>
    <definedName name="Z_58008B32_E4E8_4E32_8B1E_F6CE50059F4A_.wvu.PrintArea" localSheetId="24" hidden="1">'Single Audit Cover'!$A$1:$L$51</definedName>
    <definedName name="Z_58008B32_E4E8_4E32_8B1E_F6CE50059F4A_.wvu.PrintArea" localSheetId="1" hidden="1">TOC!$A$1:$F$80</definedName>
    <definedName name="Z_58008B32_E4E8_4E32_8B1E_F6CE50059F4A_.wvu.PrintTitles" localSheetId="6" hidden="1">'Acct Summary 7-8'!$A:$B,'Acct Summary 7-8'!$1:$2</definedName>
    <definedName name="Z_58008B32_E4E8_4E32_8B1E_F6CE50059F4A_.wvu.PrintTitles" localSheetId="5" hidden="1">'Assets-Liab 5-6'!$A:$B,'Assets-Liab 5-6'!$1:$2</definedName>
    <definedName name="Z_58008B32_E4E8_4E32_8B1E_F6CE50059F4A_.wvu.PrintTitles" localSheetId="22" hidden="1">AUDITCHECK!$20:$20</definedName>
    <definedName name="Z_58008B32_E4E8_4E32_8B1E_F6CE50059F4A_.wvu.PrintTitles" localSheetId="14" hidden="1">'Contracts Paid in CY 29'!$15:$15</definedName>
    <definedName name="Z_58008B32_E4E8_4E32_8B1E_F6CE50059F4A_.wvu.PrintTitles" localSheetId="8" hidden="1">'Expenditures 15-22'!$A:$B,'Expenditures 15-22'!$1:$2</definedName>
    <definedName name="Z_58008B32_E4E8_4E32_8B1E_F6CE50059F4A_.wvu.PrintTitles" localSheetId="13" hidden="1">'PCTC-OEPP 27-28'!$1:$5</definedName>
    <definedName name="Z_58008B32_E4E8_4E32_8B1E_F6CE50059F4A_.wvu.PrintTitles" localSheetId="7" hidden="1">'Revenues 9-14'!$A:$B,'Revenues 9-14'!$1:$2</definedName>
    <definedName name="Z_58008B32_E4E8_4E32_8B1E_F6CE50059F4A_.wvu.PrintTitles" localSheetId="16" hidden="1">'Shared Outsourced Services 31'!$5:$5</definedName>
    <definedName name="Z_58008B32_E4E8_4E32_8B1E_F6CE50059F4A_.wvu.PrintTitles" localSheetId="25" hidden="1">'Single Audit Checklist'!$1:$4</definedName>
    <definedName name="Z_58008B32_E4E8_4E32_8B1E_F6CE50059F4A_.wvu.Rows" localSheetId="6" hidden="1">'Acct Summary 7-8'!$83:$83</definedName>
    <definedName name="Z_58008B32_E4E8_4E32_8B1E_F6CE50059F4A_.wvu.Rows" localSheetId="2" hidden="1">'Aud Quest 2'!$12:$12,'Aud Quest 2'!$17:$17,'Aud Quest 2'!$19:$19,'Aud Quest 2'!$34:$34,'Aud Quest 2'!$39:$39</definedName>
    <definedName name="Z_58008B32_E4E8_4E32_8B1E_F6CE50059F4A_.wvu.Rows" localSheetId="22" hidden="1">AUDITCHECK!$27:$28</definedName>
    <definedName name="Z_58008B32_E4E8_4E32_8B1E_F6CE50059F4A_.wvu.Rows" localSheetId="21" hidden="1">'DeficitAFRSum Calc 36'!$16:$19</definedName>
    <definedName name="Z_58008B32_E4E8_4E32_8B1E_F6CE50059F4A_.wvu.Rows" localSheetId="3" hidden="1">'FP Info 3'!$12:$12,'FP Info 3'!$26:$26,'FP Info 3'!$39:$39</definedName>
    <definedName name="Z_58008B32_E4E8_4E32_8B1E_F6CE50059F4A_.wvu.Rows" localSheetId="13" hidden="1">'PCTC-OEPP 27-28'!$133:$156</definedName>
    <definedName name="Z_58008B32_E4E8_4E32_8B1E_F6CE50059F4A_.wvu.Rows" localSheetId="16" hidden="1">'Shared Outsourced Services 31'!$39:$39,'Shared Outsourced Services 31'!$44:$44,'Shared Outsourced Services 31'!$49:$49</definedName>
    <definedName name="Z_58008B32_E4E8_4E32_8B1E_F6CE50059F4A_.wvu.Rows" localSheetId="1" hidden="1">TOC!$38:$39</definedName>
    <definedName name="Z_D43C6297_AC1B_41E2_A8C4_03E94593B8FB_.wvu.Cols" localSheetId="14" hidden="1">'Contracts Paid in CY 29'!$E:$E</definedName>
    <definedName name="Z_D43C6297_AC1B_41E2_A8C4_03E94593B8FB_.wvu.Cols" localSheetId="4" hidden="1">'Fin Profile 4'!$J:$J</definedName>
    <definedName name="Z_D43C6297_AC1B_41E2_A8C4_03E94593B8FB_.wvu.PrintArea" localSheetId="27" hidden="1">' SEFA'!$B$1:$M$46</definedName>
    <definedName name="Z_D43C6297_AC1B_41E2_A8C4_03E94593B8FB_.wvu.PrintArea" localSheetId="28" hidden="1">' SEFA (2)'!$B$1:$M$46</definedName>
    <definedName name="Z_D43C6297_AC1B_41E2_A8C4_03E94593B8FB_.wvu.PrintArea" localSheetId="29" hidden="1">' SEFA (3)'!$B$1:$M$46</definedName>
    <definedName name="Z_D43C6297_AC1B_41E2_A8C4_03E94593B8FB_.wvu.PrintArea" localSheetId="30" hidden="1">' SEFA (4)'!$B$1:$M$46</definedName>
    <definedName name="Z_D43C6297_AC1B_41E2_A8C4_03E94593B8FB_.wvu.PrintArea" localSheetId="2" hidden="1">'Aud Quest 2'!$A$1:$J$119</definedName>
    <definedName name="Z_D43C6297_AC1B_41E2_A8C4_03E94593B8FB_.wvu.PrintArea" localSheetId="18" hidden="1">'Itemization 33'!$A$1:$B$19</definedName>
    <definedName name="Z_D43C6297_AC1B_41E2_A8C4_03E94593B8FB_.wvu.PrintArea" localSheetId="11" hidden="1">'Rest Tax Levies-Tort Im 25'!$A$1:$K$49</definedName>
    <definedName name="Z_D43C6297_AC1B_41E2_A8C4_03E94593B8FB_.wvu.PrintArea" localSheetId="7" hidden="1">'Revenues 9-14'!$A$1:$K$268</definedName>
    <definedName name="Z_D43C6297_AC1B_41E2_A8C4_03E94593B8FB_.wvu.PrintArea" localSheetId="31" hidden="1">'SEFA NOTES'!$A$1:$F$52</definedName>
    <definedName name="Z_D43C6297_AC1B_41E2_A8C4_03E94593B8FB_.wvu.PrintArea" localSheetId="26" hidden="1">'SEFA Reconcile'!$A$1:$E$49</definedName>
    <definedName name="Z_D43C6297_AC1B_41E2_A8C4_03E94593B8FB_.wvu.PrintArea" localSheetId="32" hidden="1">'SF&amp;QC Sec-1'!$A$1:$J$63</definedName>
    <definedName name="Z_D43C6297_AC1B_41E2_A8C4_03E94593B8FB_.wvu.PrintArea" localSheetId="34" hidden="1">'SF&amp;QC Sec-3'!$A$1:$K$48</definedName>
    <definedName name="Z_D43C6297_AC1B_41E2_A8C4_03E94593B8FB_.wvu.PrintArea" localSheetId="16" hidden="1">'Shared Outsourced Services 31'!$A$1:$F$43</definedName>
    <definedName name="Z_D43C6297_AC1B_41E2_A8C4_03E94593B8FB_.wvu.PrintArea" localSheetId="25" hidden="1">'Single Audit Checklist'!$A$1:$D$124</definedName>
    <definedName name="Z_D43C6297_AC1B_41E2_A8C4_03E94593B8FB_.wvu.PrintArea" localSheetId="24" hidden="1">'Single Audit Cover'!$A$1:$L$51</definedName>
    <definedName name="Z_D43C6297_AC1B_41E2_A8C4_03E94593B8FB_.wvu.PrintArea" localSheetId="1" hidden="1">TOC!$A$1:$F$80</definedName>
    <definedName name="Z_D43C6297_AC1B_41E2_A8C4_03E94593B8FB_.wvu.PrintTitles" localSheetId="6" hidden="1">'Acct Summary 7-8'!$A:$B,'Acct Summary 7-8'!$1:$2</definedName>
    <definedName name="Z_D43C6297_AC1B_41E2_A8C4_03E94593B8FB_.wvu.PrintTitles" localSheetId="5" hidden="1">'Assets-Liab 5-6'!$A:$B,'Assets-Liab 5-6'!$1:$2</definedName>
    <definedName name="Z_D43C6297_AC1B_41E2_A8C4_03E94593B8FB_.wvu.PrintTitles" localSheetId="22" hidden="1">AUDITCHECK!$20:$20</definedName>
    <definedName name="Z_D43C6297_AC1B_41E2_A8C4_03E94593B8FB_.wvu.PrintTitles" localSheetId="14" hidden="1">'Contracts Paid in CY 29'!$15:$15</definedName>
    <definedName name="Z_D43C6297_AC1B_41E2_A8C4_03E94593B8FB_.wvu.PrintTitles" localSheetId="8" hidden="1">'Expenditures 15-22'!$A:$B,'Expenditures 15-22'!$1:$2</definedName>
    <definedName name="Z_D43C6297_AC1B_41E2_A8C4_03E94593B8FB_.wvu.PrintTitles" localSheetId="13" hidden="1">'PCTC-OEPP 27-28'!$1:$5</definedName>
    <definedName name="Z_D43C6297_AC1B_41E2_A8C4_03E94593B8FB_.wvu.PrintTitles" localSheetId="7" hidden="1">'Revenues 9-14'!$A:$B,'Revenues 9-14'!$1:$2</definedName>
    <definedName name="Z_D43C6297_AC1B_41E2_A8C4_03E94593B8FB_.wvu.PrintTitles" localSheetId="16" hidden="1">'Shared Outsourced Services 31'!$5:$5</definedName>
    <definedName name="Z_D43C6297_AC1B_41E2_A8C4_03E94593B8FB_.wvu.PrintTitles" localSheetId="25" hidden="1">'Single Audit Checklist'!$1:$4</definedName>
    <definedName name="Z_D43C6297_AC1B_41E2_A8C4_03E94593B8FB_.wvu.Rows" localSheetId="6" hidden="1">'Acct Summary 7-8'!$83:$83</definedName>
    <definedName name="Z_D43C6297_AC1B_41E2_A8C4_03E94593B8FB_.wvu.Rows" localSheetId="2" hidden="1">'Aud Quest 2'!$12:$12,'Aud Quest 2'!$17:$17,'Aud Quest 2'!$19:$19,'Aud Quest 2'!$34:$34,'Aud Quest 2'!$39:$39</definedName>
    <definedName name="Z_D43C6297_AC1B_41E2_A8C4_03E94593B8FB_.wvu.Rows" localSheetId="22" hidden="1">AUDITCHECK!$27:$28</definedName>
    <definedName name="Z_D43C6297_AC1B_41E2_A8C4_03E94593B8FB_.wvu.Rows" localSheetId="21" hidden="1">'DeficitAFRSum Calc 36'!$16:$19</definedName>
    <definedName name="Z_D43C6297_AC1B_41E2_A8C4_03E94593B8FB_.wvu.Rows" localSheetId="3" hidden="1">'FP Info 3'!$12:$12,'FP Info 3'!$26:$26,'FP Info 3'!$39:$39</definedName>
    <definedName name="Z_D43C6297_AC1B_41E2_A8C4_03E94593B8FB_.wvu.Rows" localSheetId="13" hidden="1">'PCTC-OEPP 27-28'!$133:$156</definedName>
    <definedName name="Z_D43C6297_AC1B_41E2_A8C4_03E94593B8FB_.wvu.Rows" localSheetId="16" hidden="1">'Shared Outsourced Services 31'!$39:$39,'Shared Outsourced Services 31'!$44:$44,'Shared Outsourced Services 31'!$49:$49</definedName>
    <definedName name="Z_D43C6297_AC1B_41E2_A8C4_03E94593B8FB_.wvu.Rows" localSheetId="1" hidden="1">TOC!$38:$39</definedName>
  </definedNames>
  <calcPr calcId="191029"/>
  <customWorkbookViews>
    <customWorkbookView name="Ann - Personal View" guid="{58008B32-E4E8-4E32-8B1E-F6CE50059F4A}" mergeInterval="0" personalView="1" xWindow="26" yWindow="26" windowWidth="1422" windowHeight="1005" tabRatio="959" activeSheetId="18"/>
    <customWorkbookView name="Paula - Personal View" guid="{D43C6297-AC1B-41E2-A8C4-03E94593B8FB}" mergeInterval="0" personalView="1" maximized="1" xWindow="-8" yWindow="-8" windowWidth="1936" windowHeight="1056" tabRatio="959" activeSheetId="26"/>
    <customWorkbookView name="Chelsey - Personal View" guid="{1CEE81F4-A6A8-4CF6-96C8-1AACCC28872D}" mergeInterval="0" personalView="1" maximized="1" xWindow="1912" yWindow="-8" windowWidth="1936" windowHeight="1056" tabRatio="959" activeSheetId="16"/>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1" i="23" l="1"/>
  <c r="J27" i="17" l="1"/>
  <c r="I27" i="17"/>
  <c r="H27" i="17"/>
  <c r="J26" i="17"/>
  <c r="I26" i="17"/>
  <c r="H26" i="17"/>
  <c r="J25" i="17"/>
  <c r="I25" i="17"/>
  <c r="H25" i="17"/>
  <c r="I26" i="31" l="1"/>
  <c r="G26" i="31"/>
  <c r="F26" i="31"/>
  <c r="E26" i="31"/>
  <c r="I14" i="31"/>
  <c r="I22" i="31" s="1"/>
  <c r="K14" i="31"/>
  <c r="K22" i="31" s="1"/>
  <c r="G22" i="31"/>
  <c r="F22" i="31"/>
  <c r="E22" i="31"/>
  <c r="I19" i="31"/>
  <c r="F19" i="31"/>
  <c r="I18" i="31"/>
  <c r="F18" i="31"/>
  <c r="I17" i="31"/>
  <c r="G17" i="31"/>
  <c r="F17" i="31"/>
  <c r="E17" i="31"/>
  <c r="I16" i="31"/>
  <c r="G16" i="31"/>
  <c r="F16" i="31"/>
  <c r="E16" i="31"/>
  <c r="I15" i="31"/>
  <c r="F15" i="31"/>
  <c r="G14" i="31"/>
  <c r="F14" i="31"/>
  <c r="K13" i="31"/>
  <c r="I13" i="31"/>
  <c r="F13" i="31"/>
  <c r="K12" i="31"/>
  <c r="I12" i="31"/>
  <c r="G12" i="31"/>
  <c r="F12" i="31"/>
  <c r="E12" i="31"/>
  <c r="K19" i="28" l="1"/>
  <c r="K27" i="28" s="1"/>
  <c r="K17" i="30" s="1"/>
  <c r="G17" i="30"/>
  <c r="E17" i="30"/>
  <c r="I19" i="29"/>
  <c r="G19" i="29"/>
  <c r="F19" i="29"/>
  <c r="F17" i="30" s="1"/>
  <c r="E19" i="29"/>
  <c r="G27" i="28"/>
  <c r="F27" i="28"/>
  <c r="E27" i="28"/>
  <c r="I26" i="28"/>
  <c r="F26" i="28"/>
  <c r="I19" i="28"/>
  <c r="I27" i="28" s="1"/>
  <c r="G19" i="28"/>
  <c r="F19" i="28"/>
  <c r="E19" i="28"/>
  <c r="I17" i="30" l="1"/>
  <c r="L26" i="31" l="1"/>
  <c r="L22" i="31"/>
  <c r="L19" i="31"/>
  <c r="L18" i="31"/>
  <c r="L17" i="31"/>
  <c r="L16" i="31"/>
  <c r="L15" i="31"/>
  <c r="L14" i="31"/>
  <c r="L13" i="31"/>
  <c r="L12" i="31"/>
  <c r="B4" i="31"/>
  <c r="L27" i="30"/>
  <c r="L26" i="30"/>
  <c r="L25" i="30"/>
  <c r="L24" i="30"/>
  <c r="L23" i="30"/>
  <c r="L22" i="30"/>
  <c r="L21" i="30"/>
  <c r="L20" i="30"/>
  <c r="L19" i="30"/>
  <c r="L18" i="30"/>
  <c r="L17" i="30"/>
  <c r="L16" i="30"/>
  <c r="L15" i="30"/>
  <c r="L14" i="30"/>
  <c r="L13" i="30"/>
  <c r="B4" i="30"/>
  <c r="L23" i="29"/>
  <c r="L19" i="29"/>
  <c r="L18" i="29"/>
  <c r="L17" i="29"/>
  <c r="L16" i="29"/>
  <c r="L15" i="29"/>
  <c r="L14" i="29"/>
  <c r="L13" i="29"/>
  <c r="B4" i="29"/>
  <c r="F140" i="15" l="1"/>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B15" i="10" l="1"/>
  <c r="D167" i="14" l="1"/>
  <c r="D166" i="14"/>
  <c r="C167" i="14"/>
  <c r="C166" i="14"/>
  <c r="F167" i="14"/>
  <c r="F166" i="14"/>
  <c r="B7812" i="24" l="1"/>
  <c r="B7811" i="24"/>
  <c r="B7810" i="24"/>
  <c r="B7809" i="24"/>
  <c r="B7816" i="24" l="1"/>
  <c r="D7816" i="24" s="1"/>
  <c r="B7815" i="24"/>
  <c r="D7815" i="24" s="1"/>
  <c r="B7814" i="24"/>
  <c r="D7814" i="24" s="1"/>
  <c r="B7813" i="24"/>
  <c r="D7813" i="24" s="1"/>
  <c r="D7811" i="24"/>
  <c r="D7812" i="24"/>
  <c r="D7810" i="24"/>
  <c r="D7809" i="24"/>
  <c r="B7808" i="24"/>
  <c r="D7808" i="24" s="1"/>
  <c r="B7807" i="24"/>
  <c r="D7807" i="24" s="1"/>
  <c r="B7806" i="24"/>
  <c r="B7805" i="24"/>
  <c r="D7805" i="24" s="1"/>
  <c r="B7804" i="24"/>
  <c r="D7804" i="24" s="1"/>
  <c r="B7803" i="24"/>
  <c r="D7803" i="24" s="1"/>
  <c r="B7802" i="24"/>
  <c r="B7801" i="24"/>
  <c r="D7801" i="24" s="1"/>
  <c r="D7806" i="24"/>
  <c r="D7802" i="24"/>
  <c r="B5196" i="24" l="1"/>
  <c r="F29" i="14" l="1"/>
  <c r="D178" i="14" l="1"/>
  <c r="C7" i="17" l="1"/>
  <c r="C6" i="17"/>
  <c r="J33" i="17"/>
  <c r="I33" i="17"/>
  <c r="H33" i="17"/>
  <c r="J32" i="17"/>
  <c r="I32" i="17"/>
  <c r="H32" i="17"/>
  <c r="J31" i="17"/>
  <c r="I31" i="17"/>
  <c r="H31" i="17"/>
  <c r="J30" i="17"/>
  <c r="I30" i="17"/>
  <c r="H30" i="17"/>
  <c r="J29" i="17"/>
  <c r="I29" i="17"/>
  <c r="H29" i="17"/>
  <c r="J28" i="17"/>
  <c r="I28" i="17"/>
  <c r="H28"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F79" i="14"/>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G139" i="15"/>
  <c r="E139" i="15"/>
  <c r="G138" i="15"/>
  <c r="E138" i="15"/>
  <c r="G137" i="15"/>
  <c r="E137" i="15"/>
  <c r="G136" i="15"/>
  <c r="E136" i="15"/>
  <c r="G135" i="15"/>
  <c r="E135" i="15"/>
  <c r="G134" i="15"/>
  <c r="E134" i="15"/>
  <c r="G133" i="15"/>
  <c r="E133" i="15"/>
  <c r="E132" i="15"/>
  <c r="G132" i="15" s="1"/>
  <c r="G131" i="15"/>
  <c r="E131" i="15"/>
  <c r="G130" i="15"/>
  <c r="E130" i="15"/>
  <c r="G129" i="15"/>
  <c r="E129" i="15"/>
  <c r="G128" i="15"/>
  <c r="E128" i="15"/>
  <c r="E127" i="15"/>
  <c r="G127" i="15" s="1"/>
  <c r="G126" i="15"/>
  <c r="E126" i="15"/>
  <c r="G125" i="15"/>
  <c r="E125" i="15"/>
  <c r="G124" i="15"/>
  <c r="E124" i="15"/>
  <c r="E123" i="15"/>
  <c r="G123" i="15" s="1"/>
  <c r="G122" i="15"/>
  <c r="E122" i="15"/>
  <c r="G121" i="15"/>
  <c r="E121" i="15"/>
  <c r="G120" i="15"/>
  <c r="E120" i="15"/>
  <c r="G119" i="15"/>
  <c r="E119" i="15"/>
  <c r="G118" i="15"/>
  <c r="E118" i="15"/>
  <c r="G117" i="15"/>
  <c r="E117" i="15"/>
  <c r="G116" i="15"/>
  <c r="E116" i="15"/>
  <c r="G115" i="15"/>
  <c r="E115" i="15"/>
  <c r="E114" i="15"/>
  <c r="G114" i="15" s="1"/>
  <c r="G113" i="15"/>
  <c r="E113" i="15"/>
  <c r="G112" i="15"/>
  <c r="E112" i="15"/>
  <c r="G111" i="15"/>
  <c r="E111" i="15"/>
  <c r="E110" i="15"/>
  <c r="G110" i="15" s="1"/>
  <c r="G109" i="15"/>
  <c r="E109" i="15"/>
  <c r="G108" i="15"/>
  <c r="E108" i="15"/>
  <c r="G107" i="15"/>
  <c r="E107" i="15"/>
  <c r="G106" i="15"/>
  <c r="E106" i="15"/>
  <c r="G105" i="15"/>
  <c r="E105" i="15"/>
  <c r="G104" i="15"/>
  <c r="E104" i="15"/>
  <c r="G99" i="15"/>
  <c r="E99" i="15"/>
  <c r="G103" i="15"/>
  <c r="E103" i="15"/>
  <c r="E102" i="15"/>
  <c r="G102" i="15" s="1"/>
  <c r="G101" i="15"/>
  <c r="E101" i="15"/>
  <c r="E100" i="15"/>
  <c r="G100" i="15" s="1"/>
  <c r="G98" i="15"/>
  <c r="E98" i="15"/>
  <c r="E97" i="15"/>
  <c r="G97" i="15" s="1"/>
  <c r="G96" i="15"/>
  <c r="E96" i="15"/>
  <c r="E95" i="15"/>
  <c r="G95" i="15" s="1"/>
  <c r="G93" i="15"/>
  <c r="E93" i="15"/>
  <c r="G92" i="15"/>
  <c r="E92" i="15"/>
  <c r="E91" i="15"/>
  <c r="G91" i="15" s="1"/>
  <c r="G90" i="15"/>
  <c r="E90" i="15"/>
  <c r="G89" i="15"/>
  <c r="E89" i="15"/>
  <c r="E88" i="15"/>
  <c r="G88" i="15" s="1"/>
  <c r="G87" i="15"/>
  <c r="E87" i="15"/>
  <c r="E86" i="15"/>
  <c r="G86" i="15" s="1"/>
  <c r="G84" i="15"/>
  <c r="E84" i="15"/>
  <c r="G83" i="15"/>
  <c r="E83" i="15"/>
  <c r="G82" i="15"/>
  <c r="E82" i="15"/>
  <c r="G81" i="15"/>
  <c r="E81" i="15"/>
  <c r="G80" i="15"/>
  <c r="E80" i="15"/>
  <c r="G79" i="15"/>
  <c r="E79" i="15"/>
  <c r="G78" i="15"/>
  <c r="E78" i="15"/>
  <c r="G77" i="15"/>
  <c r="E77" i="15"/>
  <c r="G76" i="15"/>
  <c r="E76" i="15"/>
  <c r="E75" i="15"/>
  <c r="G75" i="15" s="1"/>
  <c r="G74" i="15"/>
  <c r="E74" i="15"/>
  <c r="G73" i="15"/>
  <c r="E73" i="15"/>
  <c r="G140" i="15"/>
  <c r="E140" i="15"/>
  <c r="G94" i="15"/>
  <c r="E94" i="15"/>
  <c r="G85" i="15"/>
  <c r="E85" i="15"/>
  <c r="E72" i="15"/>
  <c r="G72" i="15" s="1"/>
  <c r="G71" i="15"/>
  <c r="E71" i="15"/>
  <c r="G70" i="15"/>
  <c r="E70" i="15"/>
  <c r="G69" i="15"/>
  <c r="E69" i="15"/>
  <c r="G68" i="15"/>
  <c r="E68" i="15"/>
  <c r="G67" i="15"/>
  <c r="E67" i="15"/>
  <c r="G66" i="15"/>
  <c r="E66" i="15"/>
  <c r="E65" i="15"/>
  <c r="G65" i="15" s="1"/>
  <c r="E64" i="15"/>
  <c r="G64" i="15" s="1"/>
  <c r="G63" i="15"/>
  <c r="E63" i="15"/>
  <c r="G62" i="15"/>
  <c r="E62" i="15"/>
  <c r="G61" i="15"/>
  <c r="E61" i="15"/>
  <c r="E60" i="15"/>
  <c r="G60" i="15" s="1"/>
  <c r="G59" i="15"/>
  <c r="E59" i="15"/>
  <c r="E58" i="15"/>
  <c r="G58" i="15" s="1"/>
  <c r="G57" i="15"/>
  <c r="E57" i="15"/>
  <c r="E56" i="15"/>
  <c r="G56" i="15" s="1"/>
  <c r="G55" i="15"/>
  <c r="E55" i="15"/>
  <c r="E54" i="15"/>
  <c r="G54" i="15" s="1"/>
  <c r="G53" i="15"/>
  <c r="E53" i="15"/>
  <c r="G52" i="15"/>
  <c r="E52" i="15"/>
  <c r="G51" i="15"/>
  <c r="E51" i="15"/>
  <c r="G50" i="15"/>
  <c r="E50" i="15"/>
  <c r="G49" i="15"/>
  <c r="E49" i="15"/>
  <c r="E48" i="15"/>
  <c r="G48" i="15" s="1"/>
  <c r="G47" i="15"/>
  <c r="E47" i="15"/>
  <c r="G46" i="15"/>
  <c r="E46" i="15"/>
  <c r="E45" i="15"/>
  <c r="F45" i="15" s="1"/>
  <c r="G45" i="15" s="1"/>
  <c r="E44" i="15"/>
  <c r="F44" i="15" s="1"/>
  <c r="G44" i="15" s="1"/>
  <c r="E43" i="15"/>
  <c r="E42" i="15"/>
  <c r="E41" i="15"/>
  <c r="F41" i="15" s="1"/>
  <c r="G41" i="15" s="1"/>
  <c r="G40" i="15"/>
  <c r="E40" i="15"/>
  <c r="F40" i="15" s="1"/>
  <c r="E39" i="15"/>
  <c r="F39" i="15" s="1"/>
  <c r="G39" i="15" s="1"/>
  <c r="E38" i="15"/>
  <c r="F38" i="15" s="1"/>
  <c r="G38" i="15" s="1"/>
  <c r="E37" i="15"/>
  <c r="F37" i="15" s="1"/>
  <c r="G37" i="15" s="1"/>
  <c r="E36" i="15"/>
  <c r="F36" i="15" s="1"/>
  <c r="G36" i="15" s="1"/>
  <c r="E35" i="15"/>
  <c r="F35" i="15" s="1"/>
  <c r="G35" i="15" s="1"/>
  <c r="E34" i="15"/>
  <c r="F34" i="15" s="1"/>
  <c r="G34" i="15" s="1"/>
  <c r="E33" i="15"/>
  <c r="E32" i="15"/>
  <c r="F32" i="15" s="1"/>
  <c r="G32" i="15" s="1"/>
  <c r="E31" i="15"/>
  <c r="F31" i="15" s="1"/>
  <c r="G31" i="15" s="1"/>
  <c r="E30" i="15"/>
  <c r="F30" i="15" s="1"/>
  <c r="G30" i="15" s="1"/>
  <c r="E29" i="15"/>
  <c r="E28" i="15"/>
  <c r="F28" i="15" s="1"/>
  <c r="G28" i="15" s="1"/>
  <c r="E27" i="15"/>
  <c r="E26" i="15"/>
  <c r="F26" i="15" s="1"/>
  <c r="G26" i="15" s="1"/>
  <c r="E25" i="15"/>
  <c r="E24" i="15"/>
  <c r="F24" i="15" s="1"/>
  <c r="G24" i="15" s="1"/>
  <c r="E23" i="15"/>
  <c r="F23" i="15" s="1"/>
  <c r="G23" i="15" s="1"/>
  <c r="E22" i="15"/>
  <c r="F22" i="15" s="1"/>
  <c r="G22" i="15" s="1"/>
  <c r="E21" i="15"/>
  <c r="F21" i="15" s="1"/>
  <c r="G21" i="15" s="1"/>
  <c r="E20" i="15"/>
  <c r="F20" i="15" s="1"/>
  <c r="G20" i="15" s="1"/>
  <c r="E19" i="15"/>
  <c r="E18" i="15"/>
  <c r="F43" i="15" l="1"/>
  <c r="G43" i="15" s="1"/>
  <c r="F42" i="15"/>
  <c r="G42" i="15" s="1"/>
  <c r="F33" i="15"/>
  <c r="G33" i="15" s="1"/>
  <c r="F29" i="15"/>
  <c r="G29" i="15" s="1"/>
  <c r="F27" i="15"/>
  <c r="G27" i="15" s="1"/>
  <c r="F25" i="15"/>
  <c r="G25" i="15" s="1"/>
  <c r="F19" i="15"/>
  <c r="G19" i="15" s="1"/>
  <c r="F18" i="15"/>
  <c r="G18" i="15" s="1"/>
  <c r="D141" i="15"/>
  <c r="D80" i="23" l="1"/>
  <c r="B7797" i="24"/>
  <c r="E141" i="15"/>
  <c r="E17" i="15"/>
  <c r="F17" i="15" s="1"/>
  <c r="E16" i="15"/>
  <c r="F16" i="15" l="1"/>
  <c r="G16" i="15" s="1"/>
  <c r="G17" i="15"/>
  <c r="G141" i="15" s="1"/>
  <c r="G40" i="16" l="1"/>
  <c r="B7799" i="24"/>
  <c r="F141" i="15"/>
  <c r="B7798" i="24" s="1"/>
  <c r="E40" i="16"/>
  <c r="B4" i="28" l="1"/>
  <c r="D17" i="27" l="1"/>
  <c r="L27" i="28" l="1"/>
  <c r="L26" i="28"/>
  <c r="L24" i="28"/>
  <c r="L23" i="28"/>
  <c r="L19" i="28"/>
  <c r="L18" i="28"/>
  <c r="L17" i="28"/>
  <c r="L16" i="28"/>
  <c r="L15" i="28"/>
  <c r="L14" i="28"/>
  <c r="L13" i="28"/>
  <c r="D14" i="27" l="1"/>
  <c r="D12" i="27"/>
  <c r="A10" i="25"/>
  <c r="A16" i="25"/>
  <c r="A15" i="25"/>
  <c r="A14" i="25"/>
  <c r="K18" i="25"/>
  <c r="G18" i="25"/>
  <c r="G15" i="25"/>
  <c r="I13" i="25"/>
  <c r="G11" i="25"/>
  <c r="G10" i="25"/>
  <c r="G9" i="25"/>
  <c r="G7" i="25"/>
  <c r="E7" i="25"/>
  <c r="A7" i="25"/>
  <c r="B4" i="36"/>
  <c r="B4" i="35"/>
  <c r="B4" i="34"/>
  <c r="G43" i="33"/>
  <c r="D47" i="33" s="1"/>
  <c r="B4" i="33"/>
  <c r="E34" i="32"/>
  <c r="A4" i="32"/>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1" i="30" l="1"/>
  <c r="B1" i="29"/>
  <c r="B1" i="31"/>
  <c r="B2" i="28"/>
  <c r="B2" i="29"/>
  <c r="B2" i="31"/>
  <c r="B2" i="30"/>
  <c r="B2" i="36"/>
  <c r="A2" i="26"/>
  <c r="B2" i="33"/>
  <c r="A2" i="32"/>
  <c r="A1" i="27"/>
  <c r="B1" i="28"/>
  <c r="B2" i="35"/>
  <c r="B1" i="34"/>
  <c r="B1" i="36"/>
  <c r="A1" i="26"/>
  <c r="A2" i="27"/>
  <c r="A1" i="32"/>
  <c r="B1" i="33"/>
  <c r="B2" i="34"/>
  <c r="B1" i="35"/>
  <c r="B7773" i="24" l="1"/>
  <c r="B61" i="24" l="1"/>
  <c r="B52" i="24"/>
  <c r="B51" i="24" l="1"/>
  <c r="B49" i="24"/>
  <c r="B48" i="24"/>
  <c r="B47" i="24"/>
  <c r="B46" i="24"/>
  <c r="B45" i="24"/>
  <c r="B44" i="24"/>
  <c r="B43" i="24"/>
  <c r="B42" i="24"/>
  <c r="B41" i="24"/>
  <c r="B50" i="24"/>
  <c r="F159" i="14" l="1"/>
  <c r="B7769" i="24"/>
  <c r="B7768" i="24"/>
  <c r="B7766" i="24"/>
  <c r="B7765" i="24"/>
  <c r="B7764" i="24"/>
  <c r="D7764" i="24" s="1"/>
  <c r="J85" i="3"/>
  <c r="B7758" i="24" s="1"/>
  <c r="D7758" i="24" s="1"/>
  <c r="J88" i="3"/>
  <c r="K6" i="9"/>
  <c r="B7763" i="24" s="1"/>
  <c r="D7763" i="24" s="1"/>
  <c r="B7762" i="24"/>
  <c r="K12" i="12"/>
  <c r="K23" i="12"/>
  <c r="J12" i="12"/>
  <c r="J21" i="12"/>
  <c r="J23" i="12"/>
  <c r="B7729" i="24"/>
  <c r="D7729" i="24" s="1"/>
  <c r="B7734" i="24"/>
  <c r="B7726" i="24"/>
  <c r="D76" i="23"/>
  <c r="F158" i="14"/>
  <c r="B30" i="23"/>
  <c r="B33" i="23" s="1"/>
  <c r="B43" i="23" s="1"/>
  <c r="B56" i="23" s="1"/>
  <c r="B66" i="23" s="1"/>
  <c r="B70" i="23" s="1"/>
  <c r="B74" i="23" s="1"/>
  <c r="D73" i="23"/>
  <c r="C188" i="8"/>
  <c r="B4395" i="24" s="1"/>
  <c r="D4395" i="24" s="1"/>
  <c r="C198" i="8"/>
  <c r="B5246" i="24" s="1"/>
  <c r="D5246" i="24" s="1"/>
  <c r="C204" i="8"/>
  <c r="C209" i="8"/>
  <c r="C217" i="8"/>
  <c r="C221" i="8"/>
  <c r="C252" i="8"/>
  <c r="B7761" i="24"/>
  <c r="D7761" i="24" s="1"/>
  <c r="L127" i="9"/>
  <c r="L129" i="9" s="1"/>
  <c r="L139" i="9"/>
  <c r="L149" i="9"/>
  <c r="I7" i="18"/>
  <c r="I6" i="18"/>
  <c r="D78" i="23"/>
  <c r="K75" i="9"/>
  <c r="K130" i="9"/>
  <c r="K185" i="9"/>
  <c r="K122" i="9"/>
  <c r="F15" i="18" s="1"/>
  <c r="F19" i="18" s="1"/>
  <c r="K67" i="9"/>
  <c r="K64" i="9"/>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B92" i="24"/>
  <c r="D92"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B123" i="24"/>
  <c r="D123" i="24" s="1"/>
  <c r="D125" i="24"/>
  <c r="B126" i="24"/>
  <c r="D126" i="24" s="1"/>
  <c r="D127" i="24"/>
  <c r="D128" i="24"/>
  <c r="B129" i="24"/>
  <c r="D129" i="24" s="1"/>
  <c r="B130" i="24"/>
  <c r="D130" i="24" s="1"/>
  <c r="E13" i="6"/>
  <c r="B131" i="24" s="1"/>
  <c r="D131" i="24" s="1"/>
  <c r="D132" i="24"/>
  <c r="D133" i="24"/>
  <c r="B134" i="24"/>
  <c r="D134" i="24" s="1"/>
  <c r="D135" i="24"/>
  <c r="D136" i="24"/>
  <c r="D137" i="24"/>
  <c r="D138" i="24"/>
  <c r="E34" i="6"/>
  <c r="B140" i="24"/>
  <c r="D140" i="24" s="1"/>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B170" i="24"/>
  <c r="D170" i="24" s="1"/>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B189" i="24"/>
  <c r="D189" i="24" s="1"/>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B212" i="24"/>
  <c r="D212" i="24" s="1"/>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B273" i="24"/>
  <c r="D273" i="24" s="1"/>
  <c r="B274" i="24"/>
  <c r="D274" i="24" s="1"/>
  <c r="B275" i="24"/>
  <c r="D275" i="24" s="1"/>
  <c r="B276" i="24"/>
  <c r="D276" i="24" s="1"/>
  <c r="D277" i="24"/>
  <c r="D278" i="24"/>
  <c r="M23" i="6"/>
  <c r="B279" i="24" s="1"/>
  <c r="D279" i="24" s="1"/>
  <c r="B280" i="24"/>
  <c r="D280" i="24" s="1"/>
  <c r="M41" i="6"/>
  <c r="B281" i="24" s="1"/>
  <c r="D281" i="24" s="1"/>
  <c r="B282" i="24"/>
  <c r="D282" i="24" s="1"/>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H100" i="9"/>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4" i="24"/>
  <c r="D1124" i="24" s="1"/>
  <c r="B1126" i="24"/>
  <c r="D1126" i="24" s="1"/>
  <c r="K60" i="9"/>
  <c r="K61" i="9"/>
  <c r="B1128" i="24" s="1"/>
  <c r="D1128" i="24" s="1"/>
  <c r="K62" i="9"/>
  <c r="B1129" i="24" s="1"/>
  <c r="D1129" i="24" s="1"/>
  <c r="K63" i="9"/>
  <c r="B1130" i="24" s="1"/>
  <c r="D1130" i="24" s="1"/>
  <c r="D1132" i="24"/>
  <c r="K68" i="9"/>
  <c r="K69" i="9"/>
  <c r="B1136" i="24" s="1"/>
  <c r="D1136" i="24" s="1"/>
  <c r="K70" i="9"/>
  <c r="B1137" i="24" s="1"/>
  <c r="D1137" i="24" s="1"/>
  <c r="D1138" i="24"/>
  <c r="K71" i="9"/>
  <c r="B1139" i="24" s="1"/>
  <c r="D1139" i="24" s="1"/>
  <c r="D1140" i="24"/>
  <c r="K73" i="9"/>
  <c r="B1142" i="24" s="1"/>
  <c r="D1142" i="24" s="1"/>
  <c r="K78" i="9"/>
  <c r="K79" i="9"/>
  <c r="K80" i="9"/>
  <c r="K81" i="9"/>
  <c r="K82" i="9"/>
  <c r="K83" i="9"/>
  <c r="K93" i="9"/>
  <c r="K94" i="9"/>
  <c r="K95" i="9"/>
  <c r="K96" i="9"/>
  <c r="K97" i="9"/>
  <c r="K98" i="9"/>
  <c r="K99" i="9"/>
  <c r="K101" i="9"/>
  <c r="K105" i="9"/>
  <c r="K106" i="9"/>
  <c r="B1147" i="24" s="1"/>
  <c r="D1147" i="24" s="1"/>
  <c r="D1148" i="24"/>
  <c r="K109" i="9"/>
  <c r="B1149" i="24" s="1"/>
  <c r="D1149" i="24" s="1"/>
  <c r="D1150" i="24"/>
  <c r="K107" i="9"/>
  <c r="K108" i="9"/>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B1223" i="24" s="1"/>
  <c r="D1223" i="24"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B1274" i="24"/>
  <c r="D1274" i="24" s="1"/>
  <c r="K123" i="9"/>
  <c r="K124" i="9"/>
  <c r="B1276" i="24" s="1"/>
  <c r="D1276" i="24" s="1"/>
  <c r="K126" i="9"/>
  <c r="B1277" i="24" s="1"/>
  <c r="D1277" i="24" s="1"/>
  <c r="D1278" i="24"/>
  <c r="K125" i="9"/>
  <c r="K128" i="9"/>
  <c r="B1280" i="24" s="1"/>
  <c r="D1280" i="24" s="1"/>
  <c r="K120" i="9"/>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K188" i="9"/>
  <c r="B3007" i="24" s="1"/>
  <c r="D3007" i="24" s="1"/>
  <c r="K189" i="9"/>
  <c r="K190" i="9"/>
  <c r="K191" i="9"/>
  <c r="K192" i="9"/>
  <c r="K193" i="9"/>
  <c r="K195" i="9"/>
  <c r="B2839" i="24" s="1"/>
  <c r="K199" i="9"/>
  <c r="B1383" i="24" s="1"/>
  <c r="D1383" i="24" s="1"/>
  <c r="K200" i="9"/>
  <c r="B1384" i="24" s="1"/>
  <c r="D1384" i="24" s="1"/>
  <c r="K203" i="9"/>
  <c r="B1385" i="24" s="1"/>
  <c r="D1385" i="24" s="1"/>
  <c r="D1386" i="24"/>
  <c r="K201" i="9"/>
  <c r="B2841" i="24" s="1"/>
  <c r="D2841" i="24" s="1"/>
  <c r="K202" i="9"/>
  <c r="K205" i="9"/>
  <c r="K206" i="9"/>
  <c r="K207" i="9"/>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K219" i="9"/>
  <c r="B3065" i="24" s="1"/>
  <c r="D3065" i="24" s="1"/>
  <c r="K220" i="9"/>
  <c r="K226" i="9"/>
  <c r="K228" i="9"/>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K248" i="9"/>
  <c r="K249" i="9"/>
  <c r="K250" i="9"/>
  <c r="K251" i="9"/>
  <c r="K252" i="9"/>
  <c r="K253" i="9"/>
  <c r="K254" i="9"/>
  <c r="K255" i="9"/>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K291" i="9"/>
  <c r="B2846" i="24" s="1"/>
  <c r="D2846" i="24" s="1"/>
  <c r="D1516" i="24"/>
  <c r="K283" i="9"/>
  <c r="K284" i="9"/>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K301" i="9"/>
  <c r="D1556" i="24"/>
  <c r="D1557" i="24"/>
  <c r="K302" i="9"/>
  <c r="B1558" i="24"/>
  <c r="D1558" i="24" s="1"/>
  <c r="K306" i="9"/>
  <c r="K307" i="9"/>
  <c r="K308" i="9"/>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c r="B1864" i="24"/>
  <c r="D1864" i="24" s="1"/>
  <c r="E21" i="11"/>
  <c r="B1865" i="24"/>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c r="D1876" i="24" s="1"/>
  <c r="F18" i="11"/>
  <c r="B1877" i="24" s="1"/>
  <c r="D1877" i="24" s="1"/>
  <c r="F20" i="11"/>
  <c r="B1878" i="24"/>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s="1"/>
  <c r="D1995"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B2027" i="24" s="1"/>
  <c r="D2027" i="24" s="1"/>
  <c r="F10" i="13"/>
  <c r="B2028" i="24" s="1"/>
  <c r="D2028" i="24" s="1"/>
  <c r="F12" i="13"/>
  <c r="B2029" i="24" s="1"/>
  <c r="D2029" i="24" s="1"/>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B2089" i="24"/>
  <c r="D2089" i="24" s="1"/>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4" i="24"/>
  <c r="D2724" i="24" s="1"/>
  <c r="B2725" i="24"/>
  <c r="D2725" i="24" s="1"/>
  <c r="B2726" i="24"/>
  <c r="D2726"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5" i="24"/>
  <c r="D2795" i="24" s="1"/>
  <c r="B2796" i="24"/>
  <c r="D2796"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D2818" i="24"/>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D2839" i="24"/>
  <c r="B2840" i="24"/>
  <c r="D2840" i="24" s="1"/>
  <c r="B2843" i="24"/>
  <c r="D2843" i="24" s="1"/>
  <c r="B2844" i="24"/>
  <c r="D2844" i="24" s="1"/>
  <c r="D2845" i="24"/>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B2864" i="24"/>
  <c r="D2864" i="24" s="1"/>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2" i="24"/>
  <c r="D2912"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3" i="24"/>
  <c r="D2973" i="24" s="1"/>
  <c r="B2974" i="24"/>
  <c r="D2974" i="24" s="1"/>
  <c r="B2975" i="24"/>
  <c r="D2975" i="24" s="1"/>
  <c r="B2976" i="24"/>
  <c r="D2976" i="24" s="1"/>
  <c r="B2977" i="24"/>
  <c r="D2977" i="24" s="1"/>
  <c r="B2978" i="24"/>
  <c r="D2978"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B3008" i="24"/>
  <c r="D3008" i="24" s="1"/>
  <c r="B3009" i="24"/>
  <c r="D3009" i="24" s="1"/>
  <c r="B3010" i="24"/>
  <c r="D3010" i="24" s="1"/>
  <c r="B3011" i="24"/>
  <c r="D3011" i="24" s="1"/>
  <c r="B3012" i="24"/>
  <c r="D3012" i="24" s="1"/>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7" i="24"/>
  <c r="D3257" i="24" s="1"/>
  <c r="G44" i="7"/>
  <c r="B3258" i="24"/>
  <c r="D3258" i="24" s="1"/>
  <c r="B3259" i="24"/>
  <c r="D3259" i="24" s="1"/>
  <c r="G76" i="7"/>
  <c r="B3260" i="24" s="1"/>
  <c r="D3260" i="24" s="1"/>
  <c r="D3263" i="24"/>
  <c r="D3264" i="24"/>
  <c r="D3265" i="24"/>
  <c r="D3266" i="24"/>
  <c r="D3267" i="24"/>
  <c r="D3268" i="24"/>
  <c r="D3269" i="24"/>
  <c r="D3270" i="24"/>
  <c r="D3271" i="24"/>
  <c r="D3272" i="24"/>
  <c r="B3273" i="24"/>
  <c r="D3273" i="24" s="1"/>
  <c r="E37" i="7"/>
  <c r="E38" i="7"/>
  <c r="E39" i="7"/>
  <c r="B6287" i="24" s="1"/>
  <c r="D6287" i="24" s="1"/>
  <c r="E40" i="7"/>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H44" i="7" s="1"/>
  <c r="B3297" i="24"/>
  <c r="D3297" i="24" s="1"/>
  <c r="H76" i="7"/>
  <c r="B3298" i="24" s="1"/>
  <c r="D3298"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B3392" i="24"/>
  <c r="D3392"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B3454" i="24" s="1"/>
  <c r="D3454" i="24" s="1"/>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B3488" i="24"/>
  <c r="D3488"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67" i="24"/>
  <c r="D3567" i="24" s="1"/>
  <c r="B3577" i="24"/>
  <c r="D3577" i="24" s="1"/>
  <c r="B3578" i="24"/>
  <c r="D3578" i="24" s="1"/>
  <c r="B3579" i="24"/>
  <c r="D3579" i="24" s="1"/>
  <c r="B3580" i="24"/>
  <c r="D3580" i="24" s="1"/>
  <c r="B3581" i="24"/>
  <c r="D3581" i="24" s="1"/>
  <c r="B3582" i="24"/>
  <c r="D3582" i="24" s="1"/>
  <c r="B3583" i="24"/>
  <c r="K44" i="7"/>
  <c r="B3584" i="24" s="1"/>
  <c r="D3584" i="24" s="1"/>
  <c r="B3585" i="24"/>
  <c r="D3585" i="24" s="1"/>
  <c r="K52" i="7"/>
  <c r="B3702" i="24" s="1"/>
  <c r="D3702" i="24" s="1"/>
  <c r="K53" i="7"/>
  <c r="K76" i="7" s="1"/>
  <c r="B3586" i="24" s="1"/>
  <c r="D3586" i="24" s="1"/>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G352" i="9" s="1"/>
  <c r="B3648" i="24"/>
  <c r="D3648" i="24" s="1"/>
  <c r="D3651" i="24"/>
  <c r="B3652" i="24"/>
  <c r="D3652" i="24" s="1"/>
  <c r="B3653" i="24"/>
  <c r="D3653" i="24" s="1"/>
  <c r="H350" i="9"/>
  <c r="B3654" i="24" s="1"/>
  <c r="D3654" i="24" s="1"/>
  <c r="B3655" i="24"/>
  <c r="D3655" i="24" s="1"/>
  <c r="B3657" i="24"/>
  <c r="D3657" i="24" s="1"/>
  <c r="H362" i="9"/>
  <c r="B3658" i="24" s="1"/>
  <c r="D3658" i="24" s="1"/>
  <c r="D3659" i="24"/>
  <c r="H365" i="9"/>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D3677" i="24"/>
  <c r="K363" i="9"/>
  <c r="K364" i="9"/>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3" i="24"/>
  <c r="D3723"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0" i="24"/>
  <c r="D4080" i="24" s="1"/>
  <c r="B4081" i="24"/>
  <c r="D4081" i="24" s="1"/>
  <c r="B4082" i="24"/>
  <c r="D4082" i="24" s="1"/>
  <c r="B4083" i="24"/>
  <c r="D4083" i="24" s="1"/>
  <c r="B4084" i="24"/>
  <c r="D4084" i="24" s="1"/>
  <c r="B4085" i="24"/>
  <c r="D4085" i="24" s="1"/>
  <c r="B4086" i="24"/>
  <c r="D4086" i="24" s="1"/>
  <c r="B4087" i="24"/>
  <c r="D4087" i="24" s="1"/>
  <c r="D4088" i="24"/>
  <c r="D4089" i="24"/>
  <c r="D4090" i="24"/>
  <c r="D4091" i="24"/>
  <c r="D4092" i="24"/>
  <c r="D4093" i="24"/>
  <c r="D4094" i="24"/>
  <c r="D4095" i="24"/>
  <c r="B4096" i="24"/>
  <c r="D4096" i="24" s="1"/>
  <c r="B4097" i="24"/>
  <c r="D4097" i="24" s="1"/>
  <c r="D4098" i="24"/>
  <c r="B4100" i="24"/>
  <c r="D4100" i="24" s="1"/>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B4166" i="24"/>
  <c r="D4166"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B4211" i="24"/>
  <c r="D4211"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D4399" i="24"/>
  <c r="D4400" i="24"/>
  <c r="D4401" i="24"/>
  <c r="D4402" i="24"/>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D5196" i="24"/>
  <c r="D5197" i="24"/>
  <c r="D5198" i="24"/>
  <c r="D5199" i="24"/>
  <c r="D5200" i="24"/>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D5254" i="24"/>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D5313" i="24"/>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D5438" i="24"/>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D5630" i="24"/>
  <c r="D5631" i="24"/>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D5671" i="24"/>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D5706" i="24"/>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D5767" i="24"/>
  <c r="D5768" i="24"/>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D5797" i="24"/>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D5856" i="24"/>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5" i="24"/>
  <c r="D6215" i="24" s="1"/>
  <c r="J41" i="6"/>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J77" i="7"/>
  <c r="B6262" i="24"/>
  <c r="D6262" i="24" s="1"/>
  <c r="B6264" i="24"/>
  <c r="D6264" i="24" s="1"/>
  <c r="B6265" i="24"/>
  <c r="D6265" i="24" s="1"/>
  <c r="B6285" i="24"/>
  <c r="D6285" i="24" s="1"/>
  <c r="B6286" i="24"/>
  <c r="D6286" i="24" s="1"/>
  <c r="B6288" i="24"/>
  <c r="D6288" i="24" s="1"/>
  <c r="B6289" i="24"/>
  <c r="D6289" i="24" s="1"/>
  <c r="B6290" i="24"/>
  <c r="D6290" i="24" s="1"/>
  <c r="B6291" i="24"/>
  <c r="D6291" i="24" s="1"/>
  <c r="B6292" i="24"/>
  <c r="D6292" i="24" s="1"/>
  <c r="B6293" i="24"/>
  <c r="D6293" i="24" s="1"/>
  <c r="B6294" i="24"/>
  <c r="D6294" i="24" s="1"/>
  <c r="B6295" i="24"/>
  <c r="D6295" i="24" s="1"/>
  <c r="B6296" i="24"/>
  <c r="D6296" i="24" s="1"/>
  <c r="B6297" i="24"/>
  <c r="D6297" i="24"/>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D6382" i="24"/>
  <c r="D6383" i="24"/>
  <c r="D6384" i="24"/>
  <c r="D6385" i="24"/>
  <c r="D6386" i="24"/>
  <c r="D6387" i="24"/>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D6410" i="24"/>
  <c r="D6411" i="24"/>
  <c r="D6412" i="24"/>
  <c r="D6413" i="24"/>
  <c r="B6414" i="24"/>
  <c r="D6414" i="24"/>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D6841" i="24"/>
  <c r="D6842" i="24"/>
  <c r="D6843" i="24"/>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5" i="24"/>
  <c r="D6995" i="24" s="1"/>
  <c r="B6996" i="24"/>
  <c r="D6996" i="24" s="1"/>
  <c r="B6997" i="24"/>
  <c r="D6997" i="24" s="1"/>
  <c r="B6998" i="24"/>
  <c r="D6998" i="24" s="1"/>
  <c r="B6999" i="24"/>
  <c r="D6999" i="24" s="1"/>
  <c r="B7000" i="24"/>
  <c r="D7000" i="24" s="1"/>
  <c r="B7001" i="24"/>
  <c r="D7001" i="24" s="1"/>
  <c r="B7002" i="24"/>
  <c r="D7002" i="24" s="1"/>
  <c r="B7003" i="24"/>
  <c r="D7003" i="24" s="1"/>
  <c r="B7004" i="24"/>
  <c r="D7004" i="24" s="1"/>
  <c r="B7005" i="24"/>
  <c r="D7005" i="24" s="1"/>
  <c r="B7006" i="24"/>
  <c r="D7006" i="24" s="1"/>
  <c r="B7007" i="24"/>
  <c r="D7007" i="24" s="1"/>
  <c r="B7008" i="24"/>
  <c r="D7008" i="24" s="1"/>
  <c r="B7009" i="24"/>
  <c r="D7009" i="24" s="1"/>
  <c r="B7010" i="24"/>
  <c r="D7010" i="24" s="1"/>
  <c r="B7011" i="24"/>
  <c r="D7011" i="24" s="1"/>
  <c r="B7012" i="24"/>
  <c r="D7012" i="24" s="1"/>
  <c r="B7014" i="24"/>
  <c r="D7014" i="24" s="1"/>
  <c r="B7015" i="24"/>
  <c r="D7015" i="24" s="1"/>
  <c r="B7016" i="24"/>
  <c r="D7016" i="24" s="1"/>
  <c r="K111" i="9"/>
  <c r="B7017" i="24" s="1"/>
  <c r="D7017" i="24" s="1"/>
  <c r="H112" i="9"/>
  <c r="B7018" i="24" s="1"/>
  <c r="D7018"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J129" i="9"/>
  <c r="B7038" i="24" s="1"/>
  <c r="D7038" i="24" s="1"/>
  <c r="B7039" i="24"/>
  <c r="D7039" i="24" s="1"/>
  <c r="B7040" i="24"/>
  <c r="D7040" i="24" s="1"/>
  <c r="B7043" i="24"/>
  <c r="D7043" i="24" s="1"/>
  <c r="B7044" i="24"/>
  <c r="D7044" i="24" s="1"/>
  <c r="B7045" i="24"/>
  <c r="D7045" i="24" s="1"/>
  <c r="B7046" i="24"/>
  <c r="D7046" i="24" s="1"/>
  <c r="B7047" i="24"/>
  <c r="D7047"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0" i="24"/>
  <c r="D7070" i="24" s="1"/>
  <c r="J210" i="9"/>
  <c r="B7072" i="24" s="1"/>
  <c r="D7072" i="24" s="1"/>
  <c r="B7073" i="24"/>
  <c r="D7073" i="24" s="1"/>
  <c r="B7074" i="24"/>
  <c r="D7074" i="24" s="1"/>
  <c r="B7075" i="24"/>
  <c r="D7075" i="24" s="1"/>
  <c r="B7076" i="24"/>
  <c r="D7076" i="24" s="1"/>
  <c r="B7077" i="24"/>
  <c r="D7077" i="24" s="1"/>
  <c r="B7078" i="24"/>
  <c r="D7078" i="24" s="1"/>
  <c r="B7079" i="24"/>
  <c r="D7079" i="24" s="1"/>
  <c r="B7080" i="24"/>
  <c r="D7080" i="24" s="1"/>
  <c r="B7081" i="24"/>
  <c r="D7081" i="24" s="1"/>
  <c r="B7082" i="24"/>
  <c r="D7082" i="24" s="1"/>
  <c r="B7083" i="24"/>
  <c r="D7083" i="24" s="1"/>
  <c r="B7084" i="24"/>
  <c r="D7084" i="24" s="1"/>
  <c r="B7085" i="24"/>
  <c r="D7085" i="24" s="1"/>
  <c r="B7086" i="24"/>
  <c r="D7086" i="24" s="1"/>
  <c r="B7087" i="24"/>
  <c r="D7087" i="24" s="1"/>
  <c r="B7088" i="24"/>
  <c r="D7088" i="24" s="1"/>
  <c r="B7089" i="24"/>
  <c r="D7089" i="24" s="1"/>
  <c r="B7090" i="24"/>
  <c r="D7090" i="24" s="1"/>
  <c r="B7091" i="24"/>
  <c r="D7091" i="24" s="1"/>
  <c r="B7092" i="24"/>
  <c r="D7092" i="24" s="1"/>
  <c r="B7093" i="24"/>
  <c r="D7093" i="24" s="1"/>
  <c r="B7094" i="24"/>
  <c r="D7094" i="24" s="1"/>
  <c r="B7095" i="24"/>
  <c r="D7095" i="24" s="1"/>
  <c r="B7096" i="24"/>
  <c r="D7096"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7" i="24"/>
  <c r="D7107" i="24" s="1"/>
  <c r="B7108" i="24"/>
  <c r="D7108" i="24" s="1"/>
  <c r="B7109" i="24"/>
  <c r="D7109" i="24" s="1"/>
  <c r="B7110" i="24"/>
  <c r="D7110" i="24" s="1"/>
  <c r="B7111" i="24"/>
  <c r="D7111" i="24" s="1"/>
  <c r="B7112" i="24"/>
  <c r="D7112" i="24" s="1"/>
  <c r="B7113" i="24"/>
  <c r="D7113" i="24" s="1"/>
  <c r="B7114" i="24"/>
  <c r="D7114" i="24" s="1"/>
  <c r="B7115" i="24"/>
  <c r="D7115"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K329" i="9"/>
  <c r="B7705" i="24" s="1"/>
  <c r="D7705" i="24" s="1"/>
  <c r="B7208" i="24"/>
  <c r="D7208" i="24" s="1"/>
  <c r="K337" i="9"/>
  <c r="B7209" i="24"/>
  <c r="D7209" i="24" s="1"/>
  <c r="B7210" i="24"/>
  <c r="D7210" i="24" s="1"/>
  <c r="K338" i="9"/>
  <c r="B7212" i="24"/>
  <c r="D7212" i="24" s="1"/>
  <c r="K339" i="9"/>
  <c r="B7213" i="24" s="1"/>
  <c r="D7213" i="24" s="1"/>
  <c r="H340" i="9"/>
  <c r="H342" i="9" s="1"/>
  <c r="B7226" i="24"/>
  <c r="D7226" i="24" s="1"/>
  <c r="B7227" i="24"/>
  <c r="D7227" i="24" s="1"/>
  <c r="B7228" i="24"/>
  <c r="D7228" i="24" s="1"/>
  <c r="B7229" i="24"/>
  <c r="D7229" i="24" s="1"/>
  <c r="I350" i="9"/>
  <c r="J350" i="9"/>
  <c r="B7231" i="24"/>
  <c r="D7231" i="24" s="1"/>
  <c r="B7232" i="24"/>
  <c r="D7232" i="24" s="1"/>
  <c r="B7233" i="24"/>
  <c r="D7233" i="24" s="1"/>
  <c r="J352" i="9"/>
  <c r="J367" i="9" s="1"/>
  <c r="B7245" i="24" s="1"/>
  <c r="D7245" i="24" s="1"/>
  <c r="B7236" i="24"/>
  <c r="D7236" i="24" s="1"/>
  <c r="B7237" i="24"/>
  <c r="D7237" i="24" s="1"/>
  <c r="B7238" i="24"/>
  <c r="D7238" i="24" s="1"/>
  <c r="B7239" i="24"/>
  <c r="D7239" i="24" s="1"/>
  <c r="B7240" i="24"/>
  <c r="D7240" i="24" s="1"/>
  <c r="B7241" i="24"/>
  <c r="D7241" i="24" s="1"/>
  <c r="B7242" i="24"/>
  <c r="D7242"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D7696" i="24"/>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B7731" i="24"/>
  <c r="D7731" i="24" s="1"/>
  <c r="D7734" i="24"/>
  <c r="B7735" i="24"/>
  <c r="D7735" i="24" s="1"/>
  <c r="B7736" i="24"/>
  <c r="D7736" i="24" s="1"/>
  <c r="B7737" i="24"/>
  <c r="D7737" i="24" s="1"/>
  <c r="B7738" i="24"/>
  <c r="D7738" i="24" s="1"/>
  <c r="D7744" i="24"/>
  <c r="B7745" i="24"/>
  <c r="D7745" i="24" s="1"/>
  <c r="B7746" i="24"/>
  <c r="D7746"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2" i="24"/>
  <c r="D7765" i="24"/>
  <c r="D7766"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54" i="23"/>
  <c r="D68" i="23"/>
  <c r="D69" i="23"/>
  <c r="D71" i="23"/>
  <c r="D72" i="23"/>
  <c r="D79" i="23"/>
  <c r="B64" i="19"/>
  <c r="B65" i="19"/>
  <c r="D26" i="16"/>
  <c r="E26" i="16"/>
  <c r="F26" i="16"/>
  <c r="G26" i="16"/>
  <c r="D27" i="16"/>
  <c r="E27" i="16"/>
  <c r="F27" i="16"/>
  <c r="G27" i="16"/>
  <c r="E28" i="16"/>
  <c r="F28" i="16"/>
  <c r="F31" i="16"/>
  <c r="F36" i="16"/>
  <c r="G28" i="16"/>
  <c r="E29" i="16"/>
  <c r="G29" i="16"/>
  <c r="E30" i="16"/>
  <c r="G30" i="16"/>
  <c r="D31" i="16"/>
  <c r="D36" i="16"/>
  <c r="E31" i="16"/>
  <c r="G31" i="16"/>
  <c r="E33" i="16"/>
  <c r="G33" i="16"/>
  <c r="E34" i="16"/>
  <c r="G34" i="16"/>
  <c r="E35" i="16"/>
  <c r="G35" i="16"/>
  <c r="E36" i="16"/>
  <c r="G36" i="16"/>
  <c r="E37" i="16"/>
  <c r="G37" i="16"/>
  <c r="E38" i="16"/>
  <c r="G38" i="16"/>
  <c r="G39"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F36" i="14"/>
  <c r="C37" i="14"/>
  <c r="D37" i="14"/>
  <c r="F37" i="14"/>
  <c r="C38" i="14"/>
  <c r="D38" i="14"/>
  <c r="F38" i="14"/>
  <c r="C39" i="14"/>
  <c r="D39" i="14"/>
  <c r="C40" i="14"/>
  <c r="D40" i="14"/>
  <c r="C41" i="14"/>
  <c r="D41" i="14"/>
  <c r="C42" i="14"/>
  <c r="D42" i="14"/>
  <c r="C43" i="14"/>
  <c r="D43" i="14"/>
  <c r="C44" i="14"/>
  <c r="D44" i="14"/>
  <c r="F44" i="14"/>
  <c r="C45" i="14"/>
  <c r="D45" i="14"/>
  <c r="C46" i="14"/>
  <c r="D46" i="14"/>
  <c r="F46" i="14"/>
  <c r="C47" i="14"/>
  <c r="D47" i="14"/>
  <c r="C48" i="14"/>
  <c r="D48" i="14"/>
  <c r="C49" i="14"/>
  <c r="D49" i="14"/>
  <c r="C50" i="14"/>
  <c r="D50" i="14"/>
  <c r="C51" i="14"/>
  <c r="D51" i="14"/>
  <c r="C52" i="14"/>
  <c r="F52" i="14"/>
  <c r="C53" i="14"/>
  <c r="D53" i="14"/>
  <c r="C56" i="14"/>
  <c r="F56" i="14"/>
  <c r="C57" i="14"/>
  <c r="D57" i="14"/>
  <c r="C61" i="14"/>
  <c r="C62" i="14"/>
  <c r="F62" i="14"/>
  <c r="C63" i="14"/>
  <c r="D63" i="14"/>
  <c r="C64" i="14"/>
  <c r="F64" i="14"/>
  <c r="C67" i="14"/>
  <c r="D67" i="14"/>
  <c r="F67" i="14"/>
  <c r="C68" i="14"/>
  <c r="D68" i="14"/>
  <c r="F68" i="14"/>
  <c r="C69" i="14"/>
  <c r="D69" i="14"/>
  <c r="F69" i="14"/>
  <c r="C70" i="14"/>
  <c r="D70" i="14"/>
  <c r="F70" i="14"/>
  <c r="C71" i="14"/>
  <c r="D71" i="14"/>
  <c r="F71" i="14"/>
  <c r="C72" i="14"/>
  <c r="F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F94" i="1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F121" i="14"/>
  <c r="C122" i="14"/>
  <c r="D122" i="14"/>
  <c r="F122" i="14"/>
  <c r="D123" i="14"/>
  <c r="D124" i="14"/>
  <c r="D125" i="14"/>
  <c r="D126" i="14"/>
  <c r="D127" i="14"/>
  <c r="C128" i="14"/>
  <c r="D128" i="14"/>
  <c r="F128" i="14"/>
  <c r="C129" i="14"/>
  <c r="D129" i="14"/>
  <c r="F129" i="14"/>
  <c r="C130" i="14"/>
  <c r="D130" i="14"/>
  <c r="F130" i="14"/>
  <c r="C131" i="14"/>
  <c r="D131" i="14"/>
  <c r="F131" i="14"/>
  <c r="D132" i="14"/>
  <c r="D133" i="14"/>
  <c r="F133" i="14"/>
  <c r="D134" i="14"/>
  <c r="F134" i="14"/>
  <c r="D135" i="14"/>
  <c r="F135" i="14"/>
  <c r="D136" i="14"/>
  <c r="F136" i="14"/>
  <c r="D137" i="14"/>
  <c r="F137" i="14"/>
  <c r="D138" i="14"/>
  <c r="D139" i="14"/>
  <c r="F139" i="14"/>
  <c r="F140" i="14"/>
  <c r="F141" i="14"/>
  <c r="F142" i="14"/>
  <c r="F143" i="14"/>
  <c r="F144" i="14"/>
  <c r="F145" i="14"/>
  <c r="F146" i="14"/>
  <c r="F147" i="14"/>
  <c r="F148" i="14"/>
  <c r="F149" i="14"/>
  <c r="F150" i="14"/>
  <c r="F152" i="14"/>
  <c r="F153" i="14"/>
  <c r="F154" i="14"/>
  <c r="F155" i="14"/>
  <c r="F156" i="14"/>
  <c r="D140" i="14"/>
  <c r="D141" i="14"/>
  <c r="D142" i="14"/>
  <c r="D143" i="14"/>
  <c r="D144" i="14"/>
  <c r="D145" i="14"/>
  <c r="D146" i="14"/>
  <c r="D147" i="14"/>
  <c r="D148" i="14"/>
  <c r="D149" i="14"/>
  <c r="D150" i="14"/>
  <c r="D151" i="14"/>
  <c r="D152" i="14"/>
  <c r="D153" i="14"/>
  <c r="D154" i="14"/>
  <c r="D155" i="14"/>
  <c r="D156" i="14"/>
  <c r="C160" i="14"/>
  <c r="D160" i="14"/>
  <c r="F160" i="14"/>
  <c r="C161" i="14"/>
  <c r="D161" i="14"/>
  <c r="F161" i="14"/>
  <c r="C162" i="14"/>
  <c r="D162" i="14"/>
  <c r="F162" i="14"/>
  <c r="C163" i="14"/>
  <c r="D163" i="14"/>
  <c r="F163" i="14"/>
  <c r="C164" i="14"/>
  <c r="D164" i="14"/>
  <c r="F164" i="14"/>
  <c r="C165" i="14"/>
  <c r="D165" i="14"/>
  <c r="F165" i="14"/>
  <c r="C168" i="14"/>
  <c r="D168" i="14"/>
  <c r="F168" i="14"/>
  <c r="C169" i="14"/>
  <c r="D169" i="14"/>
  <c r="F169" i="14"/>
  <c r="C170" i="14"/>
  <c r="D170" i="14"/>
  <c r="F170" i="14"/>
  <c r="F178" i="14"/>
  <c r="F3" i="13"/>
  <c r="B7591" i="24" s="1"/>
  <c r="F5" i="13"/>
  <c r="B2026" i="24" s="1"/>
  <c r="D202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756" i="24"/>
  <c r="D1756" i="24" s="1"/>
  <c r="B16" i="10"/>
  <c r="B3446" i="24" s="1"/>
  <c r="D3446" i="24" s="1"/>
  <c r="B17" i="10"/>
  <c r="B4102" i="24" s="1"/>
  <c r="D4102" i="24" s="1"/>
  <c r="B18" i="10"/>
  <c r="B4103" i="24" s="1"/>
  <c r="D4103" i="24" s="1"/>
  <c r="F19" i="10"/>
  <c r="B1807" i="24" s="1"/>
  <c r="D1807"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7" i="9" s="1"/>
  <c r="L362" i="9"/>
  <c r="L365" i="9" s="1"/>
  <c r="C12" i="8"/>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2" i="8"/>
  <c r="B5132" i="24" s="1"/>
  <c r="D5132" i="24" s="1"/>
  <c r="D122" i="8"/>
  <c r="B5367" i="24" s="1"/>
  <c r="D5367" i="24" s="1"/>
  <c r="E122" i="8"/>
  <c r="B5534" i="24" s="1"/>
  <c r="D5534" i="24" s="1"/>
  <c r="F122" i="8"/>
  <c r="B5599" i="24" s="1"/>
  <c r="D5599" i="24" s="1"/>
  <c r="F132" i="8"/>
  <c r="B5614" i="24" s="1"/>
  <c r="D5614" i="24" s="1"/>
  <c r="F155" i="8"/>
  <c r="G122" i="8"/>
  <c r="B5748" i="24" s="1"/>
  <c r="D5748" i="24" s="1"/>
  <c r="H122" i="8"/>
  <c r="B5893" i="24" s="1"/>
  <c r="D5893" i="24" s="1"/>
  <c r="J122" i="8"/>
  <c r="B6357" i="24" s="1"/>
  <c r="D6357" i="24" s="1"/>
  <c r="K122" i="8"/>
  <c r="B6006" i="24" s="1"/>
  <c r="D6006" i="24" s="1"/>
  <c r="C132" i="8"/>
  <c r="B5147" i="24" s="1"/>
  <c r="D5147" i="24" s="1"/>
  <c r="D132" i="8"/>
  <c r="B5369" i="24" s="1"/>
  <c r="D5369" i="24" s="1"/>
  <c r="C141" i="8"/>
  <c r="B5161" i="24" s="1"/>
  <c r="D5161" i="24" s="1"/>
  <c r="D141" i="8"/>
  <c r="B5383" i="24" s="1"/>
  <c r="D5383" i="24" s="1"/>
  <c r="G141" i="8"/>
  <c r="G145" i="8"/>
  <c r="B5756" i="24" s="1"/>
  <c r="D5756" i="24" s="1"/>
  <c r="G155" i="8"/>
  <c r="B4357" i="24" s="1"/>
  <c r="D4357" i="24" s="1"/>
  <c r="C145" i="8"/>
  <c r="B5165" i="24" s="1"/>
  <c r="D5165" i="24" s="1"/>
  <c r="C155" i="8"/>
  <c r="B5178" i="24" s="1"/>
  <c r="D5178" i="24" s="1"/>
  <c r="D155" i="8"/>
  <c r="B5394" i="24" s="1"/>
  <c r="D5394" i="24" s="1"/>
  <c r="E169" i="8"/>
  <c r="H169" i="8"/>
  <c r="B5899" i="24" s="1"/>
  <c r="D5899" i="24" s="1"/>
  <c r="I169" i="8"/>
  <c r="B4363" i="24" s="1"/>
  <c r="D4363" i="24" s="1"/>
  <c r="J169" i="8"/>
  <c r="B6396" i="24" s="1"/>
  <c r="D6396" i="24" s="1"/>
  <c r="K169" i="8"/>
  <c r="B5000" i="24" s="1"/>
  <c r="D5000" i="24" s="1"/>
  <c r="C175" i="8"/>
  <c r="B5225" i="24" s="1"/>
  <c r="D5225" i="24" s="1"/>
  <c r="D175" i="8"/>
  <c r="B5423" i="24" s="1"/>
  <c r="D5423" i="24" s="1"/>
  <c r="E175" i="8"/>
  <c r="B4372" i="24" s="1"/>
  <c r="D4372" i="24" s="1"/>
  <c r="F175" i="8"/>
  <c r="B5655" i="24" s="1"/>
  <c r="D5655" i="24" s="1"/>
  <c r="G175" i="8"/>
  <c r="B5780" i="24" s="1"/>
  <c r="D5780" i="24" s="1"/>
  <c r="H175" i="8"/>
  <c r="I175" i="8"/>
  <c r="B4373" i="24" s="1"/>
  <c r="D4373" i="24" s="1"/>
  <c r="J175" i="8"/>
  <c r="B6400" i="24" s="1"/>
  <c r="D6400" i="24" s="1"/>
  <c r="K175" i="8"/>
  <c r="B4951" i="24" s="1"/>
  <c r="D4951" i="24" s="1"/>
  <c r="C181" i="8"/>
  <c r="B5232" i="24" s="1"/>
  <c r="D5232" i="24" s="1"/>
  <c r="D181" i="8"/>
  <c r="B5425" i="24" s="1"/>
  <c r="D5425" i="24" s="1"/>
  <c r="F181" i="8"/>
  <c r="B5658" i="24" s="1"/>
  <c r="D5658" i="24" s="1"/>
  <c r="G181" i="8"/>
  <c r="B5784" i="24" s="1"/>
  <c r="D5784" i="24" s="1"/>
  <c r="H181" i="8"/>
  <c r="B5908" i="24" s="1"/>
  <c r="D5908" i="24" s="1"/>
  <c r="K181" i="8"/>
  <c r="B6016" i="24" s="1"/>
  <c r="D6016" i="24" s="1"/>
  <c r="D188" i="8"/>
  <c r="F188" i="8"/>
  <c r="G188" i="8"/>
  <c r="G198" i="8"/>
  <c r="B6409" i="24" s="1"/>
  <c r="D6409" i="24" s="1"/>
  <c r="B5260" i="24"/>
  <c r="D5260" i="24" s="1"/>
  <c r="D204" i="8"/>
  <c r="B5444" i="24" s="1"/>
  <c r="D5444" i="24" s="1"/>
  <c r="F204" i="8"/>
  <c r="B5677" i="24" s="1"/>
  <c r="D5677" i="24" s="1"/>
  <c r="G204" i="8"/>
  <c r="B5803" i="24" s="1"/>
  <c r="D5803" i="24" s="1"/>
  <c r="B4411" i="24"/>
  <c r="D4411" i="24" s="1"/>
  <c r="D209" i="8"/>
  <c r="B4412" i="24" s="1"/>
  <c r="D4412" i="24" s="1"/>
  <c r="F209" i="8"/>
  <c r="B4413" i="24" s="1"/>
  <c r="D4413" i="24" s="1"/>
  <c r="G209" i="8"/>
  <c r="B4414" i="24" s="1"/>
  <c r="D4414" i="24" s="1"/>
  <c r="B5286" i="24"/>
  <c r="D5286" i="24" s="1"/>
  <c r="D217" i="8"/>
  <c r="B5470" i="24" s="1"/>
  <c r="D5470" i="24" s="1"/>
  <c r="F217" i="8"/>
  <c r="B5703" i="24" s="1"/>
  <c r="D5703" i="24" s="1"/>
  <c r="G217" i="8"/>
  <c r="B5829" i="24" s="1"/>
  <c r="D5829" i="24" s="1"/>
  <c r="B5304" i="24"/>
  <c r="D5304" i="24" s="1"/>
  <c r="D221" i="8"/>
  <c r="B5488" i="24" s="1"/>
  <c r="D5488" i="24" s="1"/>
  <c r="G221" i="8"/>
  <c r="B5847" i="24" s="1"/>
  <c r="D5847" i="24" s="1"/>
  <c r="G252" i="8"/>
  <c r="B6837" i="24" s="1"/>
  <c r="D6837" i="24" s="1"/>
  <c r="B6833" i="24"/>
  <c r="D6833" i="24" s="1"/>
  <c r="D252" i="8"/>
  <c r="B6834" i="24" s="1"/>
  <c r="D6834" i="24" s="1"/>
  <c r="E252" i="8"/>
  <c r="F252" i="8"/>
  <c r="B6836" i="24" s="1"/>
  <c r="D6836" i="24" s="1"/>
  <c r="H252" i="8"/>
  <c r="H266" i="8" s="1"/>
  <c r="B4441" i="24" s="1"/>
  <c r="D4441" i="24" s="1"/>
  <c r="J252" i="8"/>
  <c r="J266" i="8" s="1"/>
  <c r="B7041" i="24" s="1"/>
  <c r="D7041" i="24" s="1"/>
  <c r="K252" i="8"/>
  <c r="K266" i="8" s="1"/>
  <c r="B4442" i="24" s="1"/>
  <c r="D4442" i="24" s="1"/>
  <c r="G14" i="7"/>
  <c r="B2609" i="24" s="1"/>
  <c r="D2609" i="24" s="1"/>
  <c r="C14" i="7"/>
  <c r="B2558" i="24" s="1"/>
  <c r="D2558" i="24" s="1"/>
  <c r="D14" i="7"/>
  <c r="B2570" i="24" s="1"/>
  <c r="D2570" i="24" s="1"/>
  <c r="F14" i="7"/>
  <c r="B2597" i="24" s="1"/>
  <c r="D2597" i="24" s="1"/>
  <c r="B2633" i="24"/>
  <c r="D2633" i="24" s="1"/>
  <c r="N22" i="6"/>
  <c r="B283" i="24" s="1"/>
  <c r="D283" i="24" s="1"/>
  <c r="D7" i="5"/>
  <c r="D8" i="5"/>
  <c r="D9" i="5"/>
  <c r="H14" i="5"/>
  <c r="H19" i="5"/>
  <c r="H24" i="5"/>
  <c r="H28" i="5"/>
  <c r="H29" i="5"/>
  <c r="D11" i="4"/>
  <c r="D22" i="4"/>
  <c r="J22" i="4"/>
  <c r="L22" i="4"/>
  <c r="D24" i="4"/>
  <c r="B4270" i="24" s="1"/>
  <c r="D4270" i="24" s="1"/>
  <c r="L5" i="13"/>
  <c r="B2056" i="24" s="1"/>
  <c r="D2056" i="24" s="1"/>
  <c r="B5752" i="24"/>
  <c r="D5752" i="24" s="1"/>
  <c r="D37" i="16" l="1"/>
  <c r="F37" i="16"/>
  <c r="C342" i="9"/>
  <c r="B7216" i="24" s="1"/>
  <c r="D7216" i="24" s="1"/>
  <c r="H33" i="5"/>
  <c r="F50" i="14"/>
  <c r="F34" i="14"/>
  <c r="F77" i="7"/>
  <c r="B3255" i="24" s="1"/>
  <c r="D3255" i="24" s="1"/>
  <c r="F42" i="14"/>
  <c r="D17" i="10"/>
  <c r="B4104" i="24" s="1"/>
  <c r="D4104" i="24" s="1"/>
  <c r="B7235" i="24"/>
  <c r="D7235" i="24" s="1"/>
  <c r="C129" i="9"/>
  <c r="C352" i="9"/>
  <c r="B3621" i="24" s="1"/>
  <c r="D3621" i="24" s="1"/>
  <c r="D9" i="10"/>
  <c r="B1767" i="24" s="1"/>
  <c r="D1767" i="24" s="1"/>
  <c r="K28" i="5"/>
  <c r="O27" i="5" s="1"/>
  <c r="O29" i="5" s="1"/>
  <c r="L342" i="9"/>
  <c r="F49" i="14"/>
  <c r="K184" i="9"/>
  <c r="F13" i="7" s="1"/>
  <c r="B2596" i="24" s="1"/>
  <c r="D2596" i="24" s="1"/>
  <c r="G210" i="9"/>
  <c r="G15" i="18"/>
  <c r="K41" i="6"/>
  <c r="I129" i="9"/>
  <c r="B7037" i="24" s="1"/>
  <c r="D7037" i="24" s="1"/>
  <c r="D6103" i="24"/>
  <c r="B3647" i="24"/>
  <c r="D3647" i="24" s="1"/>
  <c r="L13" i="13"/>
  <c r="B2060" i="24" s="1"/>
  <c r="D2060" i="24" s="1"/>
  <c r="B1308" i="24"/>
  <c r="D1308" i="24" s="1"/>
  <c r="E174" i="9"/>
  <c r="B1309" i="24" s="1"/>
  <c r="D1309" i="24" s="1"/>
  <c r="I210" i="9"/>
  <c r="B7071" i="24" s="1"/>
  <c r="D7071" i="24" s="1"/>
  <c r="B3254" i="24"/>
  <c r="D3254" i="24" s="1"/>
  <c r="I24" i="12"/>
  <c r="B3649" i="24"/>
  <c r="D3649" i="24" s="1"/>
  <c r="G367" i="9"/>
  <c r="D5" i="7"/>
  <c r="B3406" i="24" s="1"/>
  <c r="D3406" i="24" s="1"/>
  <c r="L312" i="9"/>
  <c r="I342" i="9"/>
  <c r="B7222" i="24" s="1"/>
  <c r="D7222" i="24" s="1"/>
  <c r="K350" i="9"/>
  <c r="F21" i="11"/>
  <c r="K24" i="12"/>
  <c r="F41" i="14"/>
  <c r="F35" i="14"/>
  <c r="D3583" i="24"/>
  <c r="B3635" i="24"/>
  <c r="F66" i="14"/>
  <c r="F45" i="14"/>
  <c r="K285" i="9"/>
  <c r="B1410" i="24"/>
  <c r="D1410" i="24" s="1"/>
  <c r="B1329" i="24"/>
  <c r="D1329" i="24" s="1"/>
  <c r="F61" i="14"/>
  <c r="D12" i="10"/>
  <c r="B1769" i="24" s="1"/>
  <c r="D1769" i="24" s="1"/>
  <c r="B1746" i="24"/>
  <c r="D1746" i="24" s="1"/>
  <c r="F127" i="14"/>
  <c r="D13" i="10"/>
  <c r="B3726" i="24" s="1"/>
  <c r="D3726" i="24" s="1"/>
  <c r="I170" i="8"/>
  <c r="B4216" i="24" s="1"/>
  <c r="D4216" i="24" s="1"/>
  <c r="B5096" i="24"/>
  <c r="D5096" i="24" s="1"/>
  <c r="D4" i="10"/>
  <c r="B1760" i="24" s="1"/>
  <c r="D1760" i="24" s="1"/>
  <c r="F106" i="14"/>
  <c r="G5" i="7"/>
  <c r="B3409" i="24" s="1"/>
  <c r="D3409" i="24" s="1"/>
  <c r="F124" i="14"/>
  <c r="C109" i="8"/>
  <c r="B5121" i="24" s="1"/>
  <c r="D5121" i="24" s="1"/>
  <c r="G169" i="8"/>
  <c r="G170" i="8" s="1"/>
  <c r="D109" i="8"/>
  <c r="I267" i="8"/>
  <c r="B4396" i="24"/>
  <c r="D4396" i="24" s="1"/>
  <c r="G109" i="8"/>
  <c r="B5066" i="24"/>
  <c r="D5066" i="24" s="1"/>
  <c r="F111" i="14"/>
  <c r="C169" i="8"/>
  <c r="F123" i="14"/>
  <c r="D5" i="10"/>
  <c r="B1761" i="24" s="1"/>
  <c r="D1761" i="24" s="1"/>
  <c r="K170" i="8"/>
  <c r="K6" i="7" s="1"/>
  <c r="B3570" i="24" s="1"/>
  <c r="D3570" i="24" s="1"/>
  <c r="J267" i="8"/>
  <c r="B7054" i="24" s="1"/>
  <c r="D7054" i="24" s="1"/>
  <c r="D15" i="10"/>
  <c r="B1772" i="24" s="1"/>
  <c r="D1772" i="24" s="1"/>
  <c r="K267" i="8"/>
  <c r="B6022" i="24" s="1"/>
  <c r="D6022" i="24" s="1"/>
  <c r="F126" i="14"/>
  <c r="H170" i="8"/>
  <c r="D11" i="10"/>
  <c r="B1768" i="24" s="1"/>
  <c r="D1768" i="24" s="1"/>
  <c r="H109" i="8"/>
  <c r="E109" i="8"/>
  <c r="E4" i="7" s="1"/>
  <c r="B2630" i="24" s="1"/>
  <c r="D2630" i="24" s="1"/>
  <c r="D7" i="10"/>
  <c r="B1763" i="24" s="1"/>
  <c r="D1763" i="24" s="1"/>
  <c r="F132" i="14"/>
  <c r="F169" i="8"/>
  <c r="B5644" i="24" s="1"/>
  <c r="D5644" i="24" s="1"/>
  <c r="C41" i="6"/>
  <c r="B93" i="24" s="1"/>
  <c r="D93" i="24" s="1"/>
  <c r="H295" i="9"/>
  <c r="B1454" i="24" s="1"/>
  <c r="D1454" i="24" s="1"/>
  <c r="B4156" i="24"/>
  <c r="D4156" i="24" s="1"/>
  <c r="H172" i="9"/>
  <c r="H174" i="9" s="1"/>
  <c r="B1318" i="24" s="1"/>
  <c r="D1318" i="24" s="1"/>
  <c r="B2823" i="24"/>
  <c r="D2823" i="24" s="1"/>
  <c r="J90" i="3"/>
  <c r="H352" i="9"/>
  <c r="B3656" i="24" s="1"/>
  <c r="D3656" i="24" s="1"/>
  <c r="B3724" i="24"/>
  <c r="D3724"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0" i="8"/>
  <c r="F95" i="14"/>
  <c r="F125" i="14"/>
  <c r="D14" i="10"/>
  <c r="B1770" i="24" s="1"/>
  <c r="D1770" i="24" s="1"/>
  <c r="N23" i="6"/>
  <c r="B284" i="24" s="1"/>
  <c r="D284" i="24" s="1"/>
  <c r="F5" i="7"/>
  <c r="B3408" i="24" s="1"/>
  <c r="D3408" i="24" s="1"/>
  <c r="C5" i="7"/>
  <c r="B3405" i="24" s="1"/>
  <c r="D3405" i="24" s="1"/>
  <c r="B6840" i="24"/>
  <c r="D6840" i="24" s="1"/>
  <c r="B6839" i="24"/>
  <c r="D6839" i="24" s="1"/>
  <c r="B6838" i="24"/>
  <c r="D6838" i="24" s="1"/>
  <c r="D169" i="8"/>
  <c r="B5412" i="24" s="1"/>
  <c r="D5412" i="24" s="1"/>
  <c r="B5618" i="24"/>
  <c r="D5618" i="24" s="1"/>
  <c r="K109" i="8"/>
  <c r="F16" i="13"/>
  <c r="B2031" i="24" s="1"/>
  <c r="D2031" i="24"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6216" i="24"/>
  <c r="D6216" i="24" s="1"/>
  <c r="D51" i="23"/>
  <c r="B3703" i="24"/>
  <c r="D3703" i="24" s="1"/>
  <c r="K362" i="9"/>
  <c r="B3676" i="24" s="1"/>
  <c r="D3676" i="24" s="1"/>
  <c r="B3650" i="24"/>
  <c r="D3650" i="24" s="1"/>
  <c r="D352" i="9"/>
  <c r="D367" i="9" s="1"/>
  <c r="I76" i="7"/>
  <c r="L41" i="6"/>
  <c r="I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B1266" i="24" s="1"/>
  <c r="D1266" i="24" s="1"/>
  <c r="B1239" i="24"/>
  <c r="D1239" i="24" s="1"/>
  <c r="E129" i="9"/>
  <c r="B1146" i="24"/>
  <c r="D1146" i="24" s="1"/>
  <c r="K110" i="9"/>
  <c r="B122" i="24"/>
  <c r="D122" i="24" s="1"/>
  <c r="D41" i="6"/>
  <c r="E17" i="18"/>
  <c r="G17" i="18" s="1"/>
  <c r="B1134" i="24"/>
  <c r="D1134" i="24" s="1"/>
  <c r="B7759" i="24"/>
  <c r="D7759" i="24" s="1"/>
  <c r="B1339" i="24"/>
  <c r="D1339" i="24" s="1"/>
  <c r="C210" i="9"/>
  <c r="B1340" i="24" s="1"/>
  <c r="D1340" i="24" s="1"/>
  <c r="B1225" i="24"/>
  <c r="D1225" i="24" s="1"/>
  <c r="C151" i="9"/>
  <c r="B1226" i="24" s="1"/>
  <c r="D1226" i="24" s="1"/>
  <c r="B169" i="24"/>
  <c r="D169" i="24" s="1"/>
  <c r="F41" i="6"/>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B4435" i="24"/>
  <c r="D4435" i="24" s="1"/>
  <c r="I7" i="7"/>
  <c r="B4444" i="24" s="1"/>
  <c r="D4444" i="24" s="1"/>
  <c r="F266" i="8"/>
  <c r="B5713" i="24" s="1"/>
  <c r="D5713" i="24" s="1"/>
  <c r="B4397" i="24"/>
  <c r="D4397" i="24" s="1"/>
  <c r="B4950" i="24"/>
  <c r="D4950" i="24" s="1"/>
  <c r="H267" i="8"/>
  <c r="H7" i="7" s="1"/>
  <c r="B2657" i="24" s="1"/>
  <c r="D2657" i="24" s="1"/>
  <c r="L210" i="9"/>
  <c r="L102" i="9"/>
  <c r="B1121" i="24"/>
  <c r="D1121" i="24" s="1"/>
  <c r="K53" i="9"/>
  <c r="E12" i="18"/>
  <c r="B731" i="24"/>
  <c r="D731" i="24" s="1"/>
  <c r="C74" i="9"/>
  <c r="B755" i="24" s="1"/>
  <c r="D755" i="24" s="1"/>
  <c r="B1116" i="24"/>
  <c r="D1116" i="24" s="1"/>
  <c r="K47" i="9"/>
  <c r="F157" i="14"/>
  <c r="F41" i="16"/>
  <c r="G43" i="16" s="1"/>
  <c r="D41" i="16"/>
  <c r="E43" i="16" s="1"/>
  <c r="B7600" i="24"/>
  <c r="L6" i="13"/>
  <c r="B7605" i="24" s="1"/>
  <c r="A7250" i="24"/>
  <c r="A7251" i="24" s="1"/>
  <c r="A7252" i="24" s="1"/>
  <c r="A7253" i="24" s="1"/>
  <c r="A7254" i="24" s="1"/>
  <c r="A7255" i="24" s="1"/>
  <c r="A7256" i="24" s="1"/>
  <c r="A7257" i="24" s="1"/>
  <c r="D7249" i="24"/>
  <c r="D44" i="23"/>
  <c r="E266" i="8"/>
  <c r="B6835" i="24"/>
  <c r="D6835" i="24" s="1"/>
  <c r="G266" i="8"/>
  <c r="B4398" i="24"/>
  <c r="D4398" i="24" s="1"/>
  <c r="B5537" i="24"/>
  <c r="D5537" i="24" s="1"/>
  <c r="E170"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21" i="24"/>
  <c r="D7221" i="24" s="1"/>
  <c r="B7201" i="24"/>
  <c r="D7201" i="24" s="1"/>
  <c r="E342" i="9"/>
  <c r="B7218" i="24" s="1"/>
  <c r="D7218" i="24" s="1"/>
  <c r="B6917" i="24"/>
  <c r="D6917" i="24" s="1"/>
  <c r="J74" i="9"/>
  <c r="D266" i="8"/>
  <c r="B5501" i="24" s="1"/>
  <c r="D5501" i="24" s="1"/>
  <c r="D7256" i="24"/>
  <c r="D7255" i="24"/>
  <c r="D7254" i="24"/>
  <c r="D7248" i="24"/>
  <c r="D7247" i="24"/>
  <c r="D7246" i="24"/>
  <c r="J312" i="9"/>
  <c r="B7117" i="24" s="1"/>
  <c r="D7117" i="24" s="1"/>
  <c r="I312" i="9"/>
  <c r="B7116" i="24" s="1"/>
  <c r="D7116" i="24" s="1"/>
  <c r="J151" i="9"/>
  <c r="B7052" i="24" s="1"/>
  <c r="D7052" i="24" s="1"/>
  <c r="I151" i="9"/>
  <c r="F59" i="14" s="1"/>
  <c r="B6916" i="24"/>
  <c r="D6916" i="24" s="1"/>
  <c r="I74" i="9"/>
  <c r="I49" i="11"/>
  <c r="B3633" i="24"/>
  <c r="D3633" i="24" s="1"/>
  <c r="E352" i="9"/>
  <c r="E367" i="9" s="1"/>
  <c r="B3629" i="24"/>
  <c r="D3629" i="24"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17" i="24"/>
  <c r="D1317" i="24" s="1"/>
  <c r="B1127" i="24"/>
  <c r="D1127" i="24" s="1"/>
  <c r="K65" i="9"/>
  <c r="B1133" i="24" s="1"/>
  <c r="D1133" i="24" s="1"/>
  <c r="B1123" i="24"/>
  <c r="D1123" i="24" s="1"/>
  <c r="K57" i="9"/>
  <c r="B3640" i="24"/>
  <c r="D3640" i="24" s="1"/>
  <c r="F352" i="9"/>
  <c r="F367" i="9" s="1"/>
  <c r="K77" i="7"/>
  <c r="B3587" i="24" s="1"/>
  <c r="D3587" i="24" s="1"/>
  <c r="B3296" i="24"/>
  <c r="D3296" i="24" s="1"/>
  <c r="H77" i="7"/>
  <c r="B3299" i="24" s="1"/>
  <c r="D3299" i="24"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1328" i="24"/>
  <c r="D13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H41" i="6"/>
  <c r="B188" i="24"/>
  <c r="D188" i="24" s="1"/>
  <c r="G41" i="6"/>
  <c r="B139" i="24"/>
  <c r="D139" i="24" s="1"/>
  <c r="E41" i="6"/>
  <c r="J19" i="18"/>
  <c r="D82" i="23" s="1"/>
  <c r="L151" i="9"/>
  <c r="C266" i="8"/>
  <c r="J24" i="12"/>
  <c r="B7730" i="24"/>
  <c r="D7730" i="24" s="1"/>
  <c r="B7270" i="24"/>
  <c r="L16" i="13" l="1"/>
  <c r="B2061" i="24" s="1"/>
  <c r="D2061" i="24" s="1"/>
  <c r="C114" i="9"/>
  <c r="B757" i="24" s="1"/>
  <c r="D757" i="24" s="1"/>
  <c r="B1381" i="24"/>
  <c r="D1381" i="24" s="1"/>
  <c r="K342" i="9"/>
  <c r="F13" i="14" s="1"/>
  <c r="B5527" i="24"/>
  <c r="D5527" i="24" s="1"/>
  <c r="F174" i="14"/>
  <c r="B5778" i="24"/>
  <c r="D5778" i="24" s="1"/>
  <c r="G6" i="7"/>
  <c r="B2604" i="24" s="1"/>
  <c r="D2604" i="24" s="1"/>
  <c r="J16" i="7"/>
  <c r="B6226" i="24" s="1"/>
  <c r="D6226" i="24" s="1"/>
  <c r="B3568" i="24"/>
  <c r="D3568" i="24" s="1"/>
  <c r="D52" i="23"/>
  <c r="B7215" i="24"/>
  <c r="D7215" i="24" s="1"/>
  <c r="B1365" i="24"/>
  <c r="D1365" i="24" s="1"/>
  <c r="F65" i="14"/>
  <c r="H151" i="9"/>
  <c r="B1273" i="24" s="1"/>
  <c r="D1273" i="24" s="1"/>
  <c r="K365" i="9"/>
  <c r="B5770" i="24"/>
  <c r="D5770" i="24" s="1"/>
  <c r="C367" i="9"/>
  <c r="B3622" i="24" s="1"/>
  <c r="D3622" i="24" s="1"/>
  <c r="L114" i="9"/>
  <c r="B1996" i="24"/>
  <c r="D1996" i="24" s="1"/>
  <c r="I26" i="12"/>
  <c r="B7741" i="24" s="1"/>
  <c r="D7741" i="24" s="1"/>
  <c r="B7733" i="24"/>
  <c r="D7733" i="24" s="1"/>
  <c r="K26" i="12"/>
  <c r="B7743" i="24" s="1"/>
  <c r="D7743" i="24" s="1"/>
  <c r="B1879" i="24"/>
  <c r="D1879" i="24" s="1"/>
  <c r="H22" i="4"/>
  <c r="B3628" i="24"/>
  <c r="D3628" i="24" s="1"/>
  <c r="F73" i="14"/>
  <c r="G15" i="7"/>
  <c r="B6032" i="24" s="1"/>
  <c r="D6032" i="24" s="1"/>
  <c r="B3670" i="24"/>
  <c r="D3670" i="24" s="1"/>
  <c r="K352" i="9"/>
  <c r="K367" i="9" s="1"/>
  <c r="H367" i="9"/>
  <c r="B3660" i="24" s="1"/>
  <c r="D3660" i="24" s="1"/>
  <c r="B5914" i="24"/>
  <c r="D5914" i="24" s="1"/>
  <c r="I6" i="7"/>
  <c r="B5011" i="24" s="1"/>
  <c r="D5011" i="24" s="1"/>
  <c r="K7" i="7"/>
  <c r="B3718" i="24" s="1"/>
  <c r="D3718" i="24" s="1"/>
  <c r="C4" i="7"/>
  <c r="B2551" i="24" s="1"/>
  <c r="D2551" i="24" s="1"/>
  <c r="F170" i="8"/>
  <c r="F267" i="8"/>
  <c r="F7" i="7" s="1"/>
  <c r="B2594" i="24" s="1"/>
  <c r="D2594" i="24" s="1"/>
  <c r="D267" i="8"/>
  <c r="D7" i="7" s="1"/>
  <c r="D19" i="10"/>
  <c r="B1775" i="24" s="1"/>
  <c r="D1775" i="24" s="1"/>
  <c r="H268" i="8"/>
  <c r="B6024" i="24"/>
  <c r="D6024" i="24" s="1"/>
  <c r="G4" i="7"/>
  <c r="B2603" i="24" s="1"/>
  <c r="D2603" i="24" s="1"/>
  <c r="J7" i="7"/>
  <c r="B6222" i="24" s="1"/>
  <c r="D6222" i="24" s="1"/>
  <c r="B6014" i="24"/>
  <c r="D6014" i="24" s="1"/>
  <c r="B6025" i="24"/>
  <c r="D6025" i="24" s="1"/>
  <c r="H4" i="7"/>
  <c r="B5356" i="24"/>
  <c r="D5356" i="24" s="1"/>
  <c r="D4" i="7"/>
  <c r="B2564" i="24" s="1"/>
  <c r="D2564" i="24" s="1"/>
  <c r="B5906" i="24"/>
  <c r="D5906" i="24" s="1"/>
  <c r="H6" i="7"/>
  <c r="B2656" i="24" s="1"/>
  <c r="D2656" i="24" s="1"/>
  <c r="B5214" i="24"/>
  <c r="D5214" i="24" s="1"/>
  <c r="C170" i="8"/>
  <c r="B7760" i="24"/>
  <c r="D7760" i="24" s="1"/>
  <c r="D24" i="23"/>
  <c r="K102" i="9"/>
  <c r="F53" i="14" s="1"/>
  <c r="B171" i="24"/>
  <c r="D171" i="24" s="1"/>
  <c r="D47" i="23"/>
  <c r="B1515" i="24"/>
  <c r="D1515" i="24" s="1"/>
  <c r="G16" i="7"/>
  <c r="B2611" i="24" s="1"/>
  <c r="D2611" i="24" s="1"/>
  <c r="B2913" i="24"/>
  <c r="D2913" i="24" s="1"/>
  <c r="D50" i="23"/>
  <c r="B3318" i="24"/>
  <c r="D3318" i="24" s="1"/>
  <c r="I77" i="7"/>
  <c r="B3319" i="24" s="1"/>
  <c r="D3319" i="24" s="1"/>
  <c r="B3674" i="24"/>
  <c r="D3674" i="24" s="1"/>
  <c r="B3573" i="24"/>
  <c r="D3573" i="24" s="1"/>
  <c r="K4" i="7"/>
  <c r="B6028" i="24"/>
  <c r="D6028" i="24" s="1"/>
  <c r="D170" i="8"/>
  <c r="F4" i="7"/>
  <c r="B2591" i="24" s="1"/>
  <c r="D2591" i="24" s="1"/>
  <c r="B5588" i="24"/>
  <c r="D5588" i="24" s="1"/>
  <c r="B124" i="24"/>
  <c r="D124" i="24" s="1"/>
  <c r="D45" i="23"/>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68" i="8"/>
  <c r="K268" i="8"/>
  <c r="B6023" i="24" s="1"/>
  <c r="D6023" i="24" s="1"/>
  <c r="B5320" i="24"/>
  <c r="D5320" i="24" s="1"/>
  <c r="C267"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7051" i="24"/>
  <c r="D7051" i="24" s="1"/>
  <c r="B6026" i="24"/>
  <c r="D6026" i="24" s="1"/>
  <c r="I4" i="7"/>
  <c r="I268" i="8"/>
  <c r="B5946" i="24" s="1"/>
  <c r="D5946" i="24" s="1"/>
  <c r="G267" i="8"/>
  <c r="B5863" i="24"/>
  <c r="D5863" i="24" s="1"/>
  <c r="B7747" i="24"/>
  <c r="D7747" i="24" s="1"/>
  <c r="E267" i="8"/>
  <c r="A7258" i="24"/>
  <c r="D7257" i="24"/>
  <c r="E23" i="16"/>
  <c r="B1122" i="24"/>
  <c r="D1122" i="24" s="1"/>
  <c r="G23" i="16"/>
  <c r="B7732" i="24"/>
  <c r="D7732" i="24" s="1"/>
  <c r="J26" i="12"/>
  <c r="B7742" i="24" s="1"/>
  <c r="D7742" i="24" s="1"/>
  <c r="B141" i="24"/>
  <c r="D141" i="24" s="1"/>
  <c r="D46" i="23"/>
  <c r="B190" i="24"/>
  <c r="D190" i="24" s="1"/>
  <c r="D48" i="23"/>
  <c r="B213" i="24"/>
  <c r="D213" i="24" s="1"/>
  <c r="D49" i="23"/>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16" i="7"/>
  <c r="B7243" i="24"/>
  <c r="D7243" i="24" s="1"/>
  <c r="K279" i="9"/>
  <c r="B1481" i="24"/>
  <c r="D1481" i="24" s="1"/>
  <c r="B2102" i="24"/>
  <c r="D2102" i="24" s="1"/>
  <c r="H15" i="7"/>
  <c r="B2660" i="24" s="1"/>
  <c r="D2660" i="24" s="1"/>
  <c r="B3636" i="24"/>
  <c r="D3636" i="24" s="1"/>
  <c r="D3635" i="24"/>
  <c r="B4171" i="24"/>
  <c r="D4171" i="24" s="1"/>
  <c r="N36" i="6"/>
  <c r="J114" i="9"/>
  <c r="B7021" i="24" s="1"/>
  <c r="D7021" i="24" s="1"/>
  <c r="B6978" i="24"/>
  <c r="D6978" i="24" s="1"/>
  <c r="B7224" i="24"/>
  <c r="D7224" i="24" s="1"/>
  <c r="B7244" i="24"/>
  <c r="D7244" i="24" s="1"/>
  <c r="B7234" i="24"/>
  <c r="D7234" i="24" s="1"/>
  <c r="B1108" i="24"/>
  <c r="D1108" i="24" s="1"/>
  <c r="E19" i="16"/>
  <c r="C12" i="7"/>
  <c r="G19" i="16"/>
  <c r="B5544" i="24"/>
  <c r="D5544" i="24" s="1"/>
  <c r="E6" i="7"/>
  <c r="G22" i="16"/>
  <c r="B1119" i="24"/>
  <c r="D1119" i="24" s="1"/>
  <c r="E22" i="16"/>
  <c r="G12" i="18"/>
  <c r="G19" i="18" s="1"/>
  <c r="J20" i="18" s="1"/>
  <c r="E19" i="18"/>
  <c r="B5915" i="24"/>
  <c r="D5915" i="24" s="1"/>
  <c r="B7298" i="24"/>
  <c r="B7299" i="24"/>
  <c r="B1145" i="24" l="1"/>
  <c r="D1145" i="24" s="1"/>
  <c r="D268" i="8"/>
  <c r="B5508" i="24" s="1"/>
  <c r="D5508" i="24" s="1"/>
  <c r="E41" i="16"/>
  <c r="E44" i="16" s="1"/>
  <c r="E45" i="16" s="1"/>
  <c r="J17" i="7"/>
  <c r="J19" i="7" s="1"/>
  <c r="B6229" i="24" s="1"/>
  <c r="D6229" i="24" s="1"/>
  <c r="G41" i="16"/>
  <c r="G44" i="16" s="1"/>
  <c r="G45" i="16" s="1"/>
  <c r="K13" i="7"/>
  <c r="B3572" i="24" s="1"/>
  <c r="D3572" i="24" s="1"/>
  <c r="B3672" i="24"/>
  <c r="D3672" i="24" s="1"/>
  <c r="F268" i="8"/>
  <c r="B5720" i="24" s="1"/>
  <c r="D5720" i="24" s="1"/>
  <c r="B5507" i="24"/>
  <c r="D5507" i="24" s="1"/>
  <c r="B5719" i="24"/>
  <c r="D5719" i="24" s="1"/>
  <c r="F6" i="7"/>
  <c r="B2593" i="24" s="1"/>
  <c r="D2593" i="24" s="1"/>
  <c r="B5653" i="24"/>
  <c r="D5653" i="24" s="1"/>
  <c r="B2655" i="24"/>
  <c r="D2655" i="24" s="1"/>
  <c r="H8" i="7"/>
  <c r="B5223" i="24"/>
  <c r="D5223" i="24" s="1"/>
  <c r="C6" i="7"/>
  <c r="B2553" i="24" s="1"/>
  <c r="D2553" i="24" s="1"/>
  <c r="J8" i="7"/>
  <c r="J20" i="7"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68" i="8"/>
  <c r="K151" i="9"/>
  <c r="B1281" i="24"/>
  <c r="D1281" i="24" s="1"/>
  <c r="D13" i="7"/>
  <c r="B2634" i="24"/>
  <c r="D2634" i="24" s="1"/>
  <c r="E17" i="7"/>
  <c r="B1332" i="24"/>
  <c r="D1332" i="24" s="1"/>
  <c r="B1259" i="24"/>
  <c r="D1259" i="24" s="1"/>
  <c r="B989" i="24"/>
  <c r="D989" i="24" s="1"/>
  <c r="F54" i="14"/>
  <c r="C268" i="8"/>
  <c r="B5326" i="24"/>
  <c r="D5326" i="24" s="1"/>
  <c r="C7" i="7"/>
  <c r="H37" i="4"/>
  <c r="B285" i="24"/>
  <c r="D285" i="24" s="1"/>
  <c r="N37" i="6"/>
  <c r="B3678" i="24"/>
  <c r="D3678" i="24" s="1"/>
  <c r="K368" i="9"/>
  <c r="B3681" i="24" s="1"/>
  <c r="D3681" i="24" s="1"/>
  <c r="B1510" i="24"/>
  <c r="D1510" i="24" s="1"/>
  <c r="K295" i="9"/>
  <c r="F12" i="14" s="1"/>
  <c r="G13" i="7"/>
  <c r="K17" i="7"/>
  <c r="B3574" i="24"/>
  <c r="D3574" i="24" s="1"/>
  <c r="B1282" i="24"/>
  <c r="D1282" i="24" s="1"/>
  <c r="D15" i="7"/>
  <c r="B2571" i="24" s="1"/>
  <c r="D2571" i="24" s="1"/>
  <c r="B6227" i="24"/>
  <c r="D6227" i="24" s="1"/>
  <c r="B5869" i="24"/>
  <c r="D5869" i="24" s="1"/>
  <c r="G268"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B6223" i="24" l="1"/>
  <c r="D6223" i="24" s="1"/>
  <c r="J10" i="7"/>
  <c r="B6225" i="24" s="1"/>
  <c r="D6225" i="24" s="1"/>
  <c r="F8" i="7"/>
  <c r="B2595" i="24" s="1"/>
  <c r="D2595" i="24" s="1"/>
  <c r="F76" i="14"/>
  <c r="D8" i="7"/>
  <c r="C8" i="22" s="1"/>
  <c r="D10" i="27"/>
  <c r="D19" i="27" s="1"/>
  <c r="D32" i="27" s="1"/>
  <c r="D49" i="27" s="1"/>
  <c r="B2658" i="24"/>
  <c r="D2658" i="24" s="1"/>
  <c r="H10" i="7"/>
  <c r="B4127" i="24" s="1"/>
  <c r="D4127"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F10" i="7" l="1"/>
  <c r="B4125" i="24" s="1"/>
  <c r="D4125" i="24" s="1"/>
  <c r="D8" i="22"/>
  <c r="D10" i="7"/>
  <c r="B4123" i="24" s="1"/>
  <c r="D4123" i="24" s="1"/>
  <c r="B2568" i="24"/>
  <c r="D2568" i="24" s="1"/>
  <c r="H13" i="5"/>
  <c r="D20" i="7"/>
  <c r="B2574" i="24" s="1"/>
  <c r="D2574" i="24" s="1"/>
  <c r="F14" i="14"/>
  <c r="F77" i="14" s="1"/>
  <c r="F175"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D55" i="23"/>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B6263" i="24"/>
  <c r="D6263" i="24" s="1"/>
  <c r="D78" i="7"/>
  <c r="B3588" i="24" l="1"/>
  <c r="D3588" i="24" s="1"/>
  <c r="K81" i="7"/>
  <c r="F78" i="7"/>
  <c r="B2601" i="24"/>
  <c r="D2601" i="24" s="1"/>
  <c r="B3320" i="24"/>
  <c r="D3320" i="24" s="1"/>
  <c r="I81" i="7"/>
  <c r="K17" i="5"/>
  <c r="B3300" i="24"/>
  <c r="D3300" i="24" s="1"/>
  <c r="H81" i="7"/>
  <c r="B7631" i="24"/>
  <c r="F176" i="14"/>
  <c r="F177" i="14" s="1"/>
  <c r="F179" i="14" s="1"/>
  <c r="A7262" i="24"/>
  <c r="D7261" i="24"/>
  <c r="H16" i="4"/>
  <c r="G78" i="7"/>
  <c r="B2613" i="24"/>
  <c r="D2613" i="24" s="1"/>
  <c r="B2562" i="24"/>
  <c r="D2562" i="24" s="1"/>
  <c r="C78" i="7"/>
  <c r="B10" i="22"/>
  <c r="F9" i="22"/>
  <c r="F10" i="22" s="1"/>
  <c r="E78" i="7"/>
  <c r="B2636" i="24"/>
  <c r="D2636" i="24" s="1"/>
  <c r="D64" i="23"/>
  <c r="J82" i="7"/>
  <c r="B6266" i="24"/>
  <c r="D6266" i="24" s="1"/>
  <c r="D81" i="7"/>
  <c r="B3239" i="24"/>
  <c r="D3239" i="24" s="1"/>
  <c r="B3278" i="24" l="1"/>
  <c r="D3278" i="24" s="1"/>
  <c r="E81" i="7"/>
  <c r="B3233" i="24"/>
  <c r="D3233" i="24" s="1"/>
  <c r="C81" i="7"/>
  <c r="A7263" i="24"/>
  <c r="D7262" i="24"/>
  <c r="B1700" i="24"/>
  <c r="D1700" i="24" s="1"/>
  <c r="H82" i="7"/>
  <c r="D62" i="23"/>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J16" i="4" l="1"/>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35" i="5" l="1"/>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D29" i="23" l="1"/>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<sst xmlns="http://schemas.openxmlformats.org/spreadsheetml/2006/main" count="5311" uniqueCount="2157">
  <si>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</si>
  <si>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</si>
  <si>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</si>
  <si>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</si>
  <si>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</si>
  <si>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</si>
  <si>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</si>
  <si>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</si>
  <si>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</si>
  <si>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</si>
  <si>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</si>
  <si>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</si>
  <si>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</si>
  <si>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</si>
  <si>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</si>
  <si>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</si>
  <si>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</si>
  <si>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</si>
  <si>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</si>
  <si>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</si>
  <si>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</si>
  <si>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</si>
  <si>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</si>
  <si>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</si>
  <si>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</si>
  <si>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</si>
  <si>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</si>
  <si>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</si>
  <si>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</si>
  <si>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</si>
  <si>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</si>
  <si>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</si>
  <si>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</si>
  <si>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</si>
  <si>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</si>
  <si>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</si>
  <si>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</si>
  <si>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</si>
  <si>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</si>
  <si>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</si>
  <si>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</si>
  <si>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</si>
  <si>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</si>
  <si>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</si>
  <si>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</si>
  <si>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</si>
  <si>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</si>
  <si>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</si>
  <si>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</si>
  <si>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</si>
  <si>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</si>
  <si>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</si>
  <si>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</si>
  <si>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</si>
  <si>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</si>
  <si>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</si>
  <si>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</si>
  <si>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</si>
  <si>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</si>
  <si>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</si>
  <si>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</si>
  <si>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</si>
  <si>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</si>
  <si>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</si>
  <si>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</si>
  <si>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</si>
  <si>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</si>
  <si>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</si>
  <si>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</si>
  <si>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</si>
  <si>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</si>
  <si>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</si>
  <si>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</si>
  <si>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</si>
  <si>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</si>
  <si>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</si>
  <si>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</si>
  <si>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</si>
  <si>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</si>
  <si>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</si>
  <si>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</si>
  <si>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</si>
  <si>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</si>
  <si>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</si>
  <si>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</si>
  <si>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</si>
  <si>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</si>
  <si>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</si>
  <si>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</si>
  <si>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</si>
  <si>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</si>
  <si>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</si>
  <si>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</si>
  <si>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</si>
  <si>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</si>
  <si>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</si>
  <si>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</si>
  <si>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</si>
  <si>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</si>
  <si>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</si>
  <si>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</si>
  <si>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</si>
  <si>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</si>
  <si>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</si>
  <si>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</si>
  <si>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</si>
  <si>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</si>
  <si>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</si>
  <si>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</si>
  <si>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</si>
  <si>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</si>
  <si>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</si>
  <si>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</si>
  <si>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</si>
  <si>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</si>
  <si>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</si>
  <si>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</si>
  <si>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</si>
  <si>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</si>
  <si>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</si>
  <si>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</si>
  <si>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</si>
  <si>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</si>
  <si>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</si>
  <si>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</si>
  <si>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</si>
  <si>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</si>
  <si>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</si>
  <si>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</si>
  <si>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</si>
  <si>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</si>
  <si>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</si>
  <si>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</si>
  <si>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</si>
  <si>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</si>
  <si>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</si>
  <si>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</si>
  <si>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</si>
  <si>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</si>
  <si>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</si>
  <si>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</si>
  <si>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</si>
  <si>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</si>
  <si>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</si>
  <si>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</si>
  <si>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</si>
  <si>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</si>
  <si>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</si>
  <si>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</si>
  <si>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</si>
  <si>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</si>
  <si>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</si>
  <si>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</si>
  <si>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</si>
  <si>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</si>
  <si>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</si>
  <si>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</si>
  <si>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</si>
  <si>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</si>
  <si>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</si>
  <si>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</si>
  <si>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</si>
  <si>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</si>
  <si>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</si>
  <si>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</si>
  <si>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</si>
  <si>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</si>
  <si>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</si>
  <si>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</si>
  <si>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</si>
  <si>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</si>
  <si>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</si>
  <si>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</si>
  <si>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</si>
  <si>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</si>
  <si>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</si>
  <si>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</si>
  <si>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</si>
  <si>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</si>
  <si>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</si>
  <si>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</si>
  <si>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</si>
  <si>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</si>
  <si>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</si>
  <si>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</si>
  <si>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</si>
  <si>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</si>
  <si>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</si>
  <si>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</si>
  <si>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</si>
  <si>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</si>
  <si>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</si>
  <si>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</si>
  <si>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</si>
  <si>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</si>
  <si>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</si>
  <si>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</si>
  <si>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</si>
  <si>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</si>
  <si>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</si>
  <si>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</si>
  <si>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</si>
  <si>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</si>
  <si>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</si>
  <si>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</si>
  <si>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</si>
  <si>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</si>
  <si>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</si>
  <si>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</si>
  <si>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</si>
  <si>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</si>
  <si>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</si>
  <si>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</si>
  <si>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</si>
  <si>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</si>
  <si>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</si>
  <si>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</si>
  <si>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</si>
  <si>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</si>
  <si>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</si>
  <si>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</si>
  <si>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</si>
  <si>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</si>
  <si>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</si>
  <si>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</si>
  <si>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</si>
  <si>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</si>
  <si>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</si>
  <si>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</si>
  <si>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</si>
  <si>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</si>
  <si>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</si>
  <si>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</si>
  <si>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</si>
  <si>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</si>
  <si>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</si>
  <si>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</si>
  <si>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</si>
  <si>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</si>
  <si>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</si>
  <si>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</si>
  <si>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</si>
  <si>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</si>
  <si>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</si>
  <si>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</si>
  <si>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</si>
  <si>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</si>
  <si>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</si>
  <si>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</si>
  <si>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</si>
  <si>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</si>
  <si>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</si>
  <si>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</si>
  <si>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</si>
  <si>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</si>
  <si>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</si>
  <si>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</si>
  <si>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</si>
  <si>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</si>
  <si>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</si>
  <si>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</si>
  <si>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</si>
  <si>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</si>
  <si>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</si>
  <si>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</si>
  <si>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</si>
  <si>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</si>
  <si>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</si>
  <si>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</si>
  <si>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</si>
  <si>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</si>
  <si>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</si>
  <si>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</si>
  <si>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</si>
  <si>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</si>
  <si>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</si>
  <si>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</si>
  <si>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</si>
  <si>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</si>
  <si>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</si>
  <si>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</si>
  <si>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</si>
  <si>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</si>
  <si>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</si>
  <si>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</si>
  <si>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</si>
  <si>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</si>
  <si>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</si>
  <si>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</si>
  <si>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</si>
  <si>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</si>
  <si>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</si>
  <si>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</si>
  <si>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</si>
  <si>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</si>
  <si>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</si>
  <si>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</si>
  <si>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</si>
  <si>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</si>
  <si>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</si>
  <si>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</si>
  <si>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</si>
  <si>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</si>
  <si>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</si>
  <si>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</si>
  <si>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</si>
  <si>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</si>
  <si>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</si>
  <si>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</si>
  <si>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</si>
  <si>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</si>
  <si>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</si>
  <si>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</si>
  <si>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</si>
  <si>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</si>
  <si>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</si>
  <si>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</si>
  <si>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</si>
  <si>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</si>
  <si>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</si>
  <si>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</si>
  <si>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</si>
  <si>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</si>
  <si>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</si>
  <si>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</si>
  <si>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</si>
  <si>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</si>
  <si>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</si>
  <si>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</si>
  <si>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</si>
  <si>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</si>
  <si>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</si>
  <si>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</si>
  <si>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</si>
  <si>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</si>
  <si>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</si>
  <si>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</si>
  <si>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</si>
  <si>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</si>
  <si>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</si>
  <si>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</si>
  <si>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</si>
  <si>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</si>
  <si>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</si>
  <si>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</si>
  <si>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</si>
  <si>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</si>
  <si>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</si>
  <si>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</si>
  <si>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</si>
  <si>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</si>
  <si>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</si>
  <si>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</si>
  <si>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</si>
  <si>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</si>
  <si>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</si>
  <si>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</si>
  <si>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</si>
  <si>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</si>
  <si>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</si>
  <si>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</si>
  <si>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</si>
  <si>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</si>
  <si>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</si>
  <si>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</si>
  <si>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</si>
  <si>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</si>
  <si>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</si>
  <si>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</si>
  <si>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</si>
  <si>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</si>
  <si>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</si>
  <si>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</si>
  <si>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</si>
  <si>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</si>
  <si>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</si>
  <si>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</si>
  <si>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</si>
  <si>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</si>
  <si>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</si>
  <si>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</si>
  <si>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</si>
  <si>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</si>
  <si>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</si>
  <si>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</si>
  <si>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</si>
  <si>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</si>
  <si>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</si>
  <si>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</si>
  <si>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</si>
  <si>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</si>
  <si>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</si>
  <si>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</si>
  <si>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</si>
  <si>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</si>
  <si>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</si>
  <si>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</si>
  <si>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</si>
  <si>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</si>
  <si>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</si>
  <si>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</si>
  <si>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</si>
  <si>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</si>
  <si>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</si>
  <si>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</si>
  <si>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</si>
  <si>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</si>
  <si>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</si>
  <si>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</si>
  <si>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</si>
  <si>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</si>
  <si>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</si>
  <si>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</si>
  <si>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</si>
  <si>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</si>
  <si>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</si>
  <si>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</si>
  <si>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</si>
  <si>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</si>
  <si>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</si>
  <si>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</si>
  <si>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</si>
  <si>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</si>
  <si>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</si>
  <si>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</si>
  <si>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</si>
  <si>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</si>
  <si>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</si>
  <si>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</si>
  <si>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</si>
  <si>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</si>
  <si>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</si>
  <si>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</si>
  <si>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</si>
  <si>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</si>
  <si>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</si>
  <si>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</si>
  <si>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</si>
  <si>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</si>
  <si>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</si>
  <si>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</si>
  <si>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</si>
  <si>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</si>
  <si>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</si>
  <si>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</si>
  <si>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</si>
  <si>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</si>
  <si>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</si>
  <si>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</si>
  <si>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</si>
  <si>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</si>
  <si>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</si>
  <si>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</si>
  <si>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</si>
  <si>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</si>
  <si>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</si>
  <si>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</si>
  <si>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</si>
  <si>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</si>
  <si>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</si>
  <si>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</si>
  <si>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</si>
  <si>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</si>
  <si>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</si>
  <si>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</si>
  <si>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</si>
  <si>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</si>
  <si>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</si>
  <si>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</si>
  <si>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</si>
  <si>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</si>
  <si>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</si>
  <si>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</si>
  <si>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</si>
  <si>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</si>
  <si>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</si>
  <si>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</si>
  <si>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</si>
  <si>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</si>
  <si>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</si>
  <si>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</si>
  <si>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</si>
  <si>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</si>
  <si>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</si>
  <si>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</si>
  <si>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</si>
  <si>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</si>
  <si>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</si>
  <si>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</si>
  <si>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</si>
  <si>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</si>
  <si>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</si>
  <si>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</si>
  <si>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</si>
  <si>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</si>
  <si>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</si>
  <si>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</si>
  <si>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</si>
  <si>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</si>
  <si>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</si>
  <si>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</si>
  <si>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</si>
  <si>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</si>
  <si>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</si>
  <si>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</si>
  <si>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</si>
  <si>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</si>
  <si>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</si>
  <si>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</si>
  <si>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</si>
  <si>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</si>
  <si>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</si>
  <si>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</si>
  <si>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</si>
  <si>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</si>
  <si>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</si>
  <si>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</si>
  <si>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</si>
  <si>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</si>
  <si>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</si>
  <si>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</si>
  <si>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</si>
  <si>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</si>
  <si>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</si>
  <si>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</si>
  <si>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</si>
  <si>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</si>
  <si>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</si>
  <si>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</si>
  <si>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</si>
  <si>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</si>
  <si>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</si>
  <si>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</si>
  <si>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</si>
  <si>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</si>
  <si>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</si>
  <si>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</si>
  <si>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</si>
  <si>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</si>
  <si>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</si>
  <si>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</si>
  <si>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</si>
  <si>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</si>
  <si>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</si>
  <si>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</si>
  <si>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</si>
  <si>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</si>
  <si>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</si>
  <si>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</si>
  <si>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</si>
  <si>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</si>
  <si>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</si>
  <si>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</si>
  <si>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</si>
  <si>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</si>
  <si>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</si>
  <si>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</si>
  <si>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</si>
  <si>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</si>
  <si>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</si>
  <si>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</si>
  <si>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</si>
  <si>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</si>
  <si>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</si>
  <si>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</si>
  <si>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</si>
  <si>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</si>
  <si>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</si>
  <si>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</si>
  <si>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</si>
  <si>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</si>
  <si>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</si>
  <si>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</si>
  <si>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</si>
  <si>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</si>
  <si>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</si>
  <si>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</si>
  <si>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</si>
  <si>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</si>
  <si>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</si>
  <si>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</si>
  <si>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</si>
  <si>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</si>
  <si>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</si>
  <si>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</si>
  <si>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</si>
  <si>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</si>
  <si>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</si>
  <si>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</si>
  <si>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</si>
  <si>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</si>
  <si>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</si>
  <si>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</si>
  <si>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</si>
  <si>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</si>
  <si>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</si>
  <si>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</si>
  <si>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</si>
  <si>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</si>
  <si>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</si>
  <si>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</si>
  <si>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</si>
  <si>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</si>
  <si>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</si>
  <si>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</si>
  <si>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</si>
  <si>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</si>
  <si>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</si>
  <si>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</si>
  <si>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</si>
  <si>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</si>
  <si>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</si>
  <si>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</si>
  <si>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</si>
  <si>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</si>
  <si>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</si>
  <si>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</si>
  <si>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</si>
  <si>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</si>
  <si>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</si>
  <si>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</si>
  <si>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</si>
  <si>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</si>
  <si>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</si>
  <si>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</si>
  <si>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</si>
  <si>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</si>
  <si>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</si>
  <si>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</si>
  <si>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</si>
  <si>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</si>
  <si>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</si>
  <si>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</si>
  <si>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</si>
  <si>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</si>
  <si>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</si>
  <si>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</si>
  <si>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</si>
  <si>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</si>
  <si>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</si>
  <si>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</si>
  <si>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</si>
  <si>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</si>
  <si>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</si>
  <si>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</si>
  <si>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</si>
  <si>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</si>
  <si>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</si>
  <si>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</si>
  <si>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</si>
  <si>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</si>
  <si>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</si>
  <si>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</si>
  <si>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</si>
  <si>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</si>
  <si>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</si>
  <si>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</si>
  <si>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</si>
  <si>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</si>
  <si>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</si>
  <si>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</si>
  <si>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</si>
  <si>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</si>
  <si>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</si>
  <si>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</si>
  <si>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</si>
  <si>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</si>
  <si>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</si>
  <si>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</si>
  <si>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</si>
  <si>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</si>
  <si>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</si>
  <si>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</si>
  <si>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</si>
  <si>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</si>
  <si>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</si>
  <si>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</si>
  <si>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</si>
  <si>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</si>
  <si>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</si>
  <si>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</si>
  <si>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</si>
  <si>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</si>
  <si>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</si>
  <si>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</si>
  <si>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</si>
  <si>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</si>
  <si>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</si>
  <si>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</si>
  <si>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</si>
  <si>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</si>
  <si>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</si>
  <si>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</si>
  <si>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</si>
  <si>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</si>
  <si>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</si>
  <si>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</si>
  <si>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</si>
  <si>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</si>
  <si>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</si>
  <si>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</si>
  <si>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</si>
  <si>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</si>
  <si>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</si>
  <si>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</si>
  <si>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</si>
  <si>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</si>
  <si>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</si>
  <si>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</si>
  <si>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</si>
  <si>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</si>
  <si>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</si>
  <si>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</si>
  <si>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</si>
  <si>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</si>
  <si>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</si>
  <si>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</si>
  <si>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</si>
  <si>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</si>
  <si>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</si>
  <si>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</si>
  <si>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</si>
  <si>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</si>
  <si>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</si>
  <si>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</si>
  <si>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</si>
  <si>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</si>
  <si>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</si>
  <si>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</si>
  <si>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</si>
  <si>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</si>
  <si>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</si>
  <si>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</si>
  <si>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</si>
  <si>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</si>
  <si>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</si>
  <si>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</si>
  <si>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</si>
  <si>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</si>
  <si>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</si>
  <si>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</si>
  <si>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</si>
  <si>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</si>
  <si>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</si>
  <si>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</si>
  <si>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</si>
  <si>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</si>
  <si>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</si>
  <si>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</si>
  <si>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</si>
  <si>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</si>
  <si>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</si>
  <si>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</si>
  <si>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</si>
  <si>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</si>
  <si>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</si>
  <si>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</si>
  <si>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</si>
  <si>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</si>
  <si>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</si>
  <si>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</si>
  <si>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</si>
  <si>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</si>
  <si>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</si>
  <si>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</si>
  <si>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</si>
  <si>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</si>
  <si>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</si>
  <si>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</si>
  <si>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</si>
  <si>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</si>
  <si>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</si>
  <si>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</si>
  <si>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</si>
  <si>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</si>
  <si>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</si>
  <si>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</si>
  <si>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</si>
  <si>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</si>
  <si>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</si>
  <si>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</si>
  <si>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</si>
  <si>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</si>
  <si>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</si>
  <si>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</si>
  <si>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</si>
  <si>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</si>
  <si>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</si>
  <si>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</si>
  <si>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</si>
  <si>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</si>
  <si>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</si>
  <si>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</si>
  <si>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</si>
  <si>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</si>
  <si>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</si>
  <si>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</si>
  <si>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</si>
  <si>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</si>
  <si>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</si>
  <si>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</si>
  <si>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</si>
  <si>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</si>
  <si>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</si>
  <si>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</si>
  <si>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</si>
  <si>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</si>
  <si>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</si>
  <si>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</si>
  <si>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</si>
  <si>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</si>
  <si>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</si>
  <si>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</si>
  <si>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</si>
  <si>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</si>
  <si>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</si>
  <si>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</si>
  <si>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</si>
  <si>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</si>
  <si>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</si>
  <si>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</si>
  <si>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</si>
  <si>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</si>
  <si>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</si>
  <si>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</si>
  <si>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</si>
  <si>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</si>
  <si>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</si>
  <si>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</si>
  <si>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</si>
  <si>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</si>
  <si>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</si>
  <si>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</si>
  <si>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</si>
  <si>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</si>
  <si>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</si>
  <si>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</si>
  <si>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</si>
  <si>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</si>
  <si>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</si>
  <si>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</si>
  <si>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</si>
  <si>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</si>
  <si>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</si>
  <si>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</si>
  <si>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</si>
  <si>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</si>
  <si>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</si>
  <si>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</si>
  <si>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</si>
  <si>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</si>
  <si>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</si>
  <si>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</si>
  <si>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</si>
  <si>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</si>
  <si>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</si>
  <si>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</si>
  <si>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</si>
  <si>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</si>
  <si>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</si>
  <si>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</si>
  <si>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</si>
  <si>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</si>
  <si>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</si>
  <si>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</si>
  <si>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</si>
  <si>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</si>
  <si>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</si>
  <si>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</si>
  <si>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</si>
  <si>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</si>
  <si>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</si>
  <si>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</si>
  <si>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</si>
  <si>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</si>
  <si>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</si>
  <si>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</si>
  <si>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</si>
  <si>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</si>
  <si>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</si>
  <si>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</si>
  <si>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</si>
  <si>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</si>
  <si>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</si>
  <si>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</si>
  <si>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</si>
  <si>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</si>
  <si>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</si>
  <si>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</si>
  <si>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</si>
  <si>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</si>
  <si>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</si>
  <si>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</si>
  <si>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</si>
  <si>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</si>
  <si>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</si>
  <si>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</si>
  <si>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</si>
  <si>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</si>
  <si>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</si>
  <si>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</si>
  <si>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</si>
  <si>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</si>
  <si>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</si>
  <si>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</si>
  <si>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</si>
  <si>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</si>
  <si>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</si>
  <si>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</si>
  <si>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</si>
  <si>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</si>
  <si>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</si>
  <si>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</si>
  <si>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</si>
  <si>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</si>
  <si>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</si>
  <si>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</si>
  <si>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</si>
  <si>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</si>
  <si>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</si>
  <si>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</si>
  <si>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</si>
  <si>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</si>
  <si>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</si>
  <si>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</si>
  <si>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</si>
  <si>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</si>
  <si>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</si>
  <si>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</si>
  <si>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</si>
  <si>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</si>
  <si>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</si>
  <si>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</si>
  <si>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</si>
  <si>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</si>
  <si>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</si>
  <si>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</si>
  <si>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</si>
  <si>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</si>
  <si>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</si>
  <si>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</si>
  <si>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</si>
  <si>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</si>
  <si>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</si>
  <si>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</si>
  <si>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</si>
  <si>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</si>
  <si>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</si>
  <si>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</si>
  <si>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</si>
  <si>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</si>
  <si>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</si>
  <si>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</si>
  <si>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</si>
  <si>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</si>
  <si>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</si>
  <si>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</si>
  <si>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</si>
  <si>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</si>
  <si>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</si>
  <si>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</si>
  <si>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</si>
  <si>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</si>
  <si>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</si>
  <si>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</si>
  <si>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</si>
  <si>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</si>
  <si>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</si>
  <si>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</si>
  <si>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</si>
  <si>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</si>
  <si>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</si>
  <si>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</si>
  <si>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</si>
  <si>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</si>
  <si>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</si>
  <si>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</si>
  <si>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</si>
  <si>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</si>
  <si>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</si>
  <si>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</si>
  <si>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</si>
  <si>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</si>
  <si>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</si>
  <si>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</si>
  <si>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</si>
  <si>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</si>
  <si>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</si>
  <si>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</si>
  <si>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</si>
  <si>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</si>
  <si>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</si>
  <si>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</si>
  <si>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</si>
  <si>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</si>
  <si>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</si>
  <si>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</si>
  <si>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</si>
  <si>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</si>
  <si>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</si>
  <si>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</si>
  <si>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</si>
  <si>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</si>
  <si>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</si>
  <si>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</si>
  <si>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</si>
  <si>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</si>
  <si>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</si>
  <si>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</si>
  <si>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</si>
  <si>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</si>
  <si>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</si>
  <si>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</si>
  <si>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</si>
  <si>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</si>
  <si>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</si>
  <si>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</si>
  <si>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</si>
  <si>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</si>
  <si>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</si>
  <si>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</si>
  <si>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</si>
  <si>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</si>
  <si>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</si>
  <si>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</si>
  <si>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</si>
  <si>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</si>
  <si>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</si>
  <si>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</si>
  <si>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</si>
  <si>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</si>
  <si>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</si>
  <si>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</si>
  <si>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</si>
  <si>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</si>
  <si>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</si>
  <si>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</si>
  <si>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</si>
  <si>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</si>
  <si>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</si>
  <si>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</si>
  <si>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</si>
  <si>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</si>
  <si>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</si>
  <si>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</si>
  <si>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</si>
  <si>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</si>
  <si>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</si>
  <si>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</si>
  <si>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</si>
  <si>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</si>
  <si>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</si>
  <si>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</si>
  <si>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</si>
  <si>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</si>
  <si>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</si>
  <si>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</si>
  <si>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</si>
  <si>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</si>
  <si>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</si>
  <si>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</si>
  <si>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</si>
  <si>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</si>
  <si>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</si>
  <si>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</si>
  <si>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</si>
  <si>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</si>
  <si>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</si>
  <si>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</si>
  <si>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</si>
  <si>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</si>
  <si>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</si>
  <si>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</si>
  <si>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</si>
  <si>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</si>
  <si>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</si>
  <si>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</si>
  <si>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</si>
  <si>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</si>
  <si>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</si>
  <si>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</si>
  <si>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</si>
  <si>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</si>
  <si>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</si>
  <si>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</si>
  <si>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</si>
  <si>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</si>
  <si>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</si>
  <si>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</si>
  <si>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</si>
  <si>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</si>
  <si>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</si>
  <si>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</si>
  <si>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</si>
  <si>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</si>
  <si>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</si>
  <si>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</si>
  <si>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</si>
  <si>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</si>
  <si>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</si>
  <si>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</si>
  <si>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</si>
  <si>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</si>
  <si>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</si>
  <si>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</si>
  <si>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</si>
  <si>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</si>
  <si>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</si>
  <si>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</si>
  <si>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</si>
  <si>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</si>
  <si>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</si>
  <si>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</si>
  <si>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</si>
  <si>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</si>
  <si>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</si>
  <si>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</si>
  <si>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</si>
  <si>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</si>
  <si>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</si>
  <si>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</si>
  <si>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</si>
  <si>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</si>
  <si>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</si>
  <si>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</si>
  <si>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</si>
  <si>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</si>
  <si>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</si>
  <si>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</si>
  <si>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</si>
  <si>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</si>
  <si>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</si>
  <si>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</si>
  <si>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</si>
  <si>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</si>
  <si>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</si>
  <si>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</si>
  <si>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</si>
  <si>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</si>
  <si>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</si>
  <si>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</si>
  <si>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</si>
  <si>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</si>
  <si>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</si>
  <si>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</si>
  <si>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</si>
  <si>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</si>
  <si>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</si>
  <si>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</si>
  <si>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</si>
  <si>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</si>
  <si>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</si>
  <si>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</si>
  <si>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</si>
  <si>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</si>
  <si>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</si>
  <si>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</si>
  <si>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</si>
  <si>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</si>
  <si>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</si>
  <si>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</si>
  <si>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</si>
  <si>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</si>
  <si>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</si>
  <si>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</si>
  <si>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</si>
  <si>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</si>
  <si>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</si>
  <si>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</si>
  <si>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</si>
  <si>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</si>
  <si>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</si>
  <si>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</si>
  <si>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</si>
  <si>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</si>
  <si>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</si>
  <si>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</si>
  <si>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</si>
  <si>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</si>
  <si>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</si>
  <si>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</si>
  <si>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</si>
  <si>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</si>
  <si>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</si>
  <si>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</si>
  <si>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</si>
  <si>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</si>
  <si>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</si>
  <si>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</si>
  <si>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</si>
  <si>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</si>
  <si>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</si>
  <si>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</si>
  <si>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</si>
  <si>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</si>
  <si>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</si>
  <si>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</si>
  <si>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</si>
  <si>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</si>
  <si>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</si>
  <si>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</si>
  <si>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</si>
  <si>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</si>
  <si>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</si>
  <si>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</si>
  <si>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</si>
  <si>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</si>
  <si>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</si>
  <si>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</si>
  <si>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</si>
  <si>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</si>
  <si>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</si>
  <si>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</si>
  <si>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</si>
  <si>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</si>
  <si>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</si>
  <si>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</si>
  <si>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</si>
  <si>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</si>
  <si>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</si>
  <si>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</si>
  <si>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</si>
  <si>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</si>
  <si>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</si>
  <si>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</si>
  <si>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</si>
  <si>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</si>
  <si>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</si>
  <si>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</si>
  <si>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</si>
  <si>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</si>
  <si>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</si>
  <si>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</si>
  <si>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</si>
  <si>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</si>
  <si>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</si>
  <si>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</si>
  <si>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</si>
  <si>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</si>
  <si>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</si>
  <si>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</si>
  <si>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</si>
  <si>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</si>
  <si>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</si>
  <si>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</si>
  <si>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</si>
  <si>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</si>
  <si>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</si>
  <si>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</si>
  <si>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</si>
  <si>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</si>
  <si>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</si>
  <si>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</si>
  <si>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</si>
  <si>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</si>
  <si>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</si>
  <si>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</si>
  <si>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</si>
  <si>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</si>
  <si>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</si>
  <si>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</si>
  <si>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</si>
  <si>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</si>
  <si>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</si>
  <si>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</si>
  <si>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</si>
  <si>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</si>
  <si>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</si>
  <si>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</si>
  <si>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</si>
  <si>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</si>
  <si>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</si>
  <si>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</si>
  <si>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</si>
  <si>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</si>
  <si>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</si>
  <si>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</si>
  <si>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</si>
  <si>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</si>
  <si>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</si>
  <si>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</si>
  <si>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</si>
  <si>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</si>
  <si>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</si>
  <si>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</si>
  <si>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</si>
  <si>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</si>
  <si>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</si>
  <si>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</si>
  <si>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</si>
  <si>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</si>
  <si>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</si>
  <si>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</si>
  <si>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</si>
  <si>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</si>
  <si>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</si>
  <si>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</si>
  <si>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</si>
  <si>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</si>
  <si>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</si>
  <si>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</si>
  <si>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</si>
  <si>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</si>
  <si>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</si>
  <si>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</si>
  <si>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</si>
  <si>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</si>
  <si>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</si>
  <si>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</si>
  <si>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</si>
  <si>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</si>
  <si>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</si>
  <si>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</si>
  <si>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</si>
  <si>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</si>
  <si>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</si>
  <si>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</si>
  <si>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</si>
  <si>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</si>
  <si>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</si>
  <si>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</si>
  <si>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</si>
  <si>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</si>
  <si>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</si>
  <si>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</si>
  <si>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</si>
  <si>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</si>
  <si>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</si>
  <si>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</si>
  <si>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</si>
  <si>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</si>
  <si>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</si>
  <si>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</si>
  <si>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</si>
  <si>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</si>
  <si>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</si>
  <si>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</si>
  <si>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</si>
  <si>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</si>
  <si>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</si>
  <si>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</si>
  <si>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</si>
  <si>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</si>
  <si>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</si>
  <si>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</si>
  <si>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</si>
  <si>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</si>
  <si>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</si>
  <si>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</si>
  <si>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</si>
  <si>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</si>
  <si>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</si>
  <si>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</si>
  <si>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</si>
  <si>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</si>
  <si>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</si>
  <si>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</si>
  <si>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</si>
  <si>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</si>
  <si>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</si>
  <si>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</si>
  <si>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</si>
  <si>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</si>
  <si>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</si>
  <si>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</si>
  <si>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</si>
  <si>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</si>
  <si>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</si>
  <si>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</si>
  <si>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</si>
  <si>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</si>
  <si>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</si>
  <si>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</si>
  <si>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</si>
  <si>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</si>
  <si>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</si>
  <si>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</si>
  <si>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</si>
  <si>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</si>
  <si>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</si>
  <si>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</si>
  <si>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</si>
  <si>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</si>
  <si>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</si>
  <si>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</si>
  <si>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</si>
  <si>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</si>
  <si>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</si>
  <si>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</si>
  <si>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</si>
  <si>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</si>
  <si>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</si>
  <si>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</si>
  <si>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</si>
  <si>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</si>
  <si>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</si>
  <si>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</si>
  <si>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</si>
  <si>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</si>
  <si>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</si>
  <si>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</si>
  <si>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</si>
  <si>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</si>
  <si>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</si>
  <si>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</si>
  <si>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</si>
  <si>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</si>
  <si>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</si>
  <si>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</si>
  <si>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</si>
  <si>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</si>
  <si>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</si>
  <si>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</si>
  <si>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</si>
  <si>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</si>
  <si>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</si>
  <si>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</si>
  <si>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</si>
  <si>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</si>
  <si>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</si>
  <si>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</si>
  <si>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</si>
  <si>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</si>
  <si>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</si>
  <si>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</si>
  <si>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</si>
  <si>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</si>
  <si>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</si>
  <si>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</si>
  <si>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</si>
  <si>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</si>
  <si>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</si>
  <si>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</si>
  <si>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</si>
  <si>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</si>
  <si>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</si>
  <si>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</si>
  <si>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</si>
  <si>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</si>
  <si>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</si>
  <si>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</si>
  <si>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</si>
  <si>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</si>
  <si>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</si>
  <si>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</si>
  <si>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</si>
  <si>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</si>
  <si>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</si>
  <si>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</si>
  <si>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</si>
  <si>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</si>
  <si>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</si>
  <si>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</si>
  <si>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</si>
  <si>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</si>
  <si>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</si>
  <si>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</si>
  <si>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</si>
  <si>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</si>
  <si>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</si>
  <si>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</si>
  <si>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</si>
  <si>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</si>
  <si>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</si>
  <si>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</si>
  <si>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</si>
  <si>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</si>
  <si>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</si>
  <si>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</si>
  <si>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</si>
  <si>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</si>
  <si>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</si>
  <si>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</si>
  <si>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</si>
  <si>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</si>
  <si>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</si>
  <si>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</si>
  <si>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</si>
  <si>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</si>
  <si>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</si>
  <si>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</si>
  <si>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</si>
  <si>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</si>
  <si>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</si>
  <si>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</si>
  <si>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</si>
  <si>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</si>
  <si>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</si>
  <si>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</si>
  <si>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</si>
  <si>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</si>
  <si>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</si>
  <si>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</si>
  <si>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</si>
  <si>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</si>
  <si>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</si>
  <si>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</si>
  <si>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</si>
  <si>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</si>
  <si>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</si>
  <si>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</si>
  <si>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</si>
  <si>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</si>
  <si>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</si>
  <si>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</si>
  <si>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</si>
  <si>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</si>
  <si>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</si>
  <si>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</si>
  <si>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</si>
  <si>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</si>
  <si>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</si>
  <si>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</si>
  <si>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</si>
  <si>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</si>
  <si>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</si>
  <si>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</si>
  <si>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</si>
  <si>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</si>
  <si>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</si>
  <si>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</si>
  <si>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</si>
  <si>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</si>
  <si>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</si>
  <si>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</si>
  <si>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</si>
  <si>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</si>
  <si>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</si>
  <si>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</si>
  <si>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</si>
  <si>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</si>
  <si>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</si>
  <si>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</si>
  <si>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</si>
  <si>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</si>
  <si>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</si>
  <si>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</si>
  <si>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</si>
  <si>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</si>
  <si>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</si>
  <si>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</si>
  <si>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</si>
  <si>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</si>
  <si>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</si>
  <si>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</si>
  <si>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</si>
  <si>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</si>
  <si>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</si>
  <si>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</si>
  <si>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</si>
  <si>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</si>
  <si>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</si>
  <si>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</si>
  <si>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</si>
  <si>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</si>
  <si>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</si>
  <si>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</si>
  <si>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</si>
  <si>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</si>
  <si>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</si>
  <si>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</si>
  <si>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</si>
  <si>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</si>
  <si>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</si>
  <si>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</si>
  <si>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</si>
  <si>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</si>
  <si>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</si>
  <si>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</si>
  <si>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</si>
  <si>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</si>
  <si>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</si>
  <si>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</si>
  <si>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</si>
  <si>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</si>
  <si>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</si>
  <si>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</si>
  <si>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</si>
  <si>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</si>
  <si>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</si>
  <si>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</si>
  <si>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</si>
  <si>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</si>
  <si>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</si>
  <si>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</si>
  <si>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</si>
  <si>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</si>
  <si>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</si>
  <si>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</si>
  <si>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</si>
  <si>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</si>
  <si>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</si>
  <si>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</si>
  <si>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</si>
  <si>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</si>
  <si>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</si>
  <si>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</si>
  <si>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</si>
  <si>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</si>
  <si>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</si>
  <si>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</si>
  <si>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</si>
  <si>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</si>
  <si>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</si>
  <si>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</si>
  <si>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</si>
  <si>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</si>
  <si>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</si>
  <si>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</si>
  <si>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</si>
  <si>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</si>
  <si>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</si>
  <si>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</si>
  <si>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</si>
  <si>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</si>
  <si>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</si>
  <si>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</si>
  <si>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</si>
  <si>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</si>
  <si>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</si>
  <si>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</si>
  <si>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</si>
  <si>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</si>
  <si>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</si>
  <si>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</si>
  <si>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</si>
  <si>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</si>
  <si>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</si>
  <si>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</si>
  <si>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</si>
  <si>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</si>
  <si>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</si>
  <si>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</si>
  <si>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</si>
  <si>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</si>
  <si>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</si>
  <si>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</si>
  <si>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</si>
  <si>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</si>
  <si>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</si>
  <si>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</si>
  <si>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</si>
  <si>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</si>
  <si>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</si>
  <si>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</si>
  <si>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</si>
  <si>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</si>
  <si>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</si>
  <si>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</si>
  <si>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</si>
  <si>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</si>
  <si>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</si>
  <si>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</si>
  <si>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</si>
  <si>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</si>
  <si>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</si>
  <si>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</si>
  <si>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</si>
  <si>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</si>
  <si>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</si>
  <si>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</si>
  <si>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</si>
  <si>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</si>
  <si>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</si>
  <si>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</si>
  <si>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</si>
  <si>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</si>
  <si>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</si>
  <si>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</si>
  <si>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</si>
  <si>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</si>
  <si>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</si>
  <si>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</si>
  <si>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</si>
  <si>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</si>
  <si>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</si>
  <si>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</si>
  <si>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</si>
  <si>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</si>
  <si>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</si>
  <si>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</si>
  <si>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</si>
  <si>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</si>
  <si>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</si>
  <si>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</si>
  <si>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</si>
  <si>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</si>
  <si>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</si>
  <si>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</si>
  <si>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</si>
  <si>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</si>
  <si>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</si>
  <si>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</si>
  <si>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</si>
  <si>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</si>
  <si>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</si>
  <si>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</si>
  <si>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</si>
  <si>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</si>
  <si>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</si>
  <si>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</si>
  <si>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</si>
  <si>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</si>
  <si>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</si>
  <si>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</si>
  <si>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</si>
  <si>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</si>
  <si>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</si>
  <si>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</si>
  <si>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</si>
  <si>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</si>
  <si>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</si>
  <si>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</si>
  <si>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</si>
  <si>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</si>
  <si>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</si>
  <si>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</si>
  <si>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</si>
  <si>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</si>
  <si>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</si>
  <si>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</si>
  <si>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</si>
  <si>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</si>
  <si>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</si>
  <si>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</si>
  <si>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</si>
  <si>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</si>
  <si>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</si>
  <si>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</si>
  <si>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</si>
  <si>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</si>
  <si>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</si>
  <si>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</si>
  <si>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</si>
  <si>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</si>
  <si>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</si>
  <si>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</si>
  <si>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</si>
  <si>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</si>
  <si>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</si>
  <si>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</si>
  <si>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</si>
  <si>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</si>
  <si>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</si>
  <si>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</si>
  <si>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</si>
  <si>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</si>
  <si>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</si>
  <si>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</si>
  <si>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</si>
  <si>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</si>
  <si>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</si>
  <si>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</si>
  <si>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</si>
  <si>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</si>
  <si>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</si>
  <si>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</si>
  <si>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</si>
  <si>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</si>
  <si>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</si>
  <si>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</si>
  <si>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</si>
  <si>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</si>
  <si>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</si>
  <si>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</si>
  <si>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</si>
  <si>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</si>
  <si>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</si>
  <si>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</si>
  <si>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</si>
  <si>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</si>
  <si>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</si>
  <si>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</si>
  <si>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</si>
  <si>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</si>
  <si>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</si>
  <si>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</si>
  <si>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</si>
  <si>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</si>
  <si>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</si>
  <si>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</si>
  <si>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</si>
  <si>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</si>
  <si>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</si>
  <si>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</si>
  <si>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</si>
  <si>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</si>
  <si>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</si>
  <si>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</si>
  <si>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</si>
  <si>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</si>
  <si>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</si>
  <si>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</si>
  <si>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</si>
  <si>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</si>
  <si>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</si>
  <si>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</si>
  <si>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</si>
  <si>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</si>
  <si>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</si>
  <si>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</si>
  <si>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</si>
  <si>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</si>
  <si>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</si>
  <si>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</si>
  <si>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</si>
  <si>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</si>
  <si>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</si>
  <si>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</si>
  <si>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</si>
  <si>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</si>
  <si>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</si>
  <si>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</si>
  <si>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</si>
  <si>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</si>
  <si>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</si>
  <si>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</si>
  <si>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</si>
  <si>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</si>
  <si>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</si>
  <si>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</si>
  <si>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</si>
  <si>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</si>
  <si>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</si>
  <si>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</si>
  <si>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</si>
  <si>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</si>
  <si>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</si>
  <si>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</si>
  <si>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</si>
  <si>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</si>
  <si>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</si>
  <si>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</si>
  <si>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</si>
  <si>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</si>
  <si>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</si>
  <si>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</si>
  <si>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</si>
  <si>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</si>
  <si>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</si>
  <si>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</si>
  <si>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</si>
  <si>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</si>
  <si>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</si>
  <si>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</si>
  <si>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</si>
  <si>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</si>
  <si>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</si>
  <si>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</si>
  <si>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</si>
  <si>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</si>
  <si>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</si>
  <si>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</si>
  <si>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</si>
  <si>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</si>
  <si>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</si>
  <si>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</si>
  <si>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</si>
  <si>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</si>
  <si>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</si>
  <si>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</si>
  <si>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</si>
  <si>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</si>
  <si>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</si>
  <si>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</si>
  <si>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</si>
  <si>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</si>
  <si>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</si>
  <si>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</si>
  <si>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</si>
  <si>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</si>
  <si>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</si>
  <si>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</si>
  <si>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</si>
  <si>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</si>
  <si>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</si>
  <si>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</si>
  <si>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</si>
  <si>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</si>
  <si>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</si>
  <si>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</si>
  <si>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</si>
  <si>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</si>
  <si>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</si>
  <si>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</si>
  <si>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</si>
  <si>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</si>
  <si>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</si>
  <si>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</si>
  <si>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</si>
  <si>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</si>
  <si>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</si>
  <si>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</si>
  <si>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</si>
  <si>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</si>
  <si>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</si>
  <si>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</si>
  <si>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</si>
  <si>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</si>
  <si>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</si>
  <si>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</si>
  <si>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</si>
  <si>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</si>
  <si>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</si>
  <si>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</si>
  <si>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</si>
  <si>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</si>
  <si>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</si>
  <si>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</si>
  <si>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</si>
  <si>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</si>
  <si>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</si>
  <si>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</si>
  <si>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</si>
  <si>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</si>
  <si>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</si>
  <si>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</si>
  <si>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</si>
  <si>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</si>
  <si>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</si>
  <si>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</si>
  <si>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</si>
  <si>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</si>
  <si>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</si>
  <si>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</si>
  <si>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</si>
  <si>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</si>
  <si>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</si>
  <si>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</si>
  <si>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</si>
  <si>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</si>
  <si>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</si>
  <si>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</si>
  <si>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</si>
  <si>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</si>
  <si>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</si>
  <si>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</si>
  <si>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</si>
  <si>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</si>
  <si>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</si>
  <si>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</si>
  <si>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</si>
  <si>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</si>
  <si>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</si>
  <si>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</si>
  <si>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</si>
  <si>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</si>
  <si>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</si>
  <si>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</si>
  <si>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</si>
  <si>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</si>
  <si>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</si>
  <si>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</si>
  <si>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</si>
  <si>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</si>
  <si>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</si>
  <si>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</si>
  <si>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</si>
  <si>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</si>
  <si>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</si>
  <si>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</si>
  <si>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</si>
  <si>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</si>
  <si>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</si>
  <si>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</si>
  <si>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</si>
  <si>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</si>
  <si>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</si>
  <si>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</si>
  <si>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</si>
  <si>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</si>
  <si>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</si>
  <si>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</si>
  <si>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</si>
  <si>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</si>
  <si>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</si>
  <si>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</si>
  <si>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</si>
  <si>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</si>
  <si>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</si>
  <si>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</si>
  <si>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</si>
  <si>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</si>
  <si>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</si>
  <si>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</si>
  <si>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</si>
  <si>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</si>
  <si>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</si>
  <si>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</si>
  <si>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</si>
  <si>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</si>
  <si>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</si>
  <si>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</si>
  <si>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</si>
  <si>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</si>
  <si>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</si>
  <si>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</si>
  <si>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</si>
  <si>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</si>
  <si>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</si>
  <si>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</si>
  <si>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</si>
  <si>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</si>
  <si>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</si>
  <si>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</si>
  <si>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</si>
  <si>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</si>
  <si>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</si>
  <si>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</si>
  <si>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</si>
  <si>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</si>
  <si>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</si>
  <si>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</si>
  <si>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</si>
  <si>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</si>
  <si>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</si>
  <si>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</si>
  <si>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</si>
  <si>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</si>
  <si>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</si>
  <si>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</si>
  <si>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</si>
  <si>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</si>
  <si>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</si>
  <si>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</si>
  <si>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</si>
  <si>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</si>
  <si>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</si>
  <si>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</si>
  <si>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</si>
  <si>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</si>
  <si>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</si>
  <si>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</si>
  <si>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</si>
  <si>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</si>
  <si>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</si>
  <si>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</si>
  <si>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</si>
  <si>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</si>
  <si>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</si>
  <si>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</si>
  <si>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</si>
  <si>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</si>
  <si>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</si>
  <si>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</si>
  <si>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</si>
  <si>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</si>
  <si>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</si>
  <si>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</si>
  <si>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</si>
  <si>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</si>
  <si>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</si>
  <si>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</si>
  <si>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</si>
  <si>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</si>
  <si>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</si>
  <si>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</si>
  <si>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</si>
  <si>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</si>
  <si>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</si>
  <si>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</si>
  <si>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</si>
  <si>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</si>
  <si>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</si>
  <si>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</si>
  <si>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</si>
  <si>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</si>
  <si>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</si>
  <si>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</si>
  <si>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</si>
  <si>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</si>
  <si>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</si>
  <si>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MADISON</t>
  </si>
  <si>
    <t>210 EAST ST. LOUIS AVENUE</t>
  </si>
  <si>
    <t>EAST ALTON</t>
  </si>
  <si>
    <t>The accompanying Schedule of Expenditures of Federal Awards includes the federal grant activity of East Alton Elementary School District No. 13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</si>
  <si>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East Alton Elementary School District No. 13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</si>
  <si>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East Alton Elementary School District No. 13 provided federal awards to subrecipients as follows:</t>
  </si>
  <si>
    <t>NONE</t>
  </si>
  <si>
    <t>GO SCHOOL BONDS, 2011 (QZAB)</t>
  </si>
  <si>
    <t>GO SCHOOL BONDS, SERIES 2017A</t>
  </si>
  <si>
    <t>GO SCHOOL BONDS, SERIES 2017B</t>
  </si>
  <si>
    <t>COPIER CAPITAL LEASE</t>
  </si>
  <si>
    <t>1,4</t>
  </si>
  <si>
    <t>1,2,3</t>
  </si>
  <si>
    <t>CAPITAL LEASE</t>
  </si>
  <si>
    <t>EWARNECKE@EASD13.ORG</t>
  </si>
  <si>
    <t>EAST ALTON-WOOD RIVER HIGH SCHOOL</t>
  </si>
  <si>
    <t>SPECIAL EDUCATION DISTRICT III MADISON COUNTY</t>
  </si>
  <si>
    <t>R9-14 ED FUND A/C 1690 OTHER FOOD SERVICE - OTHER $17</t>
  </si>
  <si>
    <t>R9-14 ED FUND A/C 1999 OTHER LOCAL REVENUES - OTHER $10,412</t>
  </si>
  <si>
    <t>R9-14 O&amp;M FUND A/C 1999 OTHER LOCAL REVENUES - OTHER $25</t>
  </si>
  <si>
    <t>R9-14 TRANS FUND A/C 1999 OTHER LOCAL REVENUES - OTHER $25,521</t>
  </si>
  <si>
    <t>R9-14 IMRF FUND A/C 1999 OTHER LOCAL REVENUES - OTHER $4907</t>
  </si>
  <si>
    <t>R9-14 ED FUND A/C 3999 OTHER REVENUE FROM STATE SOURCES - $34,190</t>
  </si>
  <si>
    <t>R9-14 ED FUND A/C 4999 OTHER RESTRICTED REVENUE FROM FED SOURCES - OTHER $1578</t>
  </si>
  <si>
    <t>E15-22 ED FUND A/C 2190 OTHER SUPPORT SERVICES - PUPILS - $7,708</t>
  </si>
  <si>
    <t>E15-22 ED FUND A/C 2900 OTHER SUPPORT SERVICES - $20,363</t>
  </si>
  <si>
    <t>E15-22 IMRF FUND A/C 2190 OTHER SUPPORT SERVICES-PUPILS - $6,364</t>
  </si>
  <si>
    <t>ADVERSE</t>
  </si>
  <si>
    <t>UNMODIFIED</t>
  </si>
  <si>
    <t>U.S. DEPARTMENT OF EDUCATION:</t>
  </si>
  <si>
    <t>PASS THROUGH ILLINOIS STATE BOARD OF EDUCATION:</t>
  </si>
  <si>
    <t>TITLE I - LOW INCOME</t>
  </si>
  <si>
    <t>84.010A</t>
  </si>
  <si>
    <t>2018-4300-00</t>
  </si>
  <si>
    <t>2019-4300-00</t>
  </si>
  <si>
    <t>TITLE II - TEACHER QUALITY</t>
  </si>
  <si>
    <t>84.367A</t>
  </si>
  <si>
    <t>2018-4932-00</t>
  </si>
  <si>
    <t>2019-4932-00</t>
  </si>
  <si>
    <t>TITLE I - SCHOOL IMPROVEMENT</t>
  </si>
  <si>
    <t>2019-4331-00</t>
  </si>
  <si>
    <t>TITLE IVA - STUDENT SUPPORT &amp; ACADEMIC ENRICH</t>
  </si>
  <si>
    <t>84.424A</t>
  </si>
  <si>
    <t>2019-4400-00</t>
  </si>
  <si>
    <t xml:space="preserve">     TOTAL ILLINOIS STATE BOARD OF EDUCATION</t>
  </si>
  <si>
    <t>PASS THROUGH REGION III SPECIAL EDUCATION COOPERATIVE:</t>
  </si>
  <si>
    <t>I.D.E.A.-SPEC ED PRESCHOOL</t>
  </si>
  <si>
    <t>I.D.E.A.-SPECIAL ED FLOW THROUGH</t>
  </si>
  <si>
    <t xml:space="preserve">     TOTAL REGION III SPECIAL EDUCATION COOPERATIVE</t>
  </si>
  <si>
    <t>84.173A</t>
  </si>
  <si>
    <t>2019-4600</t>
  </si>
  <si>
    <t>2019-4620</t>
  </si>
  <si>
    <t>U.S. DEPARTMENT OF EDUCATION</t>
  </si>
  <si>
    <t>U.S. DEPARTMENT OF AGRICULTURE:</t>
  </si>
  <si>
    <t>SCHOOL BREAKFAST PROGRAM      (M)</t>
  </si>
  <si>
    <t>2018-4210-00</t>
  </si>
  <si>
    <t>2019-4210-00</t>
  </si>
  <si>
    <t>2018-4220-00</t>
  </si>
  <si>
    <t>2019-4220-00</t>
  </si>
  <si>
    <t>FRESH FRUITS &amp; VEGETABLES           (M)</t>
  </si>
  <si>
    <t>NATIONAL LUNCH PROGRAM           (M)</t>
  </si>
  <si>
    <t>COMMODITIES (NON-CASH ASSISTANCE)   (M)</t>
  </si>
  <si>
    <t>2019-4240-00</t>
  </si>
  <si>
    <t>U.S. DEPARTMENT OF AGRICULTURE</t>
  </si>
  <si>
    <t>U.S. DEPARTMENT OF DEFENSE:</t>
  </si>
  <si>
    <t>COMMODOTIES (NON-CASH ASSISTANCE)   (M)</t>
  </si>
  <si>
    <t>U.S. DEPAREMENT OF HUMAN SERVICES:</t>
  </si>
  <si>
    <t>PASS THROUGH STATE OF ILLINOIS DEPARTMENT OF HEALTHCARE AND FAMILY SERVICES:</t>
  </si>
  <si>
    <t>MEDICAID MATCHING</t>
  </si>
  <si>
    <t>TOTAL FEDERAL PROGRAMS</t>
  </si>
  <si>
    <t>INFORMATIONAL ONLY:</t>
  </si>
  <si>
    <t>TOTAL CFDA 84.010A</t>
  </si>
  <si>
    <t>TOTAL CFDA 84.424A</t>
  </si>
  <si>
    <t>TOTAL CFDA 84.367A</t>
  </si>
  <si>
    <t>TOTAL CFDA 84.173A</t>
  </si>
  <si>
    <t>TOTAL CFDA 10.555</t>
  </si>
  <si>
    <t>TOTAL CFDA 10.553</t>
  </si>
  <si>
    <t>TOTAL CFDA 10.582</t>
  </si>
  <si>
    <t>TOTAL CFDA 93.778</t>
  </si>
  <si>
    <t>CLUSTER PROGRAMS:</t>
  </si>
  <si>
    <t>10.553, 10.555, 10.582</t>
  </si>
  <si>
    <t>TOTAL ALL CFDAS</t>
  </si>
  <si>
    <t>CHILD NUTRITION</t>
  </si>
  <si>
    <t>COMMODITIES</t>
  </si>
  <si>
    <t>East Alton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</si>
</sst>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1" fillId="0" borderId="0" xfId="18" applyFont="1"/>
    <xf numFmtId="0" fontId="102" fillId="0" borderId="0" xfId="18" applyFont="1" applyProtection="1"/>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4.bin"/><Relationship Id="rId5" Type="http://schemas.openxmlformats.org/officeDocument/2006/relationships/hyperlink" Target="https://sec1.isbe.net/attachmgr/default.aspx" TargetMode="External"/><Relationship Id="rId4"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6.bin"/><Relationship Id="rId4"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1.xml"/><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2.xml"/><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printerSettings" Target="../printerSettings/printerSettings8.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s://sec1.isbe.net/attachmgr/default.aspx" TargetMode="External"/><Relationship Id="rId5" Type="http://schemas.openxmlformats.org/officeDocument/2006/relationships/hyperlink" Target="http://www.isbe.net/rules/archive/pdfs/100ARK.pdf" TargetMode="External"/><Relationship Id="rId4" Type="http://schemas.openxmlformats.org/officeDocument/2006/relationships/hyperlink" Target="https://www.isbe.net/Pages/Single-Audi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83.bin"/><Relationship Id="rId7" Type="http://schemas.openxmlformats.org/officeDocument/2006/relationships/oleObject" Target="../embeddings/oleObject1.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vmlDrawing" Target="../drawings/vmlDrawing5.vml"/><Relationship Id="rId5" Type="http://schemas.openxmlformats.org/officeDocument/2006/relationships/drawing" Target="../drawings/drawing3.xml"/><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10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harvester.census.gov/facweb/Default.aspx"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4.xml"/><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5.xml"/><Relationship Id="rId4" Type="http://schemas.openxmlformats.org/officeDocument/2006/relationships/printerSettings" Target="../printerSettings/printerSettings13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drawing" Target="../drawings/drawing6.xml"/><Relationship Id="rId4" Type="http://schemas.openxmlformats.org/officeDocument/2006/relationships/printerSettings" Target="../printerSettings/printerSettings14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drawing" Target="../drawings/drawing7.xml"/><Relationship Id="rId4" Type="http://schemas.openxmlformats.org/officeDocument/2006/relationships/printerSettings" Target="../printerSettings/printerSettings14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0.bin"/><Relationship Id="rId5" Type="http://schemas.openxmlformats.org/officeDocument/2006/relationships/hyperlink" Target="https://www.isbe.net/Pages/School-District-Financial-Profile.aspx" TargetMode="External"/><Relationship Id="rId4"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zoomScalePageLayoutView="86"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79" t="s">
        <v>405</v>
      </c>
      <c r="J1" s="1980"/>
      <c r="K1" s="1980"/>
      <c r="L1" s="1980"/>
      <c r="M1" s="1980"/>
      <c r="N1" s="1980"/>
      <c r="O1" s="1980"/>
      <c r="P1" s="1980"/>
      <c r="Q1" s="1980"/>
      <c r="R1" s="1980"/>
      <c r="S1" s="1980"/>
    </row>
    <row r="2" spans="1:28" ht="12" customHeight="1" x14ac:dyDescent="0.2">
      <c r="A2" s="47" t="s">
        <v>1990</v>
      </c>
      <c r="D2" s="48"/>
      <c r="I2" s="1981" t="s">
        <v>979</v>
      </c>
      <c r="J2" s="1980"/>
      <c r="K2" s="1980"/>
      <c r="L2" s="1980"/>
      <c r="M2" s="1980"/>
      <c r="N2" s="1980"/>
      <c r="O2" s="1980"/>
      <c r="P2" s="1980"/>
      <c r="Q2" s="1980"/>
      <c r="R2" s="1980"/>
      <c r="S2" s="1980"/>
    </row>
    <row r="3" spans="1:28" ht="12" customHeight="1" x14ac:dyDescent="0.2">
      <c r="A3" s="155" t="s">
        <v>1942</v>
      </c>
      <c r="B3" s="156"/>
      <c r="C3" s="156"/>
      <c r="D3" s="157"/>
      <c r="I3" s="1981" t="s">
        <v>52</v>
      </c>
      <c r="J3" s="1980"/>
      <c r="K3" s="1980"/>
      <c r="L3" s="1980"/>
      <c r="M3" s="1980"/>
      <c r="N3" s="1980"/>
      <c r="O3" s="1980"/>
      <c r="P3" s="1980"/>
      <c r="Q3" s="1980"/>
      <c r="R3" s="1980"/>
      <c r="S3" s="1980"/>
    </row>
    <row r="4" spans="1:28" ht="12" customHeight="1" x14ac:dyDescent="0.2">
      <c r="A4" s="37"/>
      <c r="I4" s="1981" t="s">
        <v>524</v>
      </c>
      <c r="J4" s="1980"/>
      <c r="K4" s="1980"/>
      <c r="L4" s="1980"/>
      <c r="M4" s="1980"/>
      <c r="N4" s="1980"/>
      <c r="O4" s="1980"/>
      <c r="P4" s="1980"/>
      <c r="Q4" s="1980"/>
      <c r="R4" s="1980"/>
      <c r="S4" s="1980"/>
    </row>
    <row r="5" spans="1:28" ht="14.1" customHeight="1" x14ac:dyDescent="0.2">
      <c r="B5" s="104" t="s">
        <v>2061</v>
      </c>
      <c r="C5" s="26" t="s">
        <v>910</v>
      </c>
      <c r="D5" s="84"/>
      <c r="E5" s="84"/>
      <c r="H5" s="38"/>
      <c r="I5" s="1989" t="s">
        <v>680</v>
      </c>
      <c r="J5" s="1988"/>
      <c r="K5" s="1988"/>
      <c r="L5" s="1988"/>
      <c r="M5" s="1988"/>
      <c r="N5" s="1988"/>
      <c r="O5" s="1988"/>
      <c r="P5" s="1988"/>
      <c r="Q5" s="1988"/>
      <c r="R5" s="1988"/>
      <c r="S5" s="1988"/>
    </row>
    <row r="6" spans="1:28" ht="14.1" customHeight="1" x14ac:dyDescent="0.2">
      <c r="B6" s="104"/>
      <c r="C6" s="26" t="s">
        <v>911</v>
      </c>
      <c r="D6" s="84"/>
      <c r="E6" s="84"/>
      <c r="I6" s="1987" t="s">
        <v>883</v>
      </c>
      <c r="J6" s="1988"/>
      <c r="K6" s="1988"/>
      <c r="L6" s="1988"/>
      <c r="M6" s="1988"/>
      <c r="N6" s="1988"/>
      <c r="O6" s="1988"/>
      <c r="P6" s="1988"/>
      <c r="Q6" s="1988"/>
      <c r="R6" s="1988"/>
      <c r="S6" s="1988"/>
    </row>
    <row r="7" spans="1:28" ht="12.2" customHeight="1" x14ac:dyDescent="0.2">
      <c r="I7" s="1982">
        <v>43646</v>
      </c>
      <c r="J7" s="1983"/>
      <c r="K7" s="1983"/>
      <c r="L7" s="1983"/>
      <c r="M7" s="1983"/>
      <c r="N7" s="1983"/>
      <c r="O7" s="1983"/>
      <c r="P7" s="1983"/>
      <c r="Q7" s="1983"/>
      <c r="R7" s="1983"/>
      <c r="S7" s="198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4" t="s">
        <v>674</v>
      </c>
      <c r="J9" s="1985"/>
      <c r="K9" s="1985"/>
      <c r="L9" s="1985"/>
      <c r="M9" s="1985"/>
      <c r="N9" s="1985"/>
      <c r="O9" s="1985"/>
      <c r="P9" s="1985"/>
      <c r="Q9" s="1985"/>
      <c r="R9" s="1985"/>
      <c r="S9" s="1986"/>
      <c r="T9" s="2000" t="s">
        <v>533</v>
      </c>
      <c r="U9" s="2001"/>
      <c r="V9" s="2001"/>
      <c r="W9" s="2001"/>
      <c r="X9" s="2001"/>
      <c r="Y9" s="2001"/>
      <c r="Z9" s="2001"/>
      <c r="AA9" s="2002"/>
    </row>
    <row r="10" spans="1:28" ht="13.5" customHeight="1" x14ac:dyDescent="0.2">
      <c r="A10" s="2007" t="s">
        <v>675</v>
      </c>
      <c r="B10" s="2008"/>
      <c r="C10" s="2008"/>
      <c r="D10" s="2008"/>
      <c r="E10" s="2008"/>
      <c r="F10" s="2008"/>
      <c r="G10" s="2008"/>
      <c r="H10" s="2009"/>
      <c r="I10" s="29"/>
      <c r="J10" s="30"/>
      <c r="K10" s="28"/>
      <c r="R10" s="30"/>
      <c r="S10" s="30"/>
      <c r="T10" s="2003"/>
      <c r="U10" s="1988"/>
      <c r="V10" s="1988"/>
      <c r="W10" s="1988"/>
      <c r="X10" s="1988"/>
      <c r="Y10" s="1988"/>
      <c r="Z10" s="1988"/>
      <c r="AA10" s="1994"/>
    </row>
    <row r="11" spans="1:28" ht="14.25" customHeight="1" x14ac:dyDescent="0.2">
      <c r="A11" s="2010" t="s">
        <v>955</v>
      </c>
      <c r="B11" s="2011"/>
      <c r="C11" s="2011"/>
      <c r="D11" s="2011"/>
      <c r="E11" s="2011"/>
      <c r="F11" s="2011"/>
      <c r="G11" s="2011"/>
      <c r="H11" s="2012"/>
      <c r="I11" s="27"/>
      <c r="J11" s="74"/>
      <c r="K11" s="27"/>
      <c r="O11" s="148" t="s">
        <v>2061</v>
      </c>
      <c r="P11" s="100" t="s">
        <v>201</v>
      </c>
      <c r="Q11" s="30"/>
      <c r="R11" s="28"/>
      <c r="S11" s="27"/>
      <c r="T11" s="2004"/>
      <c r="U11" s="2005"/>
      <c r="V11" s="2005"/>
      <c r="W11" s="2005"/>
      <c r="X11" s="2005"/>
      <c r="Y11" s="2005"/>
      <c r="Z11" s="2005"/>
      <c r="AA11" s="200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4">
        <v>41057013002</v>
      </c>
      <c r="B13" s="2015"/>
      <c r="C13" s="2015"/>
      <c r="D13" s="2015"/>
      <c r="E13" s="2015"/>
      <c r="F13" s="2015"/>
      <c r="G13" s="2015"/>
      <c r="H13" s="2016"/>
      <c r="I13" s="31"/>
      <c r="J13" s="30"/>
      <c r="K13" s="28"/>
      <c r="L13" s="30"/>
      <c r="M13" s="30"/>
      <c r="N13" s="30"/>
      <c r="O13" s="30"/>
      <c r="P13" s="30"/>
      <c r="Q13" s="30"/>
      <c r="R13" s="30"/>
      <c r="S13" s="30"/>
      <c r="T13" s="2019" t="s">
        <v>2062</v>
      </c>
      <c r="U13" s="2020"/>
      <c r="V13" s="2020"/>
      <c r="W13" s="2020"/>
      <c r="X13" s="2020"/>
      <c r="Y13" s="2021"/>
      <c r="Z13" s="2021"/>
      <c r="AA13" s="202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3" t="s">
        <v>2072</v>
      </c>
      <c r="B15" s="2017"/>
      <c r="C15" s="2017"/>
      <c r="D15" s="2017"/>
      <c r="E15" s="2017"/>
      <c r="F15" s="2017"/>
      <c r="G15" s="2017"/>
      <c r="H15" s="2018"/>
      <c r="T15" s="2023" t="s">
        <v>2063</v>
      </c>
      <c r="U15" s="1967"/>
      <c r="V15" s="1967"/>
      <c r="W15" s="1967"/>
      <c r="X15" s="1967"/>
      <c r="Y15" s="2024"/>
      <c r="Z15" s="2024"/>
      <c r="AA15" s="202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3" t="s">
        <v>2156</v>
      </c>
      <c r="B17" s="1974"/>
      <c r="C17" s="1974"/>
      <c r="D17" s="1974"/>
      <c r="E17" s="1974"/>
      <c r="F17" s="1974"/>
      <c r="G17" s="1974"/>
      <c r="H17" s="1999"/>
      <c r="T17" s="2030" t="s">
        <v>2064</v>
      </c>
      <c r="U17" s="2031"/>
      <c r="V17" s="2031"/>
      <c r="W17" s="2031"/>
      <c r="X17" s="2031"/>
      <c r="Y17" s="2031"/>
      <c r="Z17" s="2031"/>
      <c r="AA17" s="2032"/>
    </row>
    <row r="18" spans="1:27" ht="13.5" customHeight="1" x14ac:dyDescent="0.2">
      <c r="A18" s="85" t="s">
        <v>530</v>
      </c>
      <c r="B18" s="76"/>
      <c r="C18" s="72"/>
      <c r="D18" s="76"/>
      <c r="E18" s="76"/>
      <c r="F18" s="76"/>
      <c r="G18" s="76"/>
      <c r="H18" s="56"/>
      <c r="I18" s="1998" t="s">
        <v>676</v>
      </c>
      <c r="J18" s="1949"/>
      <c r="K18" s="1949"/>
      <c r="L18" s="1949"/>
      <c r="M18" s="1949"/>
      <c r="N18" s="1949"/>
      <c r="O18" s="1949"/>
      <c r="P18" s="1949"/>
      <c r="Q18" s="1949"/>
      <c r="R18" s="1949"/>
      <c r="S18" s="1950"/>
      <c r="T18" s="85" t="s">
        <v>711</v>
      </c>
      <c r="U18" s="51"/>
      <c r="V18" s="72"/>
      <c r="W18" s="50"/>
      <c r="X18" s="85" t="s">
        <v>266</v>
      </c>
      <c r="Y18" s="81"/>
      <c r="Z18" s="159" t="s">
        <v>677</v>
      </c>
      <c r="AA18" s="46"/>
    </row>
    <row r="19" spans="1:27" ht="13.5" customHeight="1" x14ac:dyDescent="0.2">
      <c r="A19" s="2013" t="s">
        <v>2073</v>
      </c>
      <c r="B19" s="1959"/>
      <c r="C19" s="1959"/>
      <c r="D19" s="1959"/>
      <c r="E19" s="1959"/>
      <c r="F19" s="1959"/>
      <c r="G19" s="1959"/>
      <c r="H19" s="1939"/>
      <c r="I19" s="30"/>
      <c r="J19" s="99"/>
      <c r="K19" s="40"/>
      <c r="L19" s="38"/>
      <c r="M19" s="112" t="s">
        <v>315</v>
      </c>
      <c r="P19" s="27"/>
      <c r="Q19" s="27"/>
      <c r="R19" s="27"/>
      <c r="S19" s="31"/>
      <c r="T19" s="2013" t="s">
        <v>2065</v>
      </c>
      <c r="U19" s="1938"/>
      <c r="V19" s="1938"/>
      <c r="W19" s="1939"/>
      <c r="X19" s="2028" t="s">
        <v>2066</v>
      </c>
      <c r="Y19" s="2029"/>
      <c r="Z19" s="2026">
        <v>62002</v>
      </c>
      <c r="AA19" s="202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7" t="s">
        <v>2074</v>
      </c>
      <c r="B21" s="1938"/>
      <c r="C21" s="1938"/>
      <c r="D21" s="1938"/>
      <c r="E21" s="1938"/>
      <c r="F21" s="1938"/>
      <c r="G21" s="1938"/>
      <c r="H21" s="1939"/>
      <c r="I21" s="1993" t="s">
        <v>678</v>
      </c>
      <c r="J21" s="1988"/>
      <c r="K21" s="1988"/>
      <c r="L21" s="1988"/>
      <c r="M21" s="1988"/>
      <c r="N21" s="1988"/>
      <c r="O21" s="1988"/>
      <c r="P21" s="1988"/>
      <c r="Q21" s="1988"/>
      <c r="R21" s="1988"/>
      <c r="S21" s="1994"/>
      <c r="T21" s="2037" t="s">
        <v>2067</v>
      </c>
      <c r="U21" s="2038"/>
      <c r="V21" s="2038"/>
      <c r="W21" s="2038"/>
      <c r="X21" s="2043" t="s">
        <v>2068</v>
      </c>
      <c r="Y21" s="2044"/>
      <c r="Z21" s="2044"/>
      <c r="AA21" s="2045"/>
    </row>
    <row r="22" spans="1:27" ht="13.5" customHeight="1" x14ac:dyDescent="0.2">
      <c r="A22" s="87" t="s">
        <v>531</v>
      </c>
      <c r="B22" s="59"/>
      <c r="C22" s="59"/>
      <c r="D22" s="59"/>
      <c r="E22" s="59"/>
      <c r="F22" s="59"/>
      <c r="G22" s="59"/>
      <c r="H22" s="60"/>
      <c r="I22" s="1995" t="s">
        <v>1429</v>
      </c>
      <c r="J22" s="1996"/>
      <c r="K22" s="1996"/>
      <c r="L22" s="1996"/>
      <c r="M22" s="1996"/>
      <c r="N22" s="1996"/>
      <c r="O22" s="1996"/>
      <c r="P22" s="1996"/>
      <c r="Q22" s="1996"/>
      <c r="R22" s="1996"/>
      <c r="S22" s="1997"/>
      <c r="T22" s="85" t="s">
        <v>1516</v>
      </c>
      <c r="U22" s="51"/>
      <c r="V22" s="72"/>
      <c r="W22" s="51"/>
      <c r="X22" s="160" t="s">
        <v>1318</v>
      </c>
      <c r="Z22" s="45"/>
      <c r="AA22" s="46"/>
    </row>
    <row r="23" spans="1:27" ht="13.5" customHeight="1" x14ac:dyDescent="0.2">
      <c r="A23" s="1990" t="s">
        <v>2086</v>
      </c>
      <c r="B23" s="1991"/>
      <c r="C23" s="1991"/>
      <c r="D23" s="1991"/>
      <c r="E23" s="1991"/>
      <c r="F23" s="1991"/>
      <c r="G23" s="1991"/>
      <c r="H23" s="1992"/>
      <c r="T23" s="1973" t="s">
        <v>2069</v>
      </c>
      <c r="U23" s="2036"/>
      <c r="V23" s="2036"/>
      <c r="W23" s="2036"/>
      <c r="X23" s="2040">
        <v>44530</v>
      </c>
      <c r="Y23" s="2041"/>
      <c r="Z23" s="2041"/>
      <c r="AA23" s="2042"/>
    </row>
    <row r="24" spans="1:27" ht="14.1" customHeight="1" x14ac:dyDescent="0.2">
      <c r="A24" s="88" t="s">
        <v>677</v>
      </c>
      <c r="B24" s="49"/>
      <c r="C24" s="49"/>
      <c r="D24" s="49"/>
      <c r="E24" s="49"/>
      <c r="F24" s="49"/>
      <c r="G24" s="49"/>
      <c r="H24" s="61"/>
      <c r="J24" s="1960">
        <f>IF(B5="x",IF(AUDITCHECK!D29="AFR form Incomplete.","",IF(AUDITCHECK!D29="Deficit reduction plan is required.","School District must complete a deficit reduction plan in the 2019-2020 Budget",)),"")</f>
        <v>0</v>
      </c>
      <c r="K24" s="1960"/>
      <c r="L24" s="1960"/>
      <c r="M24" s="1960"/>
      <c r="N24" s="1960"/>
      <c r="O24" s="1960"/>
      <c r="P24" s="1960"/>
      <c r="Q24" s="1960"/>
      <c r="R24" s="1960"/>
      <c r="S24" s="1961"/>
      <c r="T24" s="105" t="s">
        <v>531</v>
      </c>
      <c r="U24" s="106"/>
      <c r="V24" s="106"/>
      <c r="W24" s="106"/>
      <c r="X24" s="107"/>
      <c r="Y24" s="107"/>
      <c r="Z24" s="107"/>
      <c r="AA24" s="108"/>
    </row>
    <row r="25" spans="1:27" ht="14.1" customHeight="1" x14ac:dyDescent="0.2">
      <c r="A25" s="1937">
        <v>62024</v>
      </c>
      <c r="B25" s="1938"/>
      <c r="C25" s="1938"/>
      <c r="D25" s="1938"/>
      <c r="E25" s="1938"/>
      <c r="F25" s="1938"/>
      <c r="G25" s="1938"/>
      <c r="H25" s="1939"/>
      <c r="I25" s="113"/>
      <c r="J25" s="1962"/>
      <c r="K25" s="1962"/>
      <c r="L25" s="1962"/>
      <c r="M25" s="1962"/>
      <c r="N25" s="1962"/>
      <c r="O25" s="1962"/>
      <c r="P25" s="1962"/>
      <c r="Q25" s="1962"/>
      <c r="R25" s="1962"/>
      <c r="S25" s="1963"/>
      <c r="T25" s="2033" t="s">
        <v>2070</v>
      </c>
      <c r="U25" s="2034"/>
      <c r="V25" s="2034"/>
      <c r="W25" s="2034"/>
      <c r="X25" s="2034"/>
      <c r="Y25" s="2034"/>
      <c r="Z25" s="2034"/>
      <c r="AA25" s="203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8" t="s">
        <v>1511</v>
      </c>
      <c r="J27" s="1949"/>
      <c r="K27" s="1949"/>
      <c r="L27" s="1949"/>
      <c r="M27" s="1949"/>
      <c r="N27" s="1949"/>
      <c r="O27" s="1949"/>
      <c r="P27" s="1949"/>
      <c r="Q27" s="1949"/>
      <c r="R27" s="1949"/>
      <c r="S27" s="195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9"/>
      <c r="Q35" s="1938"/>
      <c r="R35" s="19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3"/>
      <c r="B38" s="1974"/>
      <c r="C38" s="1974"/>
      <c r="D38" s="1974"/>
      <c r="E38" s="1974"/>
      <c r="F38" s="1938"/>
      <c r="G38" s="1938"/>
      <c r="H38" s="1939"/>
      <c r="I38" s="1966"/>
      <c r="J38" s="1967"/>
      <c r="K38" s="1967"/>
      <c r="L38" s="1967"/>
      <c r="M38" s="1967"/>
      <c r="N38" s="1967"/>
      <c r="O38" s="1967"/>
      <c r="P38" s="1968"/>
      <c r="Q38" s="1968"/>
      <c r="R38" s="1968"/>
      <c r="S38" s="1969"/>
      <c r="T38" s="2023"/>
      <c r="U38" s="1967"/>
      <c r="V38" s="1967"/>
      <c r="W38" s="1967"/>
      <c r="X38" s="1968"/>
      <c r="Y38" s="1968"/>
      <c r="Z38" s="1968"/>
      <c r="AA38" s="1969"/>
    </row>
    <row r="39" spans="1:27" ht="12" customHeight="1" x14ac:dyDescent="0.2">
      <c r="A39" s="1943" t="s">
        <v>531</v>
      </c>
      <c r="B39" s="1944"/>
      <c r="C39" s="72"/>
      <c r="D39" s="69"/>
      <c r="E39" s="69"/>
      <c r="F39" s="79"/>
      <c r="G39" s="69"/>
      <c r="H39" s="56"/>
      <c r="I39" s="1943" t="s">
        <v>531</v>
      </c>
      <c r="J39" s="1944"/>
      <c r="K39" s="1944"/>
      <c r="L39" s="1944"/>
      <c r="M39" s="1944"/>
      <c r="N39" s="67"/>
      <c r="O39" s="72"/>
      <c r="P39" s="72"/>
      <c r="Q39" s="78"/>
      <c r="R39" s="72"/>
      <c r="S39" s="56"/>
      <c r="T39" s="72" t="s">
        <v>531</v>
      </c>
      <c r="U39" s="51"/>
      <c r="V39" s="72"/>
      <c r="W39" s="50"/>
      <c r="X39" s="78"/>
      <c r="Y39" s="45"/>
      <c r="Z39" s="45"/>
      <c r="AA39" s="46"/>
    </row>
    <row r="40" spans="1:27" ht="13.5" customHeight="1" x14ac:dyDescent="0.2">
      <c r="A40" s="1951"/>
      <c r="B40" s="1952"/>
      <c r="C40" s="1953"/>
      <c r="D40" s="1953"/>
      <c r="E40" s="1953"/>
      <c r="F40" s="1954"/>
      <c r="G40" s="1954"/>
      <c r="H40" s="1955"/>
      <c r="I40" s="1976"/>
      <c r="J40" s="1977"/>
      <c r="K40" s="1977"/>
      <c r="L40" s="1977"/>
      <c r="M40" s="1977"/>
      <c r="N40" s="1977"/>
      <c r="O40" s="1977"/>
      <c r="P40" s="1977"/>
      <c r="Q40" s="1977"/>
      <c r="R40" s="1977"/>
      <c r="S40" s="1978"/>
      <c r="T40" s="1976"/>
      <c r="U40" s="2039"/>
      <c r="V40" s="1977"/>
      <c r="W40" s="1977"/>
      <c r="X40" s="1977"/>
      <c r="Y40" s="1977"/>
      <c r="Z40" s="1977"/>
      <c r="AA40" s="19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5"/>
      <c r="B42" s="1957"/>
      <c r="C42" s="1958"/>
      <c r="D42" s="1956"/>
      <c r="E42" s="1957"/>
      <c r="F42" s="1957"/>
      <c r="G42" s="1957"/>
      <c r="H42" s="1958"/>
      <c r="I42" s="1940"/>
      <c r="J42" s="1941"/>
      <c r="K42" s="1941"/>
      <c r="L42" s="1941"/>
      <c r="M42" s="1941"/>
      <c r="N42" s="1941"/>
      <c r="O42" s="1942"/>
      <c r="P42" s="1975"/>
      <c r="Q42" s="1941"/>
      <c r="R42" s="1941"/>
      <c r="S42" s="1942"/>
      <c r="T42" s="1940"/>
      <c r="U42" s="1941"/>
      <c r="V42" s="1941"/>
      <c r="W42" s="1942"/>
      <c r="X42" s="1975"/>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0"/>
      <c r="B44" s="1971"/>
      <c r="C44" s="1971"/>
      <c r="D44" s="1971"/>
      <c r="E44" s="1971"/>
      <c r="F44" s="1971"/>
      <c r="G44" s="1971"/>
      <c r="H44" s="1972"/>
      <c r="I44" s="1945"/>
      <c r="J44" s="1946"/>
      <c r="K44" s="1946"/>
      <c r="L44" s="1946"/>
      <c r="M44" s="1946"/>
      <c r="N44" s="1946"/>
      <c r="O44" s="1946"/>
      <c r="P44" s="1946"/>
      <c r="Q44" s="1946"/>
      <c r="R44" s="1946"/>
      <c r="S44" s="1947"/>
      <c r="T44" s="1945"/>
      <c r="U44" s="1964"/>
      <c r="V44" s="1964"/>
      <c r="W44" s="1964"/>
      <c r="X44" s="1964"/>
      <c r="Y44" s="1964"/>
      <c r="Z44" s="1946"/>
      <c r="AA44" s="19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customSheetViews>
    <customSheetView guid="{58008B32-E4E8-4E32-8B1E-F6CE50059F4A}" scale="110" showGridLines="0">
      <selection activeCell="AE23" sqref="AE23"/>
      <pageMargins left="0.75" right="0.75" top="1" bottom="0.5" header="0.5" footer="0.5"/>
      <printOptions horizontalCentered="1"/>
      <pageSetup scale="65" orientation="landscape" r:id="rId1"/>
      <headerFooter>
        <oddFooter>&amp;C&amp;"Times New Roman,Regular"
1</oddFooter>
      </headerFooter>
    </customSheetView>
    <customSheetView guid="{D43C6297-AC1B-41E2-A8C4-03E94593B8FB}" scale="110" showPageBreaks="1" showGridLines="0">
      <selection activeCell="C29" sqref="C29"/>
      <pageMargins left="0.75" right="0.75" top="1" bottom="0.5" header="0.5" footer="0.5"/>
      <printOptions horizontalCentered="1"/>
      <pageSetup scale="65" orientation="landscape" useFirstPageNumber="1" r:id="rId2"/>
      <headerFooter>
        <oddFooter>&amp;C&amp;"Times New Roman,Regular"
1</oddFooter>
      </headerFooter>
    </customSheetView>
    <customSheetView guid="{1CEE81F4-A6A8-4CF6-96C8-1AACCC28872D}" scale="110" showGridLines="0">
      <selection activeCell="C29" sqref="C29"/>
      <pageMargins left="0.75" right="0.75" top="1" bottom="0.5" header="0.5" footer="0.5"/>
      <printOptions horizontalCentered="1"/>
      <pageSetup scale="65" orientation="landscape" useFirstPageNumber="1" r:id="rId3"/>
      <headerFooter>
        <oddFooter>&amp;C&amp;"Times New Roman,Regular"
1</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4" display="www.isbe.net/sfms/afr/afr.htm" xr:uid="{00000000-0004-0000-0000-000000000000}"/>
    <hyperlink ref="I22:S22" r:id="rId5" display="   Send ISBE a File" xr:uid="{00000000-0004-0000-0000-000001000000}"/>
  </hyperlinks>
  <printOptions horizontalCentered="1"/>
  <pageMargins left="0.75" right="0.75" top="1" bottom="0.5" header="0.5" footer="0.5"/>
  <pageSetup scale="65" orientation="landscape" useFirstPageNumber="1" r:id="rId6"/>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BreakPreview" colorId="8" zoomScale="60" zoomScaleNormal="110" workbookViewId="0">
      <selection activeCell="B12" sqref="B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79" t="s">
        <v>1799</v>
      </c>
      <c r="B2" s="1528" t="s">
        <v>1948</v>
      </c>
      <c r="C2" s="714" t="s">
        <v>1949</v>
      </c>
      <c r="D2" s="714" t="s">
        <v>1950</v>
      </c>
      <c r="E2" s="714" t="s">
        <v>1951</v>
      </c>
      <c r="F2" s="714" t="s">
        <v>1952</v>
      </c>
    </row>
    <row r="3" spans="1:6" ht="12" customHeight="1" x14ac:dyDescent="0.2">
      <c r="A3" s="2180"/>
      <c r="B3" s="1525"/>
      <c r="C3" s="1526"/>
      <c r="D3" s="1527" t="s">
        <v>256</v>
      </c>
      <c r="E3" s="1526"/>
      <c r="F3" s="1527" t="s">
        <v>257</v>
      </c>
    </row>
    <row r="4" spans="1:6" ht="13.7" customHeight="1" x14ac:dyDescent="0.2">
      <c r="A4" s="715" t="s">
        <v>1155</v>
      </c>
      <c r="B4" s="1749">
        <f>'Revenues 9-14'!C5</f>
        <v>990025</v>
      </c>
      <c r="C4" s="1524">
        <v>69292</v>
      </c>
      <c r="D4" s="1752">
        <f>B4-C4</f>
        <v>920733</v>
      </c>
      <c r="E4" s="1524">
        <v>983830</v>
      </c>
      <c r="F4" s="1752">
        <f>E4-C4</f>
        <v>914538</v>
      </c>
    </row>
    <row r="5" spans="1:6" ht="13.7" customHeight="1" x14ac:dyDescent="0.2">
      <c r="A5" s="715" t="s">
        <v>870</v>
      </c>
      <c r="B5" s="1750">
        <f>'Revenues 9-14'!D5</f>
        <v>300016</v>
      </c>
      <c r="C5" s="585">
        <v>20997</v>
      </c>
      <c r="D5" s="1753">
        <f t="shared" ref="D5:D18" si="0">B5-C5</f>
        <v>279019</v>
      </c>
      <c r="E5" s="585">
        <v>298130</v>
      </c>
      <c r="F5" s="1753">
        <f>E5-C5</f>
        <v>277133</v>
      </c>
    </row>
    <row r="6" spans="1:6" ht="13.7" customHeight="1" x14ac:dyDescent="0.2">
      <c r="A6" s="715" t="s">
        <v>411</v>
      </c>
      <c r="B6" s="1750">
        <f>'Revenues 9-14'!E5</f>
        <v>532412</v>
      </c>
      <c r="C6" s="585">
        <v>36485</v>
      </c>
      <c r="D6" s="1753">
        <f t="shared" si="0"/>
        <v>495927</v>
      </c>
      <c r="E6" s="585">
        <v>518024</v>
      </c>
      <c r="F6" s="1753">
        <f t="shared" ref="F6:F18" si="1">E6-C6</f>
        <v>481539</v>
      </c>
    </row>
    <row r="7" spans="1:6" ht="13.7" customHeight="1" x14ac:dyDescent="0.2">
      <c r="A7" s="715" t="s">
        <v>155</v>
      </c>
      <c r="B7" s="1750">
        <f>'Revenues 9-14'!F5</f>
        <v>72055</v>
      </c>
      <c r="C7" s="585">
        <v>5040</v>
      </c>
      <c r="D7" s="1753">
        <f t="shared" si="0"/>
        <v>67015</v>
      </c>
      <c r="E7" s="585">
        <v>71563</v>
      </c>
      <c r="F7" s="1753">
        <f t="shared" si="1"/>
        <v>66523</v>
      </c>
    </row>
    <row r="8" spans="1:6" ht="13.7" customHeight="1" x14ac:dyDescent="0.2">
      <c r="A8" s="715" t="s">
        <v>1179</v>
      </c>
      <c r="B8" s="1750">
        <f>'Revenues 9-14'!G5</f>
        <v>172512</v>
      </c>
      <c r="C8" s="585">
        <v>11426</v>
      </c>
      <c r="D8" s="1753">
        <f t="shared" si="0"/>
        <v>161086</v>
      </c>
      <c r="E8" s="585">
        <v>162227</v>
      </c>
      <c r="F8" s="1753">
        <f t="shared" si="1"/>
        <v>150801</v>
      </c>
    </row>
    <row r="9" spans="1:6" ht="13.7" customHeight="1" x14ac:dyDescent="0.2">
      <c r="A9" s="715" t="s">
        <v>408</v>
      </c>
      <c r="B9" s="1750">
        <f>'Revenues 9-14'!H5</f>
        <v>0</v>
      </c>
      <c r="C9" s="585">
        <v>0</v>
      </c>
      <c r="D9" s="1753">
        <f t="shared" si="0"/>
        <v>0</v>
      </c>
      <c r="E9" s="585"/>
      <c r="F9" s="1753">
        <f t="shared" si="1"/>
        <v>0</v>
      </c>
    </row>
    <row r="10" spans="1:6" ht="13.7" customHeight="1" x14ac:dyDescent="0.2">
      <c r="A10" s="715" t="s">
        <v>407</v>
      </c>
      <c r="B10" s="1750">
        <f>'Revenues 9-14'!I5</f>
        <v>30013</v>
      </c>
      <c r="C10" s="585">
        <v>2100</v>
      </c>
      <c r="D10" s="1753">
        <f t="shared" si="0"/>
        <v>27913</v>
      </c>
      <c r="E10" s="585">
        <v>29813</v>
      </c>
      <c r="F10" s="1753">
        <f t="shared" si="1"/>
        <v>27713</v>
      </c>
    </row>
    <row r="11" spans="1:6" x14ac:dyDescent="0.2">
      <c r="A11" s="715" t="s">
        <v>409</v>
      </c>
      <c r="B11" s="1750">
        <f>'Revenues 9-14'!J5</f>
        <v>665303</v>
      </c>
      <c r="C11" s="585">
        <v>43620</v>
      </c>
      <c r="D11" s="1753">
        <f t="shared" si="0"/>
        <v>621683</v>
      </c>
      <c r="E11" s="585">
        <v>619339</v>
      </c>
      <c r="F11" s="1753">
        <f t="shared" si="1"/>
        <v>575719</v>
      </c>
    </row>
    <row r="12" spans="1:6" ht="13.7" customHeight="1" x14ac:dyDescent="0.2">
      <c r="A12" s="715" t="s">
        <v>157</v>
      </c>
      <c r="B12" s="1750">
        <f>'Revenues 9-14'!K5</f>
        <v>2100</v>
      </c>
      <c r="C12" s="585">
        <v>2100</v>
      </c>
      <c r="D12" s="1753">
        <f t="shared" si="0"/>
        <v>0</v>
      </c>
      <c r="E12" s="585">
        <v>29813</v>
      </c>
      <c r="F12" s="1753">
        <f t="shared" si="1"/>
        <v>27713</v>
      </c>
    </row>
    <row r="13" spans="1:6" ht="13.7" customHeight="1" x14ac:dyDescent="0.2">
      <c r="A13" s="715" t="s">
        <v>936</v>
      </c>
      <c r="B13" s="1750">
        <f>SUM('Revenues 9-14'!C6:D6)</f>
        <v>30017</v>
      </c>
      <c r="C13" s="585">
        <v>2100</v>
      </c>
      <c r="D13" s="1753">
        <f t="shared" si="0"/>
        <v>27917</v>
      </c>
      <c r="E13" s="585">
        <v>29813</v>
      </c>
      <c r="F13" s="1753">
        <f t="shared" si="1"/>
        <v>27713</v>
      </c>
    </row>
    <row r="14" spans="1:6" ht="13.7" customHeight="1" x14ac:dyDescent="0.2">
      <c r="A14" s="715" t="s">
        <v>410</v>
      </c>
      <c r="B14" s="1750">
        <f>SUM('Revenues 9-14'!C7:D7,'Revenues 9-14'!F7:H7)</f>
        <v>12030</v>
      </c>
      <c r="C14" s="585">
        <v>841</v>
      </c>
      <c r="D14" s="1753">
        <f t="shared" si="0"/>
        <v>11189</v>
      </c>
      <c r="E14" s="585">
        <v>11937</v>
      </c>
      <c r="F14" s="1753">
        <f t="shared" si="1"/>
        <v>11096</v>
      </c>
    </row>
    <row r="15" spans="1:6" ht="13.7" customHeight="1" x14ac:dyDescent="0.2">
      <c r="A15" s="715" t="s">
        <v>1158</v>
      </c>
      <c r="B15" s="1750">
        <f>SUM('Revenues 9-14'!D9:E9,'Revenues 9-14'!H9)</f>
        <v>0</v>
      </c>
      <c r="C15" s="585">
        <v>0</v>
      </c>
      <c r="D15" s="1753">
        <f t="shared" si="0"/>
        <v>0</v>
      </c>
      <c r="E15" s="585"/>
      <c r="F15" s="1753">
        <f t="shared" si="1"/>
        <v>0</v>
      </c>
    </row>
    <row r="16" spans="1:6" ht="13.7" customHeight="1" x14ac:dyDescent="0.2">
      <c r="A16" s="715" t="s">
        <v>1159</v>
      </c>
      <c r="B16" s="1750">
        <f>'Revenues 9-14'!G8</f>
        <v>171854</v>
      </c>
      <c r="C16" s="585">
        <v>11339</v>
      </c>
      <c r="D16" s="1753">
        <f t="shared" si="0"/>
        <v>160515</v>
      </c>
      <c r="E16" s="585">
        <v>161003</v>
      </c>
      <c r="F16" s="1753">
        <f t="shared" si="1"/>
        <v>149664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2978337</v>
      </c>
      <c r="C19" s="1751">
        <f>SUM(C4:C18)</f>
        <v>205340</v>
      </c>
      <c r="D19" s="1751">
        <f>SUM(D4:D18)</f>
        <v>2772997</v>
      </c>
      <c r="E19" s="1751">
        <f>SUM(E4:E18)</f>
        <v>2915492</v>
      </c>
      <c r="F19" s="1751">
        <f>SUM(F4:F18)</f>
        <v>2710152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customSheetViews>
    <customSheetView guid="{58008B32-E4E8-4E32-8B1E-F6CE50059F4A}" scale="60" colorId="8" showPageBreaks="1" showGridLines="0" view="pageBreakPreview">
      <selection activeCell="D31" sqref="D31"/>
      <pageMargins left="0.75" right="0.75" top="1.5" bottom="0.5" header="0.5" footer="0.5"/>
      <printOptions horizontalCentered="1"/>
      <pageSetup scale="90" firstPageNumber="58" orientation="landscape" useFirstPageNumber="1" r:id="rId1"/>
      <headerFooter>
        <oddHeader>&amp;C&amp;"Times New Roman,Regular"EAST ALTON ELEMENTARY SCHOOL DISTRICT NO. 13
SCHEDULE OF AD VALOREM TAX RECEIPTS
FOR THE YEAR ENDED JUNE 30, 2019</oddHeader>
        <oddFooter>&amp;C&amp;"Times New Roman,Regular"See Independent Auditor's Reports
&amp;P</oddFooter>
      </headerFooter>
    </customSheetView>
    <customSheetView guid="{D43C6297-AC1B-41E2-A8C4-03E94593B8FB}" scale="60" colorId="8" showPageBreaks="1" showGridLines="0" view="pageBreakPreview">
      <selection activeCell="B12" sqref="B12"/>
      <pageMargins left="0.75" right="0.75" top="1.5" bottom="0.5" header="0.5" footer="0.5"/>
      <printOptions horizontalCentered="1"/>
      <pageSetup scale="90" firstPageNumber="57" orientation="landscape" useFirstPageNumber="1" r:id="rId2"/>
      <headerFooter>
        <oddHeader>&amp;C&amp;"Times New Roman,Regular"EAST ALTON ELEMENTARY SCHOOL DISTRICT NO. 13
SCHEDULE OF AD VALOREM TAX RECEIPTS
FOR THE YEAR ENDED JUNE 30, 2019</oddHeader>
        <oddFooter>&amp;C&amp;"Times New Roman,Regular"See Independent Auditor's Reports
&amp;P</oddFooter>
      </headerFooter>
    </customSheetView>
    <customSheetView guid="{1CEE81F4-A6A8-4CF6-96C8-1AACCC28872D}" scale="60" colorId="8" showPageBreaks="1" showGridLines="0" view="pageBreakPreview">
      <selection activeCell="B12" sqref="B12"/>
      <pageMargins left="0.75" right="0.75" top="1.5" bottom="0.5" header="0.5" footer="0.5"/>
      <printOptions horizontalCentered="1"/>
      <pageSetup scale="90" firstPageNumber="57" orientation="landscape" useFirstPageNumber="1" r:id="rId3"/>
      <headerFooter>
        <oddHeader>&amp;C&amp;"Times New Roman,Regular"EAST ALTON ELEMENTARY SCHOOL DISTRICT NO. 13
SCHEDULE OF AD VALOREM TAX RECEIPTS
FOR THE YEAR ENDED JUNE 30, 2019</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5" bottom="0.5" header="0.5" footer="0.5"/>
  <pageSetup scale="90" firstPageNumber="57" orientation="landscape" useFirstPageNumber="1" r:id="rId4"/>
  <headerFooter>
    <oddHeader>&amp;C&amp;"Times New Roman,Regular"EAST ALTON ELEMENTARY SCHOOL DISTRICT NO. 13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J35" sqref="J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629</v>
      </c>
      <c r="B1" s="2199"/>
      <c r="C1" s="721"/>
    </row>
    <row r="2" spans="1:7" ht="33.75" x14ac:dyDescent="0.2">
      <c r="A2" s="2206" t="s">
        <v>1799</v>
      </c>
      <c r="B2" s="2207"/>
      <c r="C2" s="1883" t="s">
        <v>1953</v>
      </c>
      <c r="D2" s="723" t="s">
        <v>1954</v>
      </c>
      <c r="E2" s="723" t="s">
        <v>1955</v>
      </c>
      <c r="F2" s="1883" t="s">
        <v>1956</v>
      </c>
    </row>
    <row r="3" spans="1:7" ht="15.75" customHeight="1" x14ac:dyDescent="0.2">
      <c r="A3" s="2208" t="s">
        <v>1114</v>
      </c>
      <c r="B3" s="2209"/>
      <c r="C3" s="2202"/>
      <c r="D3" s="2203"/>
      <c r="E3" s="2203"/>
      <c r="F3" s="2204"/>
    </row>
    <row r="4" spans="1:7" ht="12.75" customHeight="1" thickBot="1" x14ac:dyDescent="0.25">
      <c r="A4" s="2196" t="s">
        <v>630</v>
      </c>
      <c r="B4" s="2197"/>
      <c r="C4" s="581"/>
      <c r="D4" s="581"/>
      <c r="E4" s="581"/>
      <c r="F4" s="1755">
        <f>SUM(C4+D4)-E4</f>
        <v>0</v>
      </c>
    </row>
    <row r="5" spans="1:7" ht="15.75" customHeight="1" thickTop="1" x14ac:dyDescent="0.2">
      <c r="A5" s="2200" t="s">
        <v>1110</v>
      </c>
      <c r="B5" s="2195"/>
      <c r="C5" s="2189"/>
      <c r="D5" s="2190"/>
      <c r="E5" s="2190"/>
      <c r="F5" s="219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5" t="s">
        <v>1111</v>
      </c>
      <c r="B16" s="2195"/>
      <c r="C16" s="2189"/>
      <c r="D16" s="2190"/>
      <c r="E16" s="2190"/>
      <c r="F16" s="2191"/>
    </row>
    <row r="17" spans="1:11" ht="12.75" customHeight="1" thickBot="1" x14ac:dyDescent="0.25">
      <c r="A17" s="2187" t="s">
        <v>64</v>
      </c>
      <c r="B17" s="2188"/>
      <c r="C17" s="726"/>
      <c r="D17" s="585"/>
      <c r="E17" s="726"/>
      <c r="F17" s="1755">
        <f>SUM(C17+D17)-E17</f>
        <v>0</v>
      </c>
    </row>
    <row r="18" spans="1:11" ht="12.75" customHeight="1" thickTop="1" thickBot="1" x14ac:dyDescent="0.25">
      <c r="A18" s="2187" t="s">
        <v>6</v>
      </c>
      <c r="B18" s="2188"/>
      <c r="C18" s="726"/>
      <c r="D18" s="585"/>
      <c r="E18" s="726"/>
      <c r="F18" s="1755">
        <f>SUM(C18+D18)-E18</f>
        <v>0</v>
      </c>
    </row>
    <row r="19" spans="1:11" ht="12.75" customHeight="1" thickTop="1" thickBot="1" x14ac:dyDescent="0.25">
      <c r="A19" s="2187" t="s">
        <v>388</v>
      </c>
      <c r="B19" s="2188"/>
      <c r="C19" s="726"/>
      <c r="D19" s="585"/>
      <c r="E19" s="726"/>
      <c r="F19" s="1755">
        <f>SUM(C19+D19)-E19</f>
        <v>0</v>
      </c>
    </row>
    <row r="20" spans="1:11" ht="12.75" customHeight="1" thickTop="1" thickBot="1" x14ac:dyDescent="0.25">
      <c r="A20" s="2187" t="s">
        <v>448</v>
      </c>
      <c r="B20" s="2188"/>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194" t="s">
        <v>1112</v>
      </c>
      <c r="B22" s="2195"/>
      <c r="C22" s="2189"/>
      <c r="D22" s="2190"/>
      <c r="E22" s="2190"/>
      <c r="F22" s="2191"/>
    </row>
    <row r="23" spans="1:11" ht="13.5" thickBot="1" x14ac:dyDescent="0.25">
      <c r="A23" s="2196" t="s">
        <v>633</v>
      </c>
      <c r="B23" s="2197"/>
      <c r="C23" s="581"/>
      <c r="D23" s="581"/>
      <c r="E23" s="581"/>
      <c r="F23" s="1755">
        <f>SUM(C23+D23)-E23</f>
        <v>0</v>
      </c>
      <c r="G23" s="552"/>
    </row>
    <row r="24" spans="1:11" ht="15.75" customHeight="1" thickTop="1" x14ac:dyDescent="0.2">
      <c r="A24" s="2194" t="s">
        <v>1113</v>
      </c>
      <c r="B24" s="2195"/>
      <c r="C24" s="2189"/>
      <c r="D24" s="2190"/>
      <c r="E24" s="2190"/>
      <c r="F24" s="2191"/>
    </row>
    <row r="25" spans="1:11" ht="13.5" thickBot="1" x14ac:dyDescent="0.25">
      <c r="A25" s="2196" t="s">
        <v>634</v>
      </c>
      <c r="B25" s="2197"/>
      <c r="C25" s="581"/>
      <c r="D25" s="581"/>
      <c r="E25" s="581"/>
      <c r="F25" s="1755">
        <f>SUM(C25+D25)-E25</f>
        <v>0</v>
      </c>
      <c r="G25" s="552"/>
    </row>
    <row r="26" spans="1:11" ht="15.75" customHeight="1" thickTop="1" x14ac:dyDescent="0.2">
      <c r="A26" s="2200" t="s">
        <v>657</v>
      </c>
      <c r="B26" s="2195"/>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198" t="s">
        <v>582</v>
      </c>
      <c r="B29" s="2199"/>
      <c r="C29" s="729"/>
      <c r="D29" s="729"/>
      <c r="E29" s="729"/>
      <c r="F29" s="729"/>
      <c r="G29" s="729"/>
      <c r="H29" s="729"/>
      <c r="I29" s="729"/>
      <c r="J29" s="729"/>
    </row>
    <row r="30" spans="1:11" ht="33.75" x14ac:dyDescent="0.2">
      <c r="A30" s="1529"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x14ac:dyDescent="0.2">
      <c r="A31" s="732" t="s">
        <v>2079</v>
      </c>
      <c r="B31" s="733">
        <v>40724</v>
      </c>
      <c r="C31" s="734">
        <v>2000000</v>
      </c>
      <c r="D31" s="735" t="s">
        <v>2083</v>
      </c>
      <c r="E31" s="734">
        <v>2000000</v>
      </c>
      <c r="F31" s="734"/>
      <c r="G31" s="734"/>
      <c r="H31" s="734"/>
      <c r="I31" s="1756">
        <f>((E31+F31)-H31)+G31</f>
        <v>2000000</v>
      </c>
      <c r="J31" s="734">
        <v>2000000</v>
      </c>
      <c r="K31" s="736"/>
    </row>
    <row r="32" spans="1:11" ht="12" customHeight="1" x14ac:dyDescent="0.2">
      <c r="A32" s="732" t="s">
        <v>2080</v>
      </c>
      <c r="B32" s="733">
        <v>42915</v>
      </c>
      <c r="C32" s="734">
        <v>1239800</v>
      </c>
      <c r="D32" s="735" t="s">
        <v>2084</v>
      </c>
      <c r="E32" s="734">
        <v>722400</v>
      </c>
      <c r="F32" s="734"/>
      <c r="G32" s="734"/>
      <c r="H32" s="734">
        <v>444100</v>
      </c>
      <c r="I32" s="1756">
        <f>((E32+F32)-H32)+G32</f>
        <v>278300</v>
      </c>
      <c r="J32" s="734">
        <v>278300</v>
      </c>
      <c r="K32" s="736"/>
    </row>
    <row r="33" spans="1:11" ht="12" customHeight="1" x14ac:dyDescent="0.2">
      <c r="A33" s="732" t="s">
        <v>2081</v>
      </c>
      <c r="B33" s="733">
        <v>42915</v>
      </c>
      <c r="C33" s="734">
        <v>2021500</v>
      </c>
      <c r="D33" s="735">
        <v>3</v>
      </c>
      <c r="E33" s="734">
        <v>2021500</v>
      </c>
      <c r="F33" s="734"/>
      <c r="G33" s="734"/>
      <c r="H33" s="734"/>
      <c r="I33" s="1756">
        <f t="shared" ref="I33:I48" si="1">((E33+F33)-H33)+G33</f>
        <v>2021500</v>
      </c>
      <c r="J33" s="734">
        <v>2021500</v>
      </c>
      <c r="K33" s="736"/>
    </row>
    <row r="34" spans="1:11" ht="12" customHeight="1" x14ac:dyDescent="0.2">
      <c r="A34" s="732" t="s">
        <v>2082</v>
      </c>
      <c r="B34" s="733">
        <v>42905</v>
      </c>
      <c r="C34" s="734">
        <v>108707</v>
      </c>
      <c r="D34" s="735">
        <v>7</v>
      </c>
      <c r="E34" s="734">
        <v>88649</v>
      </c>
      <c r="F34" s="734"/>
      <c r="G34" s="734"/>
      <c r="H34" s="734">
        <v>20866</v>
      </c>
      <c r="I34" s="1756">
        <f t="shared" si="1"/>
        <v>67783</v>
      </c>
      <c r="J34" s="734">
        <v>67783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5370007</v>
      </c>
      <c r="D49" s="745"/>
      <c r="E49" s="1756">
        <f t="shared" ref="E49:J49" si="2">SUM(E31:E48)</f>
        <v>4832549</v>
      </c>
      <c r="F49" s="1756">
        <f t="shared" si="2"/>
        <v>0</v>
      </c>
      <c r="G49" s="1756">
        <f t="shared" si="2"/>
        <v>0</v>
      </c>
      <c r="H49" s="1756">
        <f t="shared" si="2"/>
        <v>464966</v>
      </c>
      <c r="I49" s="1756">
        <f t="shared" si="2"/>
        <v>4367583</v>
      </c>
      <c r="J49" s="1756">
        <f t="shared" si="2"/>
        <v>4367583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1" t="s">
        <v>584</v>
      </c>
      <c r="C52" s="2182"/>
      <c r="D52" s="2182"/>
      <c r="E52" s="749" t="s">
        <v>845</v>
      </c>
      <c r="F52" s="2183" t="s">
        <v>2085</v>
      </c>
      <c r="G52" s="2184"/>
      <c r="H52" s="736"/>
      <c r="I52" s="736"/>
      <c r="J52" s="746"/>
    </row>
    <row r="53" spans="1:11" ht="11.25" customHeight="1" x14ac:dyDescent="0.2">
      <c r="A53" s="750" t="s">
        <v>913</v>
      </c>
      <c r="B53" s="751" t="s">
        <v>951</v>
      </c>
      <c r="C53" s="746"/>
      <c r="D53" s="737"/>
      <c r="E53" s="749" t="s">
        <v>497</v>
      </c>
      <c r="F53" s="2185"/>
      <c r="G53" s="2186"/>
      <c r="H53" s="736"/>
      <c r="I53" s="736"/>
      <c r="J53" s="746"/>
    </row>
    <row r="54" spans="1:11" ht="11.25" customHeight="1" x14ac:dyDescent="0.2">
      <c r="A54" s="752" t="s">
        <v>914</v>
      </c>
      <c r="B54" s="747" t="s">
        <v>952</v>
      </c>
      <c r="C54" s="746"/>
      <c r="D54" s="737"/>
      <c r="E54" s="749" t="s">
        <v>498</v>
      </c>
      <c r="F54" s="2185"/>
      <c r="G54" s="218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customSheetViews>
    <customSheetView guid="{58008B32-E4E8-4E32-8B1E-F6CE50059F4A}" scale="110" colorId="8" showGridLines="0">
      <selection activeCell="J35" sqref="J35"/>
      <pageMargins left="0.75" right="0.75" top="0.9" bottom="0.5" header="0.5" footer="0.5"/>
      <printOptions horizontalCentered="1"/>
      <pageSetup scale="65" firstPageNumber="24" fitToHeight="0" orientation="landscape" r:id="rId1"/>
      <headerFooter>
        <oddHeader>&amp;C&amp;"Times New Roman,Regular"EAST ALTON ELEMENTARY SCHOOL DISTRICT NO. 13
SCHEDULE OF SHORT-TERM AND LONG-TERM DEBT
FOR THE YEAR ENDED JUNE 30, 2019</oddHeader>
        <oddFooter>&amp;C&amp;"Times New Roman,Regular"See Independent Auditor's Reports
&amp;P</oddFooter>
      </headerFooter>
    </customSheetView>
    <customSheetView guid="{D43C6297-AC1B-41E2-A8C4-03E94593B8FB}" scale="110" colorId="8" showGridLines="0">
      <selection activeCell="J35" sqref="J35"/>
      <pageMargins left="0.75" right="0.75" top="0.9" bottom="0.5" header="0.5" footer="0.5"/>
      <printOptions horizontalCentered="1"/>
      <pageSetup scale="65" firstPageNumber="24" fitToHeight="0" orientation="landscape" r:id="rId2"/>
      <headerFooter>
        <oddHeader>&amp;C&amp;"Times New Roman,Regular"EAST ALTON ELEMENTARY SCHOOL DISTRICT NO. 13
SCHEDULE OF SHORT-TERM AND LONG-TERM DEBT
FOR THE YEAR ENDED JUNE 30, 2019</oddHeader>
        <oddFooter>&amp;C&amp;"Times New Roman,Regular"See Independent Auditor's Reports
&amp;P</oddFooter>
      </headerFooter>
    </customSheetView>
    <customSheetView guid="{1CEE81F4-A6A8-4CF6-96C8-1AACCC28872D}" scale="110" colorId="8" showGridLines="0">
      <selection activeCell="J35" sqref="J35"/>
      <pageMargins left="0.75" right="0.75" top="0.9" bottom="0.5" header="0.5" footer="0.5"/>
      <printOptions horizontalCentered="1"/>
      <pageSetup scale="65" firstPageNumber="24" fitToHeight="0" orientation="landscape" r:id="rId3"/>
      <headerFooter>
        <oddHeader>&amp;C&amp;"Times New Roman,Regular"EAST ALTON ELEMENTARY SCHOOL DISTRICT NO. 13
SCHEDULE OF SHORT-TERM AND LONG-TERM DEBT
FOR THE YEAR ENDED JUNE 30, 2019</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4"/>
  <headerFooter>
    <oddHeader>&amp;C&amp;"Times New Roman,Regular"EAST ALTON ELEMENTARY SCHOOL DISTRICT NO. 13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BreakPreview" colorId="8" zoomScale="60" zoomScaleNormal="110" workbookViewId="0">
      <selection activeCell="P32" sqref="P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0" t="s">
        <v>856</v>
      </c>
      <c r="B1" s="2211"/>
      <c r="C1" s="2211"/>
      <c r="D1" s="2211"/>
      <c r="E1" s="2211"/>
      <c r="F1" s="2211"/>
      <c r="G1" s="2212"/>
      <c r="H1" s="1530"/>
      <c r="I1" s="760"/>
      <c r="J1" s="433"/>
    </row>
    <row r="2" spans="1:11" ht="26.25" x14ac:dyDescent="0.2">
      <c r="A2" s="2229" t="s">
        <v>1677</v>
      </c>
      <c r="B2" s="2230"/>
      <c r="C2" s="2230"/>
      <c r="D2" s="2230"/>
      <c r="E2" s="2231"/>
      <c r="F2" s="761" t="s">
        <v>904</v>
      </c>
      <c r="G2" s="762" t="s">
        <v>1674</v>
      </c>
      <c r="H2" s="762" t="s">
        <v>410</v>
      </c>
      <c r="I2" s="762" t="s">
        <v>1158</v>
      </c>
      <c r="J2" s="762" t="s">
        <v>1809</v>
      </c>
      <c r="K2" s="762" t="s">
        <v>138</v>
      </c>
    </row>
    <row r="3" spans="1:11" x14ac:dyDescent="0.2">
      <c r="A3" s="2232" t="s">
        <v>1961</v>
      </c>
      <c r="B3" s="2233"/>
      <c r="C3" s="2233"/>
      <c r="D3" s="2233"/>
      <c r="E3" s="2234"/>
      <c r="F3" s="763"/>
      <c r="G3" s="764"/>
      <c r="H3" s="764"/>
      <c r="I3" s="764"/>
      <c r="J3" s="765"/>
      <c r="K3" s="765"/>
    </row>
    <row r="4" spans="1:11" x14ac:dyDescent="0.2">
      <c r="A4" s="2235" t="s">
        <v>369</v>
      </c>
      <c r="B4" s="2236"/>
      <c r="C4" s="2236"/>
      <c r="D4" s="2236"/>
      <c r="E4" s="2182"/>
      <c r="F4" s="766"/>
      <c r="G4" s="767"/>
      <c r="H4" s="768"/>
      <c r="I4" s="767"/>
      <c r="J4" s="769"/>
      <c r="K4" s="769"/>
    </row>
    <row r="5" spans="1:11" x14ac:dyDescent="0.2">
      <c r="A5" s="2213" t="s">
        <v>1069</v>
      </c>
      <c r="B5" s="2214"/>
      <c r="C5" s="2214"/>
      <c r="D5" s="2214"/>
      <c r="E5" s="2215"/>
      <c r="F5" s="770" t="s">
        <v>848</v>
      </c>
      <c r="G5" s="771"/>
      <c r="H5" s="764">
        <v>12030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3" t="s">
        <v>1810</v>
      </c>
      <c r="B10" s="2214"/>
      <c r="C10" s="2214"/>
      <c r="D10" s="2214"/>
      <c r="E10" s="2216"/>
      <c r="F10" s="783" t="s">
        <v>862</v>
      </c>
      <c r="G10" s="782"/>
      <c r="H10" s="784"/>
      <c r="I10" s="764"/>
      <c r="J10" s="765"/>
      <c r="K10" s="765"/>
    </row>
    <row r="11" spans="1:11" x14ac:dyDescent="0.2">
      <c r="A11" s="2213" t="s">
        <v>160</v>
      </c>
      <c r="B11" s="2214"/>
      <c r="C11" s="2214"/>
      <c r="D11" s="2214"/>
      <c r="E11" s="2215"/>
      <c r="F11" s="770" t="s">
        <v>852</v>
      </c>
      <c r="G11" s="771"/>
      <c r="H11" s="764"/>
      <c r="I11" s="764"/>
      <c r="J11" s="765"/>
      <c r="K11" s="773"/>
    </row>
    <row r="12" spans="1:11" ht="13.5" thickBot="1" x14ac:dyDescent="0.25">
      <c r="A12" s="2240" t="s">
        <v>905</v>
      </c>
      <c r="B12" s="2241"/>
      <c r="C12" s="2241"/>
      <c r="D12" s="2241"/>
      <c r="E12" s="2242"/>
      <c r="F12" s="1757"/>
      <c r="G12" s="1758">
        <f>SUM(G5:G11)</f>
        <v>0</v>
      </c>
      <c r="H12" s="1758">
        <f>SUM(H5:H11)</f>
        <v>12030</v>
      </c>
      <c r="I12" s="1758">
        <f>SUM(I5:I11)</f>
        <v>0</v>
      </c>
      <c r="J12" s="1758">
        <f>SUM(J5:J11)</f>
        <v>0</v>
      </c>
      <c r="K12" s="1758">
        <f>SUM(K5:K11)</f>
        <v>0</v>
      </c>
    </row>
    <row r="13" spans="1:11" ht="13.5" thickTop="1" x14ac:dyDescent="0.2">
      <c r="A13" s="2237" t="s">
        <v>370</v>
      </c>
      <c r="B13" s="2238"/>
      <c r="C13" s="2238"/>
      <c r="D13" s="2238"/>
      <c r="E13" s="2239"/>
      <c r="F13" s="785"/>
      <c r="G13" s="786"/>
      <c r="H13" s="787"/>
      <c r="I13" s="788"/>
      <c r="J13" s="788"/>
      <c r="K13" s="788"/>
    </row>
    <row r="14" spans="1:11" x14ac:dyDescent="0.2">
      <c r="A14" s="2220" t="s">
        <v>456</v>
      </c>
      <c r="B14" s="2220"/>
      <c r="C14" s="2220"/>
      <c r="D14" s="2220"/>
      <c r="E14" s="2221"/>
      <c r="F14" s="789" t="s">
        <v>854</v>
      </c>
      <c r="G14" s="782"/>
      <c r="H14" s="764">
        <v>12030</v>
      </c>
      <c r="I14" s="771"/>
      <c r="J14" s="773"/>
      <c r="K14" s="765"/>
    </row>
    <row r="15" spans="1:11" x14ac:dyDescent="0.2">
      <c r="A15" s="2214" t="s">
        <v>4</v>
      </c>
      <c r="B15" s="2214"/>
      <c r="C15" s="2214"/>
      <c r="D15" s="2214"/>
      <c r="E15" s="2215"/>
      <c r="F15" s="789" t="s">
        <v>855</v>
      </c>
      <c r="G15" s="771"/>
      <c r="H15" s="764"/>
      <c r="I15" s="764"/>
      <c r="J15" s="765"/>
      <c r="K15" s="765"/>
    </row>
    <row r="16" spans="1:11" x14ac:dyDescent="0.2">
      <c r="A16" s="2214" t="s">
        <v>298</v>
      </c>
      <c r="B16" s="2214"/>
      <c r="C16" s="2214"/>
      <c r="D16" s="2214"/>
      <c r="E16" s="2215"/>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24" t="s">
        <v>368</v>
      </c>
      <c r="B18" s="2225"/>
      <c r="C18" s="2225"/>
      <c r="D18" s="2225"/>
      <c r="E18" s="2226"/>
      <c r="F18" s="789" t="s">
        <v>932</v>
      </c>
      <c r="G18" s="782"/>
      <c r="H18" s="782"/>
      <c r="I18" s="782"/>
      <c r="J18" s="765"/>
      <c r="K18" s="795"/>
    </row>
    <row r="19" spans="1:11" ht="21.75" customHeight="1" x14ac:dyDescent="0.2">
      <c r="A19" s="2222" t="s">
        <v>1806</v>
      </c>
      <c r="B19" s="2222"/>
      <c r="C19" s="2222"/>
      <c r="D19" s="2222"/>
      <c r="E19" s="2223"/>
      <c r="F19" s="789" t="s">
        <v>933</v>
      </c>
      <c r="G19" s="782"/>
      <c r="H19" s="782"/>
      <c r="I19" s="782"/>
      <c r="J19" s="765"/>
      <c r="K19" s="795"/>
    </row>
    <row r="20" spans="1:11" x14ac:dyDescent="0.2">
      <c r="A20" s="2224" t="s">
        <v>1811</v>
      </c>
      <c r="B20" s="2225"/>
      <c r="C20" s="2225"/>
      <c r="D20" s="2225"/>
      <c r="E20" s="2226"/>
      <c r="F20" s="789" t="s">
        <v>934</v>
      </c>
      <c r="G20" s="782"/>
      <c r="H20" s="782"/>
      <c r="I20" s="782"/>
      <c r="J20" s="765"/>
      <c r="K20" s="795"/>
    </row>
    <row r="21" spans="1:11" ht="13.5" thickBot="1" x14ac:dyDescent="0.25">
      <c r="A21" s="2243" t="s">
        <v>638</v>
      </c>
      <c r="B21" s="2243"/>
      <c r="C21" s="2243"/>
      <c r="D21" s="2243"/>
      <c r="E21" s="2243"/>
      <c r="F21" s="1759"/>
      <c r="G21" s="792"/>
      <c r="H21" s="796"/>
      <c r="I21" s="796"/>
      <c r="J21" s="1760">
        <f>SUM(J18:J20)</f>
        <v>0</v>
      </c>
      <c r="K21" s="793"/>
    </row>
    <row r="22" spans="1:11" ht="13.5" thickTop="1" x14ac:dyDescent="0.2">
      <c r="A22" s="2214" t="s">
        <v>1812</v>
      </c>
      <c r="B22" s="2214"/>
      <c r="C22" s="2214"/>
      <c r="D22" s="2214"/>
      <c r="E22" s="2215"/>
      <c r="F22" s="789" t="s">
        <v>862</v>
      </c>
      <c r="G22" s="782"/>
      <c r="H22" s="764"/>
      <c r="I22" s="764"/>
      <c r="J22" s="797"/>
      <c r="K22" s="765"/>
    </row>
    <row r="23" spans="1:11" ht="13.5" thickBot="1" x14ac:dyDescent="0.25">
      <c r="A23" s="2244" t="s">
        <v>906</v>
      </c>
      <c r="B23" s="2243"/>
      <c r="C23" s="2243"/>
      <c r="D23" s="2243"/>
      <c r="E23" s="2243"/>
      <c r="F23" s="1761"/>
      <c r="G23" s="1758">
        <f>SUM(G14:G16,G21,G22)</f>
        <v>0</v>
      </c>
      <c r="H23" s="1758">
        <f>SUM(H14:H16,H21,H22)</f>
        <v>12030</v>
      </c>
      <c r="I23" s="1758">
        <f>SUM(I14:I16,I21,I22)</f>
        <v>0</v>
      </c>
      <c r="J23" s="1758">
        <f>SUM(J14:J16,J21,J22)</f>
        <v>0</v>
      </c>
      <c r="K23" s="1758">
        <f>SUM(K14:K16,K21,K22)</f>
        <v>0</v>
      </c>
    </row>
    <row r="24" spans="1:11" ht="14.25" thickTop="1" thickBot="1" x14ac:dyDescent="0.25">
      <c r="A24" s="2244" t="s">
        <v>1962</v>
      </c>
      <c r="B24" s="2243"/>
      <c r="C24" s="2243"/>
      <c r="D24" s="2243"/>
      <c r="E24" s="224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79" t="s">
        <v>1907</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7"/>
      <c r="I31" s="2218"/>
      <c r="J31" s="2218"/>
      <c r="K31" s="2218"/>
    </row>
    <row r="32" spans="1:11" x14ac:dyDescent="0.2">
      <c r="A32" s="809"/>
      <c r="B32" s="237"/>
      <c r="C32" s="237"/>
      <c r="D32" s="237"/>
      <c r="E32" s="805"/>
      <c r="F32" s="811" t="s">
        <v>540</v>
      </c>
      <c r="G32" s="764"/>
      <c r="H32" s="2219"/>
      <c r="I32" s="2218"/>
      <c r="J32" s="2218"/>
      <c r="K32" s="2218"/>
    </row>
    <row r="33" spans="1:11" ht="1.5" customHeight="1" x14ac:dyDescent="0.2">
      <c r="A33" s="812" t="s">
        <v>1169</v>
      </c>
      <c r="B33" s="364"/>
      <c r="C33" s="364"/>
      <c r="D33" s="364"/>
      <c r="E33" s="364"/>
      <c r="F33" s="364"/>
      <c r="G33" s="813"/>
      <c r="H33" s="2219"/>
      <c r="I33" s="2218"/>
      <c r="J33" s="2218"/>
      <c r="K33" s="221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27"/>
      <c r="C41" s="2227"/>
      <c r="D41" s="2227"/>
      <c r="E41" s="2227"/>
      <c r="F41" s="222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customSheetViews>
    <customSheetView guid="{58008B32-E4E8-4E32-8B1E-F6CE50059F4A}" scale="60" colorId="8" showPageBreaks="1" showGridLines="0" printArea="1" view="pageBreakPreview" topLeftCell="A22">
      <selection activeCell="P32" sqref="P32"/>
      <pageMargins left="0.75" right="0.75" top="1.1000000000000001" bottom="0.5" header="0.5" footer="0.5"/>
      <printOptions horizontalCentered="1"/>
      <pageSetup scale="74" firstPageNumber="25" orientation="landscape" r:id="rId1"/>
      <headerFooter>
        <oddHeader>&amp;C&amp;"Times New Roman,Regular"EAST ALTON ELEMENTARY SCHOOL DISTRICT NO. 13
SCHEDULE OF RESTRICTED LOCAL TAX LEVIES AND SELECTED REVENUE SOURCES
SCHEDULE OF TORT IMMUNITY EXPENDITURES
FOR THE YEAR ENDED JUNE 30, 2019</oddHeader>
        <oddFooter>&amp;C&amp;"Times New Roman,Regular"See Independent Auditor's Reports
&amp;P</oddFooter>
      </headerFooter>
    </customSheetView>
    <customSheetView guid="{D43C6297-AC1B-41E2-A8C4-03E94593B8FB}" scale="60" colorId="8" showPageBreaks="1" showGridLines="0" printArea="1" view="pageBreakPreview" topLeftCell="A22">
      <selection activeCell="P32" sqref="P32"/>
      <pageMargins left="0.75" right="0.75" top="1.1000000000000001" bottom="0.5" header="0.5" footer="0.5"/>
      <printOptions horizontalCentered="1"/>
      <pageSetup scale="74" firstPageNumber="25" orientation="landscape" r:id="rId2"/>
      <headerFooter>
        <oddHeader>&amp;C&amp;"Times New Roman,Regular"EAST ALTON ELEMENTARY SCHOOL DISTRICT NO. 13
SCHEDULE OF RESTRICTED LOCAL TAX LEVIES AND SELECTED REVENUE SOURCES
SCHEDULE OF TORT IMMUNITY EXPENDITURES
FOR THE YEAR ENDED JUNE 30, 2019</oddHeader>
        <oddFooter>&amp;C&amp;"Times New Roman,Regular"See Independent Auditor's Reports
&amp;P</oddFooter>
      </headerFooter>
    </customSheetView>
    <customSheetView guid="{1CEE81F4-A6A8-4CF6-96C8-1AACCC28872D}" scale="60" colorId="8" showPageBreaks="1" showGridLines="0" printArea="1" view="pageBreakPreview">
      <selection activeCell="P32" sqref="P32"/>
      <pageMargins left="0.75" right="0.75" top="1.1000000000000001" bottom="0.5" header="0.5" footer="0.5"/>
      <printOptions horizontalCentered="1"/>
      <pageSetup scale="74" firstPageNumber="25" orientation="landscape" r:id="rId3"/>
      <headerFooter>
        <oddHeader>&amp;C&amp;"Times New Roman,Regular"EAST ALTON ELEMENTARY SCHOOL DISTRICT NO. 13
SCHEDULE OF RESTRICTED LOCAL TAX LEVIES AND SELECTED REVENUE SOURCES
SCHEDULE OF TORT IMMUNITY EXPENDITURES
FOR THE YEAR ENDED JUNE 30, 2019</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pageMargins left="0.75" right="0.75" top="1.1000000000000001" bottom="0.5" header="0.5" footer="0.5"/>
  <pageSetup scale="74" firstPageNumber="25" orientation="landscape" r:id="rId4"/>
  <headerFooter>
    <oddHeader>&amp;C&amp;"Times New Roman,Regular"EAST ALTON ELEMENTARY SCHOOL DISTRICT NO. 13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O17" sqref="O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1906</v>
      </c>
      <c r="B1" s="2250"/>
      <c r="C1" s="2251"/>
      <c r="D1" s="826"/>
      <c r="E1" s="827"/>
      <c r="F1" s="827"/>
      <c r="G1" s="828"/>
      <c r="H1" s="829"/>
      <c r="I1" s="830"/>
      <c r="J1" s="2247"/>
      <c r="K1" s="2248"/>
      <c r="L1" s="2248"/>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100686</v>
      </c>
      <c r="D5" s="841"/>
      <c r="E5" s="841"/>
      <c r="F5" s="1760">
        <f>(C5+D5)-E5</f>
        <v>100686</v>
      </c>
      <c r="G5" s="837"/>
      <c r="H5" s="842"/>
      <c r="I5" s="842"/>
      <c r="J5" s="842"/>
      <c r="K5" s="793"/>
      <c r="L5" s="1769">
        <f>F5-K5</f>
        <v>100686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11690654</v>
      </c>
      <c r="D8" s="844"/>
      <c r="E8" s="844"/>
      <c r="F8" s="1760">
        <f>(C8+D8)-E8</f>
        <v>11690654</v>
      </c>
      <c r="G8" s="843">
        <v>50</v>
      </c>
      <c r="H8" s="765">
        <v>7561657</v>
      </c>
      <c r="I8" s="765">
        <v>233813</v>
      </c>
      <c r="J8" s="765"/>
      <c r="K8" s="1769">
        <f>(H8+I8)-J8</f>
        <v>7795470</v>
      </c>
      <c r="L8" s="1769">
        <f>F8-K8</f>
        <v>3895184</v>
      </c>
    </row>
    <row r="9" spans="1:14" ht="14.25" thickTop="1" thickBot="1" x14ac:dyDescent="0.25">
      <c r="A9" s="778" t="s">
        <v>1119</v>
      </c>
      <c r="B9" s="840">
        <v>232</v>
      </c>
      <c r="C9" s="765"/>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3295725</v>
      </c>
      <c r="D10" s="846"/>
      <c r="E10" s="846"/>
      <c r="F10" s="1764">
        <f>(C10+D10)-E10</f>
        <v>3295725</v>
      </c>
      <c r="G10" s="843">
        <v>20</v>
      </c>
      <c r="H10" s="847">
        <v>1309342</v>
      </c>
      <c r="I10" s="847">
        <v>135146</v>
      </c>
      <c r="J10" s="847"/>
      <c r="K10" s="1769">
        <f>(H10+I10)-J10</f>
        <v>1444488</v>
      </c>
      <c r="L10" s="1769">
        <f>F10-K10</f>
        <v>1851237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3672882</v>
      </c>
      <c r="D12" s="844">
        <v>111550</v>
      </c>
      <c r="E12" s="844"/>
      <c r="F12" s="1760">
        <f>(C12+D12)-E12</f>
        <v>3784432</v>
      </c>
      <c r="G12" s="843">
        <v>10</v>
      </c>
      <c r="H12" s="765">
        <v>3348055</v>
      </c>
      <c r="I12" s="765">
        <v>39482</v>
      </c>
      <c r="J12" s="765"/>
      <c r="K12" s="1769">
        <f>(H12+I12)-J12</f>
        <v>3387537</v>
      </c>
      <c r="L12" s="1769">
        <f>F12-K12</f>
        <v>396895</v>
      </c>
    </row>
    <row r="13" spans="1:14" ht="14.25" thickTop="1" thickBot="1" x14ac:dyDescent="0.25">
      <c r="A13" s="848" t="s">
        <v>1122</v>
      </c>
      <c r="B13" s="840">
        <v>252</v>
      </c>
      <c r="C13" s="844">
        <v>899332</v>
      </c>
      <c r="D13" s="844"/>
      <c r="E13" s="844"/>
      <c r="F13" s="1760">
        <f>(C13+D13)-E13</f>
        <v>899332</v>
      </c>
      <c r="G13" s="843">
        <v>5</v>
      </c>
      <c r="H13" s="765">
        <v>719239</v>
      </c>
      <c r="I13" s="765">
        <v>122734</v>
      </c>
      <c r="J13" s="765"/>
      <c r="K13" s="1769">
        <f>(H13+I13)-J13</f>
        <v>841973</v>
      </c>
      <c r="L13" s="1769">
        <f>F13-K13</f>
        <v>57359</v>
      </c>
    </row>
    <row r="14" spans="1:14" ht="14.25" thickTop="1" thickBot="1" x14ac:dyDescent="0.25">
      <c r="A14" s="848" t="s">
        <v>1123</v>
      </c>
      <c r="B14" s="840">
        <v>253</v>
      </c>
      <c r="C14" s="765">
        <v>380956</v>
      </c>
      <c r="D14" s="765"/>
      <c r="E14" s="765"/>
      <c r="F14" s="1760">
        <f>(C14+D14)-E14</f>
        <v>380956</v>
      </c>
      <c r="G14" s="843">
        <v>3</v>
      </c>
      <c r="H14" s="765">
        <v>380956</v>
      </c>
      <c r="I14" s="765"/>
      <c r="J14" s="765"/>
      <c r="K14" s="1769">
        <f>(H14+I14)-J14</f>
        <v>380956</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20040235</v>
      </c>
      <c r="D16" s="1760">
        <f>SUM(D3,D5:D6,D8:D10,D12:D15)</f>
        <v>111550</v>
      </c>
      <c r="E16" s="1760">
        <f>SUM(E3,E5:E6,E8:E10,E12:E15)</f>
        <v>0</v>
      </c>
      <c r="F16" s="1760">
        <f>SUM(F3,F5:F6,F8:F10,F12:F15)</f>
        <v>20151785</v>
      </c>
      <c r="G16" s="843"/>
      <c r="H16" s="1760">
        <f>SUM(H3,H6,H8:H10,H12:H14,)</f>
        <v>13319249</v>
      </c>
      <c r="I16" s="1760">
        <f>SUM(I3,I6,I8:I10,I12:I14,)</f>
        <v>531175</v>
      </c>
      <c r="J16" s="1760">
        <f>SUM(J3,J6,J8:J10,J12:J14,)</f>
        <v>0</v>
      </c>
      <c r="K16" s="1760">
        <f>(H16+I16)-J16</f>
        <v>13850424</v>
      </c>
      <c r="L16" s="1760">
        <f>F16-K16</f>
        <v>6301361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531175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customSheetViews>
    <customSheetView guid="{58008B32-E4E8-4E32-8B1E-F6CE50059F4A}" scale="60" colorId="8" showPageBreaks="1" showGridLines="0" view="pageBreakPreview">
      <selection activeCell="O17" sqref="O17"/>
      <pageMargins left="0.75" right="0.75" top="1.5" bottom="0.5" header="0.5" footer="0.5"/>
      <printOptions horizontalCentered="1"/>
      <pageSetup scale="74" firstPageNumber="26" orientation="landscape" r:id="rId1"/>
      <headerFooter>
        <oddHeader>&amp;C&amp;"Times New Roman,Regular"EAST ALTON ELEMENTARY SCHOOL DISTRICT NO. 13
SCHEDULE OF CAPITAL OUTLAY AND DEPRECIATION
FOR THE YEAR ENDED JUNE 30, 2019</oddHeader>
        <oddFooter>&amp;C&amp;"Times New Roman,Regular"See Independent Auditor's Reports
&amp;P</oddFooter>
      </headerFooter>
    </customSheetView>
    <customSheetView guid="{D43C6297-AC1B-41E2-A8C4-03E94593B8FB}" scale="60" colorId="8" showPageBreaks="1" showGridLines="0" view="pageBreakPreview">
      <selection activeCell="O17" sqref="O17"/>
      <pageMargins left="0.75" right="0.75" top="1.5" bottom="0.5" header="0.5" footer="0.5"/>
      <printOptions horizontalCentered="1"/>
      <pageSetup scale="74" firstPageNumber="26" orientation="landscape" r:id="rId2"/>
      <headerFooter>
        <oddHeader>&amp;C&amp;"Times New Roman,Regular"EAST ALTON ELEMENTARY SCHOOL DISTRICT NO. 13
SCHEDULE OF CAPITAL OUTLAY AND DEPRECIATION
FOR THE YEAR ENDED JUNE 30, 2019</oddHeader>
        <oddFooter>&amp;C&amp;"Times New Roman,Regular"See Independent Auditor's Reports
&amp;P</oddFooter>
      </headerFooter>
    </customSheetView>
    <customSheetView guid="{1CEE81F4-A6A8-4CF6-96C8-1AACCC28872D}" scale="60" colorId="8" showPageBreaks="1" showGridLines="0" view="pageBreakPreview">
      <selection activeCell="O17" sqref="O17"/>
      <pageMargins left="0.75" right="0.75" top="1.5" bottom="0.5" header="0.5" footer="0.5"/>
      <printOptions horizontalCentered="1"/>
      <pageSetup scale="74" firstPageNumber="26" orientation="landscape" r:id="rId3"/>
      <headerFooter>
        <oddHeader>&amp;C&amp;"Times New Roman,Regular"EAST ALTON ELEMENTARY SCHOOL DISTRICT NO. 13
SCHEDULE OF CAPITAL OUTLAY AND DEPRECIATION
FOR THE YEAR ENDED JUNE 30, 2019</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4"/>
  <headerFooter>
    <oddHeader>&amp;C&amp;"Times New Roman,Regular"EAST ALTON ELEMENTARY SCHOOL DISTRICT NO. 13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B1" colorId="8" zoomScale="110" zoomScaleNormal="110" workbookViewId="0">
      <pane ySplit="5" topLeftCell="A6"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5" t="s">
        <v>1972</v>
      </c>
      <c r="B1" s="2256"/>
      <c r="C1" s="2256"/>
      <c r="D1" s="2256"/>
      <c r="E1" s="2256"/>
      <c r="F1" s="2257"/>
      <c r="G1" s="855"/>
    </row>
    <row r="2" spans="1:7" ht="15" customHeight="1" thickBot="1" x14ac:dyDescent="0.25">
      <c r="A2" s="2258" t="s">
        <v>477</v>
      </c>
      <c r="B2" s="2259"/>
      <c r="C2" s="2259"/>
      <c r="D2" s="2259"/>
      <c r="E2" s="2259"/>
      <c r="F2" s="226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7659043</v>
      </c>
      <c r="G8" s="865"/>
    </row>
    <row r="9" spans="1:7" x14ac:dyDescent="0.2">
      <c r="A9" s="869" t="s">
        <v>460</v>
      </c>
      <c r="B9" s="870" t="s">
        <v>1874</v>
      </c>
      <c r="C9" s="871"/>
      <c r="D9" s="869" t="s">
        <v>501</v>
      </c>
      <c r="E9" s="868"/>
      <c r="F9" s="1908">
        <f>'Expenditures 15-22'!K151</f>
        <v>572634</v>
      </c>
      <c r="G9" s="872"/>
    </row>
    <row r="10" spans="1:7" x14ac:dyDescent="0.2">
      <c r="A10" s="869" t="s">
        <v>499</v>
      </c>
      <c r="B10" s="870" t="s">
        <v>1875</v>
      </c>
      <c r="C10" s="871"/>
      <c r="D10" s="869" t="s">
        <v>501</v>
      </c>
      <c r="E10" s="868"/>
      <c r="F10" s="1908">
        <f>'Expenditures 15-22'!K174</f>
        <v>541966</v>
      </c>
      <c r="G10" s="872"/>
    </row>
    <row r="11" spans="1:7" x14ac:dyDescent="0.2">
      <c r="A11" s="869" t="s">
        <v>461</v>
      </c>
      <c r="B11" s="870" t="s">
        <v>1876</v>
      </c>
      <c r="C11" s="871"/>
      <c r="D11" s="869" t="s">
        <v>501</v>
      </c>
      <c r="E11" s="868"/>
      <c r="F11" s="1908">
        <f>'Expenditures 15-22'!K210</f>
        <v>229300</v>
      </c>
      <c r="G11" s="872"/>
    </row>
    <row r="12" spans="1:7" x14ac:dyDescent="0.2">
      <c r="A12" s="869" t="s">
        <v>462</v>
      </c>
      <c r="B12" s="870" t="s">
        <v>1877</v>
      </c>
      <c r="C12" s="871"/>
      <c r="D12" s="869" t="s">
        <v>501</v>
      </c>
      <c r="E12" s="868"/>
      <c r="F12" s="1908">
        <f>'Expenditures 15-22'!K295</f>
        <v>335037</v>
      </c>
      <c r="G12" s="872"/>
    </row>
    <row r="13" spans="1:7" x14ac:dyDescent="0.2">
      <c r="A13" s="869" t="s">
        <v>106</v>
      </c>
      <c r="B13" s="870" t="s">
        <v>1878</v>
      </c>
      <c r="C13" s="871"/>
      <c r="D13" s="869" t="s">
        <v>501</v>
      </c>
      <c r="E13" s="868"/>
      <c r="F13" s="1908">
        <f>'Expenditures 15-22'!K342</f>
        <v>644963</v>
      </c>
      <c r="G13" s="873"/>
    </row>
    <row r="14" spans="1:7" ht="12" customHeight="1" thickBot="1" x14ac:dyDescent="0.25">
      <c r="A14" s="1770"/>
      <c r="B14" s="1771"/>
      <c r="C14" s="1772"/>
      <c r="D14" s="1773" t="s">
        <v>501</v>
      </c>
      <c r="E14" s="1774" t="s">
        <v>958</v>
      </c>
      <c r="F14" s="1775">
        <f>SUM(F8:F13)</f>
        <v>9982943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3">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1999</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349660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30648</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37915</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109489</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383214</v>
      </c>
      <c r="G52" s="865"/>
    </row>
    <row r="53" spans="1:7" x14ac:dyDescent="0.2">
      <c r="A53" s="869" t="s">
        <v>459</v>
      </c>
      <c r="B53" s="869" t="s">
        <v>1475</v>
      </c>
      <c r="C53" s="889">
        <f>'Expenditures 15-22'!B102</f>
        <v>4000</v>
      </c>
      <c r="D53" s="888" t="str">
        <f>'Expenditures 15-22'!A102</f>
        <v>Total Payments to Other Govt Units</v>
      </c>
      <c r="E53" s="868"/>
      <c r="F53" s="1912">
        <f>'Expenditures 15-22'!K102</f>
        <v>285111</v>
      </c>
      <c r="G53" s="865"/>
    </row>
    <row r="54" spans="1:7" x14ac:dyDescent="0.2">
      <c r="A54" s="869" t="s">
        <v>459</v>
      </c>
      <c r="B54" s="869" t="s">
        <v>1476</v>
      </c>
      <c r="C54" s="889" t="s">
        <v>982</v>
      </c>
      <c r="D54" s="885" t="s">
        <v>1095</v>
      </c>
      <c r="E54" s="868"/>
      <c r="F54" s="1912">
        <f>'Expenditures 15-22'!G114</f>
        <v>111353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2">
        <f>'Expenditures 15-22'!K139</f>
        <v>0</v>
      </c>
      <c r="G57" s="865"/>
    </row>
    <row r="58" spans="1:7" x14ac:dyDescent="0.2">
      <c r="A58" s="869" t="s">
        <v>460</v>
      </c>
      <c r="B58" s="869" t="s">
        <v>1880</v>
      </c>
      <c r="C58" s="886" t="s">
        <v>982</v>
      </c>
      <c r="D58" s="885" t="s">
        <v>1095</v>
      </c>
      <c r="E58" s="868"/>
      <c r="F58" s="1914">
        <f>'Expenditures 15-22'!G151</f>
        <v>0</v>
      </c>
      <c r="G58" s="865"/>
    </row>
    <row r="59" spans="1:7" x14ac:dyDescent="0.2">
      <c r="A59" s="893" t="s">
        <v>460</v>
      </c>
      <c r="B59" s="856" t="s">
        <v>1881</v>
      </c>
      <c r="C59" s="894" t="s">
        <v>982</v>
      </c>
      <c r="D59" s="856" t="s">
        <v>291</v>
      </c>
      <c r="F59" s="1915">
        <f>'Expenditures 15-22'!I151</f>
        <v>0</v>
      </c>
      <c r="G59" s="865"/>
    </row>
    <row r="60" spans="1:7" x14ac:dyDescent="0.2">
      <c r="A60" s="893" t="s">
        <v>499</v>
      </c>
      <c r="B60" s="856" t="s">
        <v>1882</v>
      </c>
      <c r="C60" s="894">
        <v>4000</v>
      </c>
      <c r="D60" s="856" t="s">
        <v>312</v>
      </c>
      <c r="F60" s="1913">
        <f>'Expenditures 15-22'!K160</f>
        <v>0</v>
      </c>
      <c r="G60" s="865"/>
    </row>
    <row r="61" spans="1:7" x14ac:dyDescent="0.2">
      <c r="A61" s="895" t="s">
        <v>499</v>
      </c>
      <c r="B61" s="895" t="s">
        <v>1883</v>
      </c>
      <c r="C61" s="896" t="str">
        <f>'Expenditures 15-22'!B170</f>
        <v>5300</v>
      </c>
      <c r="D61" s="897" t="s">
        <v>311</v>
      </c>
      <c r="E61" s="879"/>
      <c r="F61" s="1912">
        <f>'Expenditures 15-22'!K170</f>
        <v>464966</v>
      </c>
      <c r="G61" s="865"/>
    </row>
    <row r="62" spans="1:7" x14ac:dyDescent="0.2">
      <c r="A62" s="869" t="s">
        <v>461</v>
      </c>
      <c r="B62" s="869" t="s">
        <v>1884</v>
      </c>
      <c r="C62" s="886">
        <f>'Expenditures 15-22'!B185</f>
        <v>3000</v>
      </c>
      <c r="D62" s="876" t="s">
        <v>449</v>
      </c>
      <c r="E62" s="868"/>
      <c r="F62" s="1912">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2">
        <f>'Expenditures 15-22'!K196</f>
        <v>736</v>
      </c>
      <c r="G63" s="865"/>
    </row>
    <row r="64" spans="1:7" x14ac:dyDescent="0.2">
      <c r="A64" s="895" t="s">
        <v>461</v>
      </c>
      <c r="B64" s="895" t="s">
        <v>1886</v>
      </c>
      <c r="C64" s="896" t="str">
        <f>'Expenditures 15-22'!B206</f>
        <v>5300</v>
      </c>
      <c r="D64" s="892" t="s">
        <v>311</v>
      </c>
      <c r="E64" s="868"/>
      <c r="F64" s="1912">
        <f>'Expenditures 15-22'!K206</f>
        <v>0</v>
      </c>
      <c r="G64" s="865"/>
    </row>
    <row r="65" spans="1:8" x14ac:dyDescent="0.2">
      <c r="A65" s="869" t="s">
        <v>461</v>
      </c>
      <c r="B65" s="869" t="s">
        <v>1887</v>
      </c>
      <c r="C65" s="886" t="s">
        <v>982</v>
      </c>
      <c r="D65" s="885" t="s">
        <v>1095</v>
      </c>
      <c r="E65" s="868"/>
      <c r="F65" s="1912">
        <f>'Expenditures 15-22'!G210</f>
        <v>197</v>
      </c>
      <c r="G65" s="865"/>
    </row>
    <row r="66" spans="1:8" x14ac:dyDescent="0.2">
      <c r="A66" s="869" t="s">
        <v>461</v>
      </c>
      <c r="B66" s="869" t="s">
        <v>1888</v>
      </c>
      <c r="C66" s="886" t="s">
        <v>982</v>
      </c>
      <c r="D66" s="885" t="s">
        <v>291</v>
      </c>
      <c r="E66" s="868"/>
      <c r="F66" s="1912">
        <f>'Expenditures 15-22'!I210</f>
        <v>0</v>
      </c>
      <c r="G66" s="865"/>
    </row>
    <row r="67" spans="1:8" x14ac:dyDescent="0.2">
      <c r="A67" s="869" t="s">
        <v>462</v>
      </c>
      <c r="B67" s="869" t="s">
        <v>1889</v>
      </c>
      <c r="C67" s="886" t="str">
        <f>'Expenditures 15-22'!B216</f>
        <v>1125</v>
      </c>
      <c r="D67" s="892" t="str">
        <f>'Expenditures 15-22'!A216</f>
        <v>Pre-K Programs</v>
      </c>
      <c r="E67" s="868"/>
      <c r="F67" s="1912">
        <f>'Expenditures 15-22'!K216</f>
        <v>15431</v>
      </c>
      <c r="G67" s="865"/>
    </row>
    <row r="68" spans="1:8" x14ac:dyDescent="0.2">
      <c r="A68" s="869" t="s">
        <v>462</v>
      </c>
      <c r="B68" s="869" t="s">
        <v>1479</v>
      </c>
      <c r="C68" s="886" t="str">
        <f>'Expenditures 15-22'!B218</f>
        <v>1225</v>
      </c>
      <c r="D68" s="892" t="str">
        <f>'Expenditures 15-22'!A218</f>
        <v>Special Education Programs - Pre-K</v>
      </c>
      <c r="E68" s="868"/>
      <c r="F68" s="1912">
        <f>'Expenditures 15-22'!K218</f>
        <v>269</v>
      </c>
      <c r="G68" s="865"/>
    </row>
    <row r="69" spans="1:8" x14ac:dyDescent="0.2">
      <c r="A69" s="869" t="s">
        <v>462</v>
      </c>
      <c r="B69" s="869" t="s">
        <v>1890</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1891</v>
      </c>
      <c r="C70" s="886">
        <f>'Expenditures 15-22'!B221</f>
        <v>1300</v>
      </c>
      <c r="D70" s="887" t="str">
        <f>'Expenditures 15-22'!A221</f>
        <v>Adult/Continuing Education Programs</v>
      </c>
      <c r="E70" s="868"/>
      <c r="F70" s="1912">
        <f>'Expenditures 15-22'!K221</f>
        <v>0</v>
      </c>
      <c r="G70" s="865"/>
    </row>
    <row r="71" spans="1:8" x14ac:dyDescent="0.2">
      <c r="A71" s="869" t="s">
        <v>462</v>
      </c>
      <c r="B71" s="869" t="s">
        <v>1892</v>
      </c>
      <c r="C71" s="886">
        <f>'Expenditures 15-22'!B224</f>
        <v>1600</v>
      </c>
      <c r="D71" s="887" t="str">
        <f>'Expenditures 15-22'!A224</f>
        <v>Summer School Programs</v>
      </c>
      <c r="E71" s="868"/>
      <c r="F71" s="1912">
        <f>'Expenditures 15-22'!K224</f>
        <v>780</v>
      </c>
      <c r="G71" s="865"/>
    </row>
    <row r="72" spans="1:8" x14ac:dyDescent="0.2">
      <c r="A72" s="869" t="s">
        <v>462</v>
      </c>
      <c r="B72" s="869" t="s">
        <v>1893</v>
      </c>
      <c r="C72" s="886">
        <f>'Expenditures 15-22'!B280</f>
        <v>3000</v>
      </c>
      <c r="D72" s="876" t="s">
        <v>449</v>
      </c>
      <c r="E72" s="868"/>
      <c r="F72" s="1912">
        <f>'Expenditures 15-22'!K280</f>
        <v>39558</v>
      </c>
      <c r="G72" s="865"/>
    </row>
    <row r="73" spans="1:8" x14ac:dyDescent="0.2">
      <c r="A73" s="869" t="s">
        <v>462</v>
      </c>
      <c r="B73" s="869" t="s">
        <v>1894</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1895</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1829327</v>
      </c>
      <c r="G76" s="865"/>
    </row>
    <row r="77" spans="1:8" s="893" customFormat="1" ht="12" customHeight="1" thickTop="1" thickBot="1" x14ac:dyDescent="0.25">
      <c r="A77" s="1779"/>
      <c r="B77" s="1776"/>
      <c r="C77" s="1772"/>
      <c r="D77" s="1777" t="s">
        <v>1897</v>
      </c>
      <c r="E77" s="1774"/>
      <c r="F77" s="1780">
        <f>(F14-F76)</f>
        <v>8153616</v>
      </c>
      <c r="G77" s="869"/>
    </row>
    <row r="78" spans="1:8" s="893" customFormat="1" ht="12" customHeight="1" thickTop="1" x14ac:dyDescent="0.2">
      <c r="A78" s="1781"/>
      <c r="B78" s="1776"/>
      <c r="C78" s="1772"/>
      <c r="D78" s="1777" t="s">
        <v>2059</v>
      </c>
      <c r="E78" s="1774"/>
      <c r="F78" s="898">
        <v>697.47</v>
      </c>
      <c r="G78" s="899"/>
      <c r="H78" s="869"/>
    </row>
    <row r="79" spans="1:8" s="893" customFormat="1" ht="12" customHeight="1" thickBot="1" x14ac:dyDescent="0.25">
      <c r="A79" s="1782"/>
      <c r="B79" s="1776"/>
      <c r="C79" s="1772"/>
      <c r="D79" s="1777" t="s">
        <v>1898</v>
      </c>
      <c r="E79" s="1774" t="s">
        <v>958</v>
      </c>
      <c r="F79" s="1783">
        <f>IF(F78&gt;0,F77/F78," Complete Line 78")</f>
        <v>11690.274850531205</v>
      </c>
      <c r="G79" s="869"/>
    </row>
    <row r="80" spans="1:8" s="893" customFormat="1" ht="8.25" customHeight="1" thickTop="1" x14ac:dyDescent="0.2">
      <c r="A80" s="900"/>
      <c r="B80" s="869"/>
      <c r="C80" s="871"/>
      <c r="D80" s="901"/>
      <c r="E80" s="868"/>
      <c r="F80" s="902"/>
      <c r="G80" s="869"/>
    </row>
    <row r="81" spans="1:7" s="893" customFormat="1" ht="12" thickBot="1" x14ac:dyDescent="0.25">
      <c r="A81" s="2252" t="s">
        <v>1105</v>
      </c>
      <c r="B81" s="2253"/>
      <c r="C81" s="2253"/>
      <c r="D81" s="2253"/>
      <c r="E81" s="2253"/>
      <c r="F81" s="225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2700</v>
      </c>
      <c r="G94" s="912"/>
    </row>
    <row r="95" spans="1:7" x14ac:dyDescent="0.2">
      <c r="A95" s="908" t="s">
        <v>140</v>
      </c>
      <c r="B95" s="908" t="s">
        <v>175</v>
      </c>
      <c r="C95" s="910">
        <v>1700</v>
      </c>
      <c r="D95" s="918" t="str">
        <f>'Revenues 9-14'!A82</f>
        <v>Total District/School Activity Income</v>
      </c>
      <c r="E95" s="906"/>
      <c r="F95" s="1789">
        <f>SUM('Revenues 9-14'!C82,'Revenues 9-14'!D82)</f>
        <v>69228</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29750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34898</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130981</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9705</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171391</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6">
        <f>SUM('Revenues 9-14'!C163:G163)</f>
        <v>0</v>
      </c>
      <c r="G118" s="912"/>
    </row>
    <row r="119" spans="1:7" x14ac:dyDescent="0.2">
      <c r="A119" s="923" t="s">
        <v>504</v>
      </c>
      <c r="B119" s="923" t="s">
        <v>2014</v>
      </c>
      <c r="C119" s="924">
        <f>'Revenues 9-14'!B164</f>
        <v>3815</v>
      </c>
      <c r="D119" s="925" t="str">
        <f>'Revenues 9-14'!A164</f>
        <v>State Charter Schools</v>
      </c>
      <c r="E119" s="906"/>
      <c r="F119" s="1906">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34190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510923</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360685</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9828</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199423</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6">
        <f>SUM('Revenues 9-14'!C258:D258,'Revenues 9-14'!F258,'Revenues 9-14'!G258)</f>
        <v>18223</v>
      </c>
      <c r="G163" s="930"/>
    </row>
    <row r="164" spans="1:7" x14ac:dyDescent="0.2">
      <c r="A164" s="927" t="s">
        <v>668</v>
      </c>
      <c r="B164" s="927" t="s">
        <v>2048</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19455</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76266</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7" t="s">
        <v>5</v>
      </c>
      <c r="B171" s="1918" t="s">
        <v>1917</v>
      </c>
      <c r="C171" s="1919">
        <v>3100</v>
      </c>
      <c r="D171" s="1920" t="s">
        <v>1919</v>
      </c>
      <c r="E171" s="906"/>
      <c r="F171" s="1905"/>
      <c r="G171" s="927"/>
    </row>
    <row r="172" spans="1:7" x14ac:dyDescent="0.2">
      <c r="A172" s="1917" t="s">
        <v>664</v>
      </c>
      <c r="B172" s="1918" t="s">
        <v>1917</v>
      </c>
      <c r="C172" s="1919">
        <v>3300</v>
      </c>
      <c r="D172" s="1920" t="s">
        <v>1920</v>
      </c>
      <c r="E172" s="906"/>
      <c r="F172" s="1905"/>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1677646</v>
      </c>
    </row>
    <row r="175" spans="1:7" ht="12" customHeight="1" x14ac:dyDescent="0.2">
      <c r="A175" s="1770"/>
      <c r="B175" s="1784"/>
      <c r="C175" s="1785"/>
      <c r="D175" s="1786" t="s">
        <v>2054</v>
      </c>
      <c r="E175" s="1787"/>
      <c r="F175" s="1789">
        <f>'PCTC-OEPP 27-28'!F77-F174</f>
        <v>6475970</v>
      </c>
    </row>
    <row r="176" spans="1:7" ht="12" customHeight="1" x14ac:dyDescent="0.2">
      <c r="A176" s="1770"/>
      <c r="B176" s="1784"/>
      <c r="C176" s="1785"/>
      <c r="D176" s="1786" t="s">
        <v>1814</v>
      </c>
      <c r="E176" s="1787"/>
      <c r="F176" s="1789">
        <f>'Cap Outlay Deprec 26'!I18</f>
        <v>531175</v>
      </c>
    </row>
    <row r="177" spans="1:7" ht="12" customHeight="1" x14ac:dyDescent="0.2">
      <c r="A177" s="1770"/>
      <c r="B177" s="1784"/>
      <c r="C177" s="1785"/>
      <c r="D177" s="1786" t="s">
        <v>2055</v>
      </c>
      <c r="E177" s="1787"/>
      <c r="F177" s="1789">
        <f>F175+F176</f>
        <v>7007145</v>
      </c>
    </row>
    <row r="178" spans="1:7" ht="12" customHeight="1" x14ac:dyDescent="0.2">
      <c r="A178" s="1770"/>
      <c r="B178" s="1790"/>
      <c r="C178" s="1785"/>
      <c r="D178" s="1786" t="str">
        <f>D78</f>
        <v>9 Month ADA from District Average Daily Attendance/Prior General State Aid Inquiry 2018-2019</v>
      </c>
      <c r="E178" s="1787"/>
      <c r="F178" s="1791">
        <f>'PCTC-OEPP 27-28'!F78</f>
        <v>697.47</v>
      </c>
      <c r="G178" s="930"/>
    </row>
    <row r="179" spans="1:7" ht="12" customHeight="1" thickBot="1" x14ac:dyDescent="0.25">
      <c r="A179" s="1770"/>
      <c r="B179" s="1790"/>
      <c r="C179" s="1785"/>
      <c r="D179" s="1786" t="s">
        <v>2056</v>
      </c>
      <c r="E179" s="1787" t="s">
        <v>1545</v>
      </c>
      <c r="F179" s="1792">
        <f>F177/F178</f>
        <v>10046.518129812035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9"/>
      <c r="D184" s="930"/>
      <c r="E184" s="949"/>
      <c r="F184" s="930"/>
      <c r="G184" s="930"/>
    </row>
    <row r="185" spans="1:7" x14ac:dyDescent="0.2">
      <c r="A185" s="1925" t="s">
        <v>1922</v>
      </c>
      <c r="B185" s="1926"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customSheetViews>
    <customSheetView guid="{58008B32-E4E8-4E32-8B1E-F6CE50059F4A}" scale="110" colorId="8" showGridLines="0" hiddenRows="1" topLeftCell="B1">
      <pane ySplit="5" topLeftCell="A45" activePane="bottomLeft" state="frozen"/>
      <selection pane="bottomLeft" activeCell="J70" sqref="J70"/>
      <rowBreaks count="1" manualBreakCount="1">
        <brk id="80" max="16383" man="1"/>
      </rowBreaks>
      <pageMargins left="0.75" right="0.75" top="1" bottom="0.5" header="0.5" footer="0.5"/>
      <printOptions horizontalCentered="1"/>
      <pageSetup scale="65" firstPageNumber="27" orientation="portrait" r:id="rId1"/>
      <headerFooter>
        <oddHeader>&amp;C&amp;"Times New Roman,Regular"EAST ALTON ELEMENTARY SCHOOL DISTRICT NO. 13
ESTIMATED OPERATING EXPENSE PER PUPIL/PER CAPITA TUITION CHARGE COMPUTATIONS
FOR THE YEAR ENDED JUNE 30, 2019</oddHeader>
        <oddFooter>&amp;C&amp;"Times New Roman,Regular"See Independent Auditor's Reports
&amp;P</oddFooter>
      </headerFooter>
    </customSheetView>
    <customSheetView guid="{D43C6297-AC1B-41E2-A8C4-03E94593B8FB}" scale="110" colorId="8" showGridLines="0" hiddenRows="1" topLeftCell="B1">
      <pane ySplit="5" topLeftCell="A45" activePane="bottomLeft" state="frozen"/>
      <selection pane="bottomLeft" activeCell="F79" sqref="F79"/>
      <rowBreaks count="1" manualBreakCount="1">
        <brk id="80" max="16383" man="1"/>
      </rowBreaks>
      <pageMargins left="0.75" right="0.75" top="1" bottom="0.5" header="0.5" footer="0.5"/>
      <printOptions horizontalCentered="1"/>
      <pageSetup scale="65" firstPageNumber="27" orientation="portrait" r:id="rId2"/>
      <headerFooter>
        <oddHeader>&amp;C&amp;"Times New Roman,Regular"EAST ALTON ELEMENTARY SCHOOL DISTRICT NO. 13
ESTIMATED OPERATING EXPENSE PER PUPIL/PER CAPITA TUITION CHARGE COMPUTATIONS
FOR THE YEAR ENDED JUNE 30, 2019</oddHeader>
        <oddFooter>&amp;C&amp;"Times New Roman,Regular"See Independent Auditor's Reports
&amp;P</oddFooter>
      </headerFooter>
    </customSheetView>
    <customSheetView guid="{1CEE81F4-A6A8-4CF6-96C8-1AACCC28872D}" scale="110" colorId="8" showGridLines="0" hiddenRows="1" topLeftCell="B1">
      <pane ySplit="5" topLeftCell="A6" activePane="bottomLeft" state="frozen"/>
      <selection pane="bottomLeft" activeCell="F79" sqref="F79"/>
      <rowBreaks count="1" manualBreakCount="1">
        <brk id="80" max="16383" man="1"/>
      </rowBreaks>
      <pageMargins left="0.75" right="0.75" top="1" bottom="0.5" header="0.5" footer="0.5"/>
      <printOptions horizontalCentered="1"/>
      <pageSetup scale="65" firstPageNumber="27" orientation="portrait" r:id="rId3"/>
      <headerFooter>
        <oddHeader>&amp;C&amp;"Times New Roman,Regular"EAST ALTON ELEMENTARY SCHOOL DISTRICT NO. 13
ESTIMATED OPERATING EXPENSE PER PUPIL/PER CAPITA TUITION CHARGE COMPUTATIONS
FOR THE YEAR ENDED JUNE 30, 2019</oddHeader>
        <oddFooter>&amp;C&amp;"Times New Roman,Regular"See Independent Auditor's Reports
&amp;P</oddFooter>
      </headerFooter>
    </customSheetView>
  </customSheetViews>
  <mergeCells count="5">
    <mergeCell ref="A6:F6"/>
    <mergeCell ref="A1:F1"/>
    <mergeCell ref="A81:F81"/>
    <mergeCell ref="A2:F2"/>
    <mergeCell ref="A5:F5"/>
  </mergeCells>
  <phoneticPr fontId="14" type="noConversion"/>
  <hyperlinks>
    <hyperlink ref="B185" r:id="rId4" xr:uid="{00000000-0004-0000-0D00-000000000000}"/>
  </hyperlinks>
  <printOptions horizontalCentered="1"/>
  <pageMargins left="0.75" right="0.75" top="1" bottom="0.5" header="0.5" footer="0.5"/>
  <pageSetup scale="65" firstPageNumber="27" orientation="portrait" r:id="rId5"/>
  <headerFooter>
    <oddHeader>&amp;C&amp;"Times New Roman,Regular"EAST ALTON ELEMENTARY SCHOOL DISTRICT NO. 13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view="pageBreakPreview" zoomScale="60"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6" t="s">
        <v>1815</v>
      </c>
      <c r="B4" s="2267"/>
      <c r="C4" s="2267"/>
      <c r="D4" s="2267"/>
      <c r="E4" s="2267"/>
      <c r="F4" s="2267"/>
      <c r="G4" s="2268"/>
    </row>
    <row r="5" spans="1:7" x14ac:dyDescent="0.25">
      <c r="A5" s="2269"/>
      <c r="B5" s="2270"/>
      <c r="C5" s="2270"/>
      <c r="D5" s="2270"/>
      <c r="E5" s="2270"/>
      <c r="F5" s="2270"/>
      <c r="G5" s="2271"/>
    </row>
    <row r="6" spans="1:7" ht="18.75" x14ac:dyDescent="0.25">
      <c r="A6" s="1534" t="s">
        <v>1816</v>
      </c>
      <c r="B6" s="1535"/>
      <c r="C6" s="1535"/>
      <c r="D6" s="1535"/>
      <c r="E6" s="1535"/>
      <c r="F6" s="1535"/>
      <c r="G6" s="1536"/>
    </row>
    <row r="7" spans="1:7" ht="30.75" customHeight="1" x14ac:dyDescent="0.25">
      <c r="A7" s="2272" t="s">
        <v>1929</v>
      </c>
      <c r="B7" s="2273"/>
      <c r="C7" s="2273"/>
      <c r="D7" s="2273"/>
      <c r="E7" s="2273"/>
      <c r="F7" s="2273"/>
      <c r="G7" s="2274"/>
    </row>
    <row r="8" spans="1:7" ht="15.75" customHeight="1" x14ac:dyDescent="0.25">
      <c r="A8" s="2275" t="s">
        <v>1904</v>
      </c>
      <c r="B8" s="2276"/>
      <c r="C8" s="2276"/>
      <c r="D8" s="2276"/>
      <c r="E8" s="2276"/>
      <c r="F8" s="2276"/>
      <c r="G8" s="2277"/>
    </row>
    <row r="9" spans="1:7" ht="35.25" customHeight="1" x14ac:dyDescent="0.25">
      <c r="A9" s="2272" t="s">
        <v>1932</v>
      </c>
      <c r="B9" s="2273"/>
      <c r="C9" s="2273"/>
      <c r="D9" s="2273"/>
      <c r="E9" s="2273"/>
      <c r="F9" s="2273"/>
      <c r="G9" s="2274"/>
    </row>
    <row r="10" spans="1:7" ht="15" customHeight="1" x14ac:dyDescent="0.25">
      <c r="A10" s="1537" t="s">
        <v>1817</v>
      </c>
      <c r="B10" s="1538"/>
      <c r="C10" s="1538"/>
      <c r="D10" s="1538"/>
      <c r="E10" s="1538"/>
      <c r="F10" s="1538"/>
      <c r="G10" s="1539"/>
    </row>
    <row r="11" spans="1:7" ht="17.25" customHeight="1" x14ac:dyDescent="0.25">
      <c r="A11" s="2272" t="s">
        <v>1931</v>
      </c>
      <c r="B11" s="2273"/>
      <c r="C11" s="2273"/>
      <c r="D11" s="2273"/>
      <c r="E11" s="2273"/>
      <c r="F11" s="2273"/>
      <c r="G11" s="2274"/>
    </row>
    <row r="12" spans="1:7" ht="15" customHeight="1" x14ac:dyDescent="0.25">
      <c r="A12" s="1537" t="s">
        <v>1822</v>
      </c>
      <c r="B12" s="1538"/>
      <c r="C12" s="1538"/>
      <c r="D12" s="1538"/>
      <c r="E12" s="1538"/>
      <c r="F12" s="1538"/>
      <c r="G12" s="1539"/>
    </row>
    <row r="13" spans="1:7" ht="32.25" customHeight="1" x14ac:dyDescent="0.25">
      <c r="A13" s="2263" t="s">
        <v>1973</v>
      </c>
      <c r="B13" s="2264"/>
      <c r="C13" s="2264"/>
      <c r="D13" s="2264"/>
      <c r="E13" s="2264"/>
      <c r="F13" s="2264"/>
      <c r="G13" s="2265"/>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2078</v>
      </c>
      <c r="B17" s="1933"/>
      <c r="C17" s="1656"/>
      <c r="D17" s="1844">
        <v>1</v>
      </c>
      <c r="E17" s="1540">
        <f t="shared" ref="E17:E141" si="0">IF(D17&lt;=25000,D17,IF(D17&gt;25000,25000,0))</f>
        <v>1</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3"/>
      <c r="C18" s="1656"/>
      <c r="D18" s="1844"/>
      <c r="E18" s="1540">
        <f t="shared" ref="E18:E140" si="2">IF(D18&lt;=25000,D18,IF(D18&gt;25000,25000,0))</f>
        <v>0</v>
      </c>
      <c r="F18" s="1931">
        <f t="shared" si="1"/>
        <v>0</v>
      </c>
      <c r="G18" s="1793">
        <f t="shared" ref="G18:G140" si="3">IF(F18=0,0,D18-F18)</f>
        <v>0</v>
      </c>
    </row>
    <row r="19" spans="1:8" x14ac:dyDescent="0.25">
      <c r="A19" s="1653"/>
      <c r="B19" s="1933"/>
      <c r="C19" s="1656"/>
      <c r="D19" s="1844"/>
      <c r="E19" s="1540">
        <f t="shared" si="2"/>
        <v>0</v>
      </c>
      <c r="F19" s="1931">
        <f t="shared" si="1"/>
        <v>0</v>
      </c>
      <c r="G19" s="1793">
        <f t="shared" si="3"/>
        <v>0</v>
      </c>
    </row>
    <row r="20" spans="1:8" x14ac:dyDescent="0.25">
      <c r="A20" s="1653"/>
      <c r="B20" s="1933"/>
      <c r="C20" s="1656"/>
      <c r="D20" s="1844"/>
      <c r="E20" s="1540">
        <f t="shared" si="2"/>
        <v>0</v>
      </c>
      <c r="F20" s="1931">
        <f t="shared" si="1"/>
        <v>0</v>
      </c>
      <c r="G20" s="1793">
        <f t="shared" si="3"/>
        <v>0</v>
      </c>
    </row>
    <row r="21" spans="1:8" x14ac:dyDescent="0.25">
      <c r="A21" s="1653"/>
      <c r="B21" s="1933"/>
      <c r="C21" s="1656"/>
      <c r="D21" s="1844"/>
      <c r="E21" s="1540">
        <f t="shared" si="2"/>
        <v>0</v>
      </c>
      <c r="F21" s="1931">
        <f t="shared" si="1"/>
        <v>0</v>
      </c>
      <c r="G21" s="1793">
        <f t="shared" si="3"/>
        <v>0</v>
      </c>
    </row>
    <row r="22" spans="1:8" x14ac:dyDescent="0.25">
      <c r="A22" s="1653"/>
      <c r="B22" s="1933"/>
      <c r="C22" s="1656"/>
      <c r="D22" s="1844"/>
      <c r="E22" s="1540">
        <f t="shared" si="2"/>
        <v>0</v>
      </c>
      <c r="F22" s="1931">
        <f t="shared" si="1"/>
        <v>0</v>
      </c>
      <c r="G22" s="1793">
        <f t="shared" si="3"/>
        <v>0</v>
      </c>
    </row>
    <row r="23" spans="1:8" x14ac:dyDescent="0.25">
      <c r="A23" s="1653"/>
      <c r="B23" s="1933"/>
      <c r="C23" s="1656"/>
      <c r="D23" s="1844"/>
      <c r="E23" s="1540">
        <f t="shared" si="2"/>
        <v>0</v>
      </c>
      <c r="F23" s="1931">
        <f t="shared" si="1"/>
        <v>0</v>
      </c>
      <c r="G23" s="1793">
        <f t="shared" si="3"/>
        <v>0</v>
      </c>
    </row>
    <row r="24" spans="1:8" x14ac:dyDescent="0.25">
      <c r="A24" s="1653"/>
      <c r="B24" s="1933"/>
      <c r="C24" s="1656"/>
      <c r="D24" s="1844"/>
      <c r="E24" s="1540">
        <f t="shared" si="2"/>
        <v>0</v>
      </c>
      <c r="F24" s="1931">
        <f t="shared" si="1"/>
        <v>0</v>
      </c>
      <c r="G24" s="1793">
        <f t="shared" si="3"/>
        <v>0</v>
      </c>
    </row>
    <row r="25" spans="1:8" x14ac:dyDescent="0.25">
      <c r="A25" s="1653"/>
      <c r="B25" s="1933"/>
      <c r="C25" s="1656"/>
      <c r="D25" s="1844"/>
      <c r="E25" s="1540">
        <f t="shared" si="2"/>
        <v>0</v>
      </c>
      <c r="F25" s="1931">
        <f t="shared" si="1"/>
        <v>0</v>
      </c>
      <c r="G25" s="1793">
        <f t="shared" si="3"/>
        <v>0</v>
      </c>
    </row>
    <row r="26" spans="1:8" x14ac:dyDescent="0.25">
      <c r="A26" s="1653"/>
      <c r="B26" s="1933"/>
      <c r="C26" s="1654"/>
      <c r="D26" s="1844"/>
      <c r="E26" s="1540">
        <f t="shared" si="2"/>
        <v>0</v>
      </c>
      <c r="F26" s="1931">
        <f t="shared" si="1"/>
        <v>0</v>
      </c>
      <c r="G26" s="1793">
        <f t="shared" si="3"/>
        <v>0</v>
      </c>
    </row>
    <row r="27" spans="1:8" x14ac:dyDescent="0.25">
      <c r="A27" s="1653"/>
      <c r="B27" s="1933"/>
      <c r="C27" s="1654"/>
      <c r="D27" s="1844"/>
      <c r="E27" s="1540">
        <f t="shared" si="2"/>
        <v>0</v>
      </c>
      <c r="F27" s="1931">
        <f t="shared" si="1"/>
        <v>0</v>
      </c>
      <c r="G27" s="1793">
        <f t="shared" si="3"/>
        <v>0</v>
      </c>
    </row>
    <row r="28" spans="1:8" x14ac:dyDescent="0.25">
      <c r="A28" s="1653"/>
      <c r="B28" s="1933"/>
      <c r="C28" s="1654"/>
      <c r="D28" s="1844"/>
      <c r="E28" s="1540">
        <f t="shared" si="2"/>
        <v>0</v>
      </c>
      <c r="F28" s="1931">
        <f t="shared" si="1"/>
        <v>0</v>
      </c>
      <c r="G28" s="1793">
        <f t="shared" si="3"/>
        <v>0</v>
      </c>
    </row>
    <row r="29" spans="1:8" x14ac:dyDescent="0.25">
      <c r="A29" s="1653"/>
      <c r="B29" s="1933"/>
      <c r="C29" s="1654"/>
      <c r="D29" s="1844"/>
      <c r="E29" s="1540">
        <f t="shared" si="2"/>
        <v>0</v>
      </c>
      <c r="F29" s="1931">
        <f t="shared" si="1"/>
        <v>0</v>
      </c>
      <c r="G29" s="1793">
        <f t="shared" si="3"/>
        <v>0</v>
      </c>
    </row>
    <row r="30" spans="1:8" x14ac:dyDescent="0.25">
      <c r="A30" s="1653"/>
      <c r="B30" s="1933"/>
      <c r="C30" s="1654"/>
      <c r="D30" s="1844"/>
      <c r="E30" s="1540">
        <f t="shared" si="2"/>
        <v>0</v>
      </c>
      <c r="F30" s="1931">
        <f t="shared" si="1"/>
        <v>0</v>
      </c>
      <c r="G30" s="1793">
        <f t="shared" si="3"/>
        <v>0</v>
      </c>
    </row>
    <row r="31" spans="1:8" x14ac:dyDescent="0.25">
      <c r="A31" s="1653"/>
      <c r="B31" s="1933"/>
      <c r="C31" s="1654"/>
      <c r="D31" s="1844"/>
      <c r="E31" s="1540">
        <f t="shared" si="2"/>
        <v>0</v>
      </c>
      <c r="F31" s="1931">
        <f t="shared" si="1"/>
        <v>0</v>
      </c>
      <c r="G31" s="1793">
        <f t="shared" si="3"/>
        <v>0</v>
      </c>
    </row>
    <row r="32" spans="1:8" x14ac:dyDescent="0.25">
      <c r="A32" s="1653"/>
      <c r="B32" s="1933"/>
      <c r="C32" s="1654"/>
      <c r="D32" s="1844"/>
      <c r="E32" s="1540">
        <f t="shared" si="2"/>
        <v>0</v>
      </c>
      <c r="F32" s="1931">
        <f t="shared" si="1"/>
        <v>0</v>
      </c>
      <c r="G32" s="1793">
        <f t="shared" si="3"/>
        <v>0</v>
      </c>
    </row>
    <row r="33" spans="1:7" x14ac:dyDescent="0.25">
      <c r="A33" s="1653"/>
      <c r="B33" s="1933"/>
      <c r="C33" s="1654"/>
      <c r="D33" s="1844"/>
      <c r="E33" s="1540">
        <f t="shared" si="2"/>
        <v>0</v>
      </c>
      <c r="F33" s="1931">
        <f t="shared" si="1"/>
        <v>0</v>
      </c>
      <c r="G33" s="1793">
        <f t="shared" si="3"/>
        <v>0</v>
      </c>
    </row>
    <row r="34" spans="1:7" x14ac:dyDescent="0.25">
      <c r="A34" s="1653"/>
      <c r="B34" s="1933"/>
      <c r="C34" s="1654"/>
      <c r="D34" s="1844"/>
      <c r="E34" s="1540">
        <f t="shared" si="2"/>
        <v>0</v>
      </c>
      <c r="F34" s="1931">
        <f t="shared" si="1"/>
        <v>0</v>
      </c>
      <c r="G34" s="1793">
        <f t="shared" si="3"/>
        <v>0</v>
      </c>
    </row>
    <row r="35" spans="1:7" x14ac:dyDescent="0.25">
      <c r="A35" s="1653"/>
      <c r="B35" s="1933"/>
      <c r="C35" s="1654"/>
      <c r="D35" s="1844"/>
      <c r="E35" s="1540">
        <f t="shared" si="2"/>
        <v>0</v>
      </c>
      <c r="F35" s="1931">
        <f t="shared" si="1"/>
        <v>0</v>
      </c>
      <c r="G35" s="1793">
        <f t="shared" si="3"/>
        <v>0</v>
      </c>
    </row>
    <row r="36" spans="1:7" x14ac:dyDescent="0.25">
      <c r="A36" s="1653"/>
      <c r="B36" s="1933"/>
      <c r="C36" s="1654"/>
      <c r="D36" s="1844"/>
      <c r="E36" s="1540">
        <f t="shared" si="2"/>
        <v>0</v>
      </c>
      <c r="F36" s="1931">
        <f t="shared" si="1"/>
        <v>0</v>
      </c>
      <c r="G36" s="1793">
        <f t="shared" si="3"/>
        <v>0</v>
      </c>
    </row>
    <row r="37" spans="1:7" x14ac:dyDescent="0.25">
      <c r="A37" s="1653"/>
      <c r="B37" s="1933"/>
      <c r="C37" s="1654"/>
      <c r="D37" s="1844"/>
      <c r="E37" s="1540">
        <f t="shared" si="2"/>
        <v>0</v>
      </c>
      <c r="F37" s="1931">
        <f t="shared" si="1"/>
        <v>0</v>
      </c>
      <c r="G37" s="1793">
        <f t="shared" si="3"/>
        <v>0</v>
      </c>
    </row>
    <row r="38" spans="1:7" x14ac:dyDescent="0.25">
      <c r="A38" s="1653"/>
      <c r="B38" s="1934"/>
      <c r="C38" s="1654"/>
      <c r="D38" s="1844"/>
      <c r="E38" s="1540">
        <f t="shared" si="2"/>
        <v>0</v>
      </c>
      <c r="F38" s="1931">
        <f t="shared" si="1"/>
        <v>0</v>
      </c>
      <c r="G38" s="1793">
        <f t="shared" si="3"/>
        <v>0</v>
      </c>
    </row>
    <row r="39" spans="1:7" x14ac:dyDescent="0.25">
      <c r="A39" s="1653"/>
      <c r="B39" s="1934"/>
      <c r="C39" s="1654"/>
      <c r="D39" s="1844"/>
      <c r="E39" s="1540">
        <f t="shared" si="2"/>
        <v>0</v>
      </c>
      <c r="F39" s="1931">
        <f t="shared" si="1"/>
        <v>0</v>
      </c>
      <c r="G39" s="1793">
        <f t="shared" si="3"/>
        <v>0</v>
      </c>
    </row>
    <row r="40" spans="1:7" x14ac:dyDescent="0.25">
      <c r="A40" s="1653"/>
      <c r="B40" s="1934"/>
      <c r="C40" s="1654"/>
      <c r="D40" s="1844"/>
      <c r="E40" s="1540">
        <f t="shared" si="2"/>
        <v>0</v>
      </c>
      <c r="F40" s="1931">
        <f t="shared" si="1"/>
        <v>0</v>
      </c>
      <c r="G40" s="1793">
        <f t="shared" si="3"/>
        <v>0</v>
      </c>
    </row>
    <row r="41" spans="1:7" x14ac:dyDescent="0.25">
      <c r="A41" s="1653"/>
      <c r="B41" s="1934"/>
      <c r="C41" s="1654"/>
      <c r="D41" s="1844"/>
      <c r="E41" s="1540">
        <f t="shared" si="2"/>
        <v>0</v>
      </c>
      <c r="F41" s="1931">
        <f t="shared" si="1"/>
        <v>0</v>
      </c>
      <c r="G41" s="1793">
        <f t="shared" si="3"/>
        <v>0</v>
      </c>
    </row>
    <row r="42" spans="1:7" x14ac:dyDescent="0.25">
      <c r="A42" s="1653"/>
      <c r="B42" s="1934"/>
      <c r="C42" s="1654"/>
      <c r="D42" s="1844"/>
      <c r="E42" s="1540">
        <f t="shared" si="2"/>
        <v>0</v>
      </c>
      <c r="F42" s="1931">
        <f t="shared" si="1"/>
        <v>0</v>
      </c>
      <c r="G42" s="1793">
        <f t="shared" si="3"/>
        <v>0</v>
      </c>
    </row>
    <row r="43" spans="1:7" x14ac:dyDescent="0.25">
      <c r="A43" s="1653"/>
      <c r="B43" s="1934"/>
      <c r="C43" s="1654"/>
      <c r="D43" s="1844"/>
      <c r="E43" s="1540">
        <f t="shared" si="2"/>
        <v>0</v>
      </c>
      <c r="F43" s="1931">
        <f t="shared" si="1"/>
        <v>0</v>
      </c>
      <c r="G43" s="1793">
        <f t="shared" si="3"/>
        <v>0</v>
      </c>
    </row>
    <row r="44" spans="1:7" x14ac:dyDescent="0.25">
      <c r="A44" s="1653"/>
      <c r="B44" s="1934"/>
      <c r="C44" s="1654"/>
      <c r="D44" s="1844"/>
      <c r="E44" s="1540">
        <f t="shared" si="2"/>
        <v>0</v>
      </c>
      <c r="F44" s="1931">
        <f t="shared" si="1"/>
        <v>0</v>
      </c>
      <c r="G44" s="1793">
        <f t="shared" si="3"/>
        <v>0</v>
      </c>
    </row>
    <row r="45" spans="1:7" x14ac:dyDescent="0.25">
      <c r="A45" s="1653"/>
      <c r="B45" s="1934"/>
      <c r="C45" s="1654"/>
      <c r="D45" s="1844"/>
      <c r="E45" s="1540">
        <f t="shared" si="2"/>
        <v>0</v>
      </c>
      <c r="F45" s="1931">
        <f t="shared" si="1"/>
        <v>0</v>
      </c>
      <c r="G45" s="1793">
        <f t="shared" si="3"/>
        <v>0</v>
      </c>
    </row>
    <row r="46" spans="1:7" x14ac:dyDescent="0.25">
      <c r="A46" s="1653"/>
      <c r="B46" s="1667"/>
      <c r="C46" s="1654"/>
      <c r="D46" s="1844"/>
      <c r="E46" s="1540">
        <f t="shared" si="2"/>
        <v>0</v>
      </c>
      <c r="F46" s="1931">
        <f t="shared" si="1"/>
        <v>0</v>
      </c>
      <c r="G46" s="1793">
        <f t="shared" si="3"/>
        <v>0</v>
      </c>
    </row>
    <row r="47" spans="1:7" x14ac:dyDescent="0.25">
      <c r="A47" s="1653"/>
      <c r="B47" s="1667"/>
      <c r="C47" s="1654"/>
      <c r="D47" s="1844"/>
      <c r="E47" s="1540">
        <f t="shared" si="2"/>
        <v>0</v>
      </c>
      <c r="F47" s="1931">
        <f t="shared" si="1"/>
        <v>0</v>
      </c>
      <c r="G47" s="1793">
        <f t="shared" si="3"/>
        <v>0</v>
      </c>
    </row>
    <row r="48" spans="1:7" x14ac:dyDescent="0.25">
      <c r="A48" s="1653"/>
      <c r="B48" s="1667"/>
      <c r="C48" s="1654"/>
      <c r="D48" s="1844"/>
      <c r="E48" s="1540">
        <f t="shared" si="2"/>
        <v>0</v>
      </c>
      <c r="F48" s="1931">
        <f t="shared" si="1"/>
        <v>0</v>
      </c>
      <c r="G48" s="1793">
        <f t="shared" si="3"/>
        <v>0</v>
      </c>
    </row>
    <row r="49" spans="1:7" x14ac:dyDescent="0.25">
      <c r="A49" s="1653"/>
      <c r="B49" s="1667"/>
      <c r="C49" s="1654"/>
      <c r="D49" s="1844"/>
      <c r="E49" s="1540">
        <f t="shared" si="2"/>
        <v>0</v>
      </c>
      <c r="F49" s="1931">
        <f t="shared" si="1"/>
        <v>0</v>
      </c>
      <c r="G49" s="1793">
        <f t="shared" si="3"/>
        <v>0</v>
      </c>
    </row>
    <row r="50" spans="1:7" x14ac:dyDescent="0.25">
      <c r="A50" s="1653"/>
      <c r="B50" s="1667"/>
      <c r="C50" s="1654"/>
      <c r="D50" s="1844"/>
      <c r="E50" s="1540">
        <f t="shared" si="2"/>
        <v>0</v>
      </c>
      <c r="F50" s="1931">
        <f t="shared" si="1"/>
        <v>0</v>
      </c>
      <c r="G50" s="1793">
        <f t="shared" si="3"/>
        <v>0</v>
      </c>
    </row>
    <row r="51" spans="1:7" x14ac:dyDescent="0.25">
      <c r="A51" s="1653"/>
      <c r="B51" s="1667"/>
      <c r="C51" s="1654"/>
      <c r="D51" s="1844"/>
      <c r="E51" s="1540">
        <f t="shared" si="2"/>
        <v>0</v>
      </c>
      <c r="F51" s="1931">
        <f t="shared" si="1"/>
        <v>0</v>
      </c>
      <c r="G51" s="1793">
        <f t="shared" si="3"/>
        <v>0</v>
      </c>
    </row>
    <row r="52" spans="1:7" x14ac:dyDescent="0.25">
      <c r="A52" s="1653"/>
      <c r="B52" s="1667"/>
      <c r="C52" s="1654"/>
      <c r="D52" s="1844"/>
      <c r="E52" s="1540">
        <f t="shared" si="2"/>
        <v>0</v>
      </c>
      <c r="F52" s="1931">
        <f t="shared" si="1"/>
        <v>0</v>
      </c>
      <c r="G52" s="1793">
        <f t="shared" si="3"/>
        <v>0</v>
      </c>
    </row>
    <row r="53" spans="1:7" x14ac:dyDescent="0.25">
      <c r="A53" s="1653"/>
      <c r="B53" s="1667"/>
      <c r="C53" s="1654"/>
      <c r="D53" s="1844"/>
      <c r="E53" s="1540">
        <f t="shared" si="2"/>
        <v>0</v>
      </c>
      <c r="F53" s="1931">
        <f t="shared" si="1"/>
        <v>0</v>
      </c>
      <c r="G53" s="1793">
        <f t="shared" si="3"/>
        <v>0</v>
      </c>
    </row>
    <row r="54" spans="1:7" x14ac:dyDescent="0.25">
      <c r="A54" s="1653"/>
      <c r="B54" s="1667"/>
      <c r="C54" s="1654"/>
      <c r="D54" s="1844"/>
      <c r="E54" s="1540">
        <f t="shared" si="2"/>
        <v>0</v>
      </c>
      <c r="F54" s="1931">
        <f t="shared" si="1"/>
        <v>0</v>
      </c>
      <c r="G54" s="1793">
        <f t="shared" si="3"/>
        <v>0</v>
      </c>
    </row>
    <row r="55" spans="1:7" x14ac:dyDescent="0.25">
      <c r="A55" s="1653"/>
      <c r="B55" s="1667"/>
      <c r="C55" s="1654"/>
      <c r="D55" s="1844"/>
      <c r="E55" s="1540">
        <f t="shared" si="2"/>
        <v>0</v>
      </c>
      <c r="F55" s="1931">
        <f t="shared" si="1"/>
        <v>0</v>
      </c>
      <c r="G55" s="1793">
        <f t="shared" si="3"/>
        <v>0</v>
      </c>
    </row>
    <row r="56" spans="1:7" x14ac:dyDescent="0.25">
      <c r="A56" s="1653"/>
      <c r="B56" s="1667"/>
      <c r="C56" s="1654"/>
      <c r="D56" s="1844"/>
      <c r="E56" s="1540">
        <f t="shared" si="2"/>
        <v>0</v>
      </c>
      <c r="F56" s="1931">
        <f t="shared" si="1"/>
        <v>0</v>
      </c>
      <c r="G56" s="1793">
        <f t="shared" si="3"/>
        <v>0</v>
      </c>
    </row>
    <row r="57" spans="1:7" x14ac:dyDescent="0.25">
      <c r="A57" s="1653"/>
      <c r="B57" s="1667"/>
      <c r="C57" s="1654"/>
      <c r="D57" s="1844"/>
      <c r="E57" s="1540">
        <f t="shared" si="2"/>
        <v>0</v>
      </c>
      <c r="F57" s="1931">
        <f t="shared" si="1"/>
        <v>0</v>
      </c>
      <c r="G57" s="1793">
        <f t="shared" si="3"/>
        <v>0</v>
      </c>
    </row>
    <row r="58" spans="1:7" x14ac:dyDescent="0.25">
      <c r="A58" s="1653"/>
      <c r="B58" s="1667"/>
      <c r="C58" s="1654"/>
      <c r="D58" s="1844"/>
      <c r="E58" s="1540">
        <f t="shared" si="2"/>
        <v>0</v>
      </c>
      <c r="F58" s="1931">
        <f t="shared" si="1"/>
        <v>0</v>
      </c>
      <c r="G58" s="1793">
        <f t="shared" si="3"/>
        <v>0</v>
      </c>
    </row>
    <row r="59" spans="1:7" x14ac:dyDescent="0.25">
      <c r="A59" s="1653"/>
      <c r="B59" s="1667"/>
      <c r="C59" s="1654"/>
      <c r="D59" s="1844"/>
      <c r="E59" s="1540">
        <f t="shared" si="2"/>
        <v>0</v>
      </c>
      <c r="F59" s="1931">
        <f t="shared" si="1"/>
        <v>0</v>
      </c>
      <c r="G59" s="1793">
        <f t="shared" si="3"/>
        <v>0</v>
      </c>
    </row>
    <row r="60" spans="1:7" x14ac:dyDescent="0.25">
      <c r="A60" s="1653"/>
      <c r="B60" s="1667"/>
      <c r="C60" s="1654"/>
      <c r="D60" s="1844"/>
      <c r="E60" s="1540">
        <f t="shared" si="2"/>
        <v>0</v>
      </c>
      <c r="F60" s="1931">
        <f t="shared" si="1"/>
        <v>0</v>
      </c>
      <c r="G60" s="1793">
        <f t="shared" si="3"/>
        <v>0</v>
      </c>
    </row>
    <row r="61" spans="1:7" x14ac:dyDescent="0.25">
      <c r="A61" s="1653"/>
      <c r="B61" s="1667"/>
      <c r="C61" s="1654"/>
      <c r="D61" s="1844"/>
      <c r="E61" s="1540">
        <f t="shared" si="2"/>
        <v>0</v>
      </c>
      <c r="F61" s="1931">
        <f t="shared" si="1"/>
        <v>0</v>
      </c>
      <c r="G61" s="1793">
        <f t="shared" si="3"/>
        <v>0</v>
      </c>
    </row>
    <row r="62" spans="1:7" x14ac:dyDescent="0.25">
      <c r="A62" s="1653"/>
      <c r="B62" s="1667"/>
      <c r="C62" s="1654"/>
      <c r="D62" s="1844"/>
      <c r="E62" s="1540">
        <f t="shared" si="2"/>
        <v>0</v>
      </c>
      <c r="F62" s="1931">
        <f t="shared" si="1"/>
        <v>0</v>
      </c>
      <c r="G62" s="1793">
        <f t="shared" si="3"/>
        <v>0</v>
      </c>
    </row>
    <row r="63" spans="1:7" x14ac:dyDescent="0.25">
      <c r="A63" s="1653"/>
      <c r="B63" s="1667"/>
      <c r="C63" s="1654"/>
      <c r="D63" s="1844"/>
      <c r="E63" s="1540">
        <f t="shared" si="2"/>
        <v>0</v>
      </c>
      <c r="F63" s="1931">
        <f t="shared" si="1"/>
        <v>0</v>
      </c>
      <c r="G63" s="1793">
        <f t="shared" si="3"/>
        <v>0</v>
      </c>
    </row>
    <row r="64" spans="1:7" x14ac:dyDescent="0.25">
      <c r="A64" s="1655"/>
      <c r="B64" s="1667"/>
      <c r="C64" s="1656"/>
      <c r="D64" s="1844"/>
      <c r="E64" s="1540">
        <f t="shared" si="2"/>
        <v>0</v>
      </c>
      <c r="F64" s="1931">
        <f t="shared" si="1"/>
        <v>0</v>
      </c>
      <c r="G64" s="1793">
        <f t="shared" si="3"/>
        <v>0</v>
      </c>
    </row>
    <row r="65" spans="1:7" x14ac:dyDescent="0.25">
      <c r="A65" s="1653"/>
      <c r="B65" s="1667"/>
      <c r="C65" s="1654"/>
      <c r="D65" s="1844"/>
      <c r="E65" s="1540">
        <f t="shared" si="2"/>
        <v>0</v>
      </c>
      <c r="F65" s="1931">
        <f t="shared" si="1"/>
        <v>0</v>
      </c>
      <c r="G65" s="1793">
        <f t="shared" si="3"/>
        <v>0</v>
      </c>
    </row>
    <row r="66" spans="1:7" x14ac:dyDescent="0.25">
      <c r="A66" s="1653"/>
      <c r="B66" s="1667"/>
      <c r="C66" s="1654"/>
      <c r="D66" s="1844"/>
      <c r="E66" s="1540">
        <f t="shared" si="2"/>
        <v>0</v>
      </c>
      <c r="F66" s="1931">
        <f t="shared" si="1"/>
        <v>0</v>
      </c>
      <c r="G66" s="1793">
        <f t="shared" si="3"/>
        <v>0</v>
      </c>
    </row>
    <row r="67" spans="1:7" x14ac:dyDescent="0.25">
      <c r="A67" s="1653"/>
      <c r="B67" s="1667"/>
      <c r="C67" s="1654"/>
      <c r="D67" s="1844"/>
      <c r="E67" s="1540">
        <f t="shared" si="2"/>
        <v>0</v>
      </c>
      <c r="F67" s="1931">
        <f t="shared" si="1"/>
        <v>0</v>
      </c>
      <c r="G67" s="1793">
        <f t="shared" si="3"/>
        <v>0</v>
      </c>
    </row>
    <row r="68" spans="1:7" x14ac:dyDescent="0.25">
      <c r="A68" s="1653"/>
      <c r="B68" s="1667"/>
      <c r="C68" s="1654"/>
      <c r="D68" s="1844"/>
      <c r="E68" s="1540">
        <f t="shared" si="2"/>
        <v>0</v>
      </c>
      <c r="F68" s="1931">
        <f t="shared" si="1"/>
        <v>0</v>
      </c>
      <c r="G68" s="1793">
        <f t="shared" si="3"/>
        <v>0</v>
      </c>
    </row>
    <row r="69" spans="1:7" x14ac:dyDescent="0.25">
      <c r="A69" s="1653"/>
      <c r="B69" s="1667"/>
      <c r="C69" s="1654"/>
      <c r="D69" s="1844"/>
      <c r="E69" s="1540">
        <f t="shared" si="2"/>
        <v>0</v>
      </c>
      <c r="F69" s="1931">
        <f t="shared" si="1"/>
        <v>0</v>
      </c>
      <c r="G69" s="1793">
        <f t="shared" si="3"/>
        <v>0</v>
      </c>
    </row>
    <row r="70" spans="1:7" x14ac:dyDescent="0.25">
      <c r="A70" s="1653"/>
      <c r="B70" s="1667"/>
      <c r="C70" s="1654"/>
      <c r="D70" s="1844"/>
      <c r="E70" s="1540">
        <f t="shared" si="2"/>
        <v>0</v>
      </c>
      <c r="F70" s="1931">
        <f t="shared" si="1"/>
        <v>0</v>
      </c>
      <c r="G70" s="1793">
        <f t="shared" si="3"/>
        <v>0</v>
      </c>
    </row>
    <row r="71" spans="1:7" x14ac:dyDescent="0.25">
      <c r="A71" s="1653"/>
      <c r="B71" s="1667"/>
      <c r="C71" s="1654"/>
      <c r="D71" s="1844"/>
      <c r="E71" s="1540">
        <f t="shared" si="2"/>
        <v>0</v>
      </c>
      <c r="F71" s="1931">
        <f t="shared" si="1"/>
        <v>0</v>
      </c>
      <c r="G71" s="1793">
        <f t="shared" si="3"/>
        <v>0</v>
      </c>
    </row>
    <row r="72" spans="1:7" x14ac:dyDescent="0.25">
      <c r="A72" s="1653"/>
      <c r="B72" s="1667"/>
      <c r="C72" s="1654"/>
      <c r="D72" s="1844"/>
      <c r="E72" s="1540">
        <f t="shared" si="2"/>
        <v>0</v>
      </c>
      <c r="F72" s="1931">
        <f t="shared" si="1"/>
        <v>0</v>
      </c>
      <c r="G72" s="1793">
        <f t="shared" si="3"/>
        <v>0</v>
      </c>
    </row>
    <row r="73" spans="1:7" x14ac:dyDescent="0.25">
      <c r="A73" s="1653"/>
      <c r="B73" s="1667"/>
      <c r="C73" s="1654"/>
      <c r="D73" s="1844"/>
      <c r="E73" s="1540">
        <f t="shared" ref="E73:E84" si="4">IF(D73&lt;=25000,D73,IF(D73&gt;25000,25000,0))</f>
        <v>0</v>
      </c>
      <c r="F73" s="1931">
        <f t="shared" si="1"/>
        <v>0</v>
      </c>
      <c r="G73" s="1793">
        <f t="shared" ref="G73:G84" si="5">IF(F73=0,0,D73-F73)</f>
        <v>0</v>
      </c>
    </row>
    <row r="74" spans="1:7" x14ac:dyDescent="0.25">
      <c r="A74" s="1653"/>
      <c r="B74" s="1667"/>
      <c r="C74" s="1654"/>
      <c r="D74" s="1844"/>
      <c r="E74" s="1540">
        <f t="shared" si="4"/>
        <v>0</v>
      </c>
      <c r="F74" s="1931">
        <f t="shared" si="1"/>
        <v>0</v>
      </c>
      <c r="G74" s="1793">
        <f t="shared" si="5"/>
        <v>0</v>
      </c>
    </row>
    <row r="75" spans="1:7" x14ac:dyDescent="0.25">
      <c r="A75" s="1653"/>
      <c r="B75" s="1667"/>
      <c r="C75" s="1654"/>
      <c r="D75" s="1844"/>
      <c r="E75" s="1540">
        <f t="shared" si="4"/>
        <v>0</v>
      </c>
      <c r="F75" s="1931">
        <f t="shared" si="1"/>
        <v>0</v>
      </c>
      <c r="G75" s="1793">
        <f t="shared" si="5"/>
        <v>0</v>
      </c>
    </row>
    <row r="76" spans="1:7" x14ac:dyDescent="0.25">
      <c r="A76" s="1653"/>
      <c r="B76" s="1667"/>
      <c r="C76" s="1654"/>
      <c r="D76" s="1844"/>
      <c r="E76" s="1540">
        <f t="shared" si="4"/>
        <v>0</v>
      </c>
      <c r="F76" s="1931">
        <f t="shared" si="1"/>
        <v>0</v>
      </c>
      <c r="G76" s="1793">
        <f t="shared" si="5"/>
        <v>0</v>
      </c>
    </row>
    <row r="77" spans="1:7" x14ac:dyDescent="0.25">
      <c r="A77" s="1653"/>
      <c r="B77" s="1667"/>
      <c r="C77" s="1654"/>
      <c r="D77" s="1844"/>
      <c r="E77" s="1540">
        <f t="shared" si="4"/>
        <v>0</v>
      </c>
      <c r="F77" s="1931">
        <f t="shared" si="1"/>
        <v>0</v>
      </c>
      <c r="G77" s="1793">
        <f t="shared" si="5"/>
        <v>0</v>
      </c>
    </row>
    <row r="78" spans="1:7" x14ac:dyDescent="0.25">
      <c r="A78" s="1653"/>
      <c r="B78" s="1667"/>
      <c r="C78" s="1654"/>
      <c r="D78" s="1844"/>
      <c r="E78" s="1540">
        <f t="shared" si="4"/>
        <v>0</v>
      </c>
      <c r="F78" s="1931">
        <f t="shared" si="1"/>
        <v>0</v>
      </c>
      <c r="G78" s="1793">
        <f t="shared" si="5"/>
        <v>0</v>
      </c>
    </row>
    <row r="79" spans="1:7" x14ac:dyDescent="0.25">
      <c r="A79" s="1653"/>
      <c r="B79" s="1667"/>
      <c r="C79" s="1654"/>
      <c r="D79" s="1844"/>
      <c r="E79" s="1540">
        <f t="shared" si="4"/>
        <v>0</v>
      </c>
      <c r="F79" s="1931">
        <f t="shared" si="1"/>
        <v>0</v>
      </c>
      <c r="G79" s="1793">
        <f t="shared" si="5"/>
        <v>0</v>
      </c>
    </row>
    <row r="80" spans="1:7" x14ac:dyDescent="0.25">
      <c r="A80" s="1653"/>
      <c r="B80" s="1667"/>
      <c r="C80" s="1654"/>
      <c r="D80" s="1844"/>
      <c r="E80" s="1540">
        <f t="shared" si="4"/>
        <v>0</v>
      </c>
      <c r="F80" s="1931">
        <f t="shared" si="1"/>
        <v>0</v>
      </c>
      <c r="G80" s="1793">
        <f t="shared" si="5"/>
        <v>0</v>
      </c>
    </row>
    <row r="81" spans="1:7" x14ac:dyDescent="0.25">
      <c r="A81" s="1653"/>
      <c r="B81" s="1667"/>
      <c r="C81" s="1654"/>
      <c r="D81" s="1844"/>
      <c r="E81" s="1540">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1">
        <f t="shared" si="6"/>
        <v>0</v>
      </c>
      <c r="G82" s="1793">
        <f t="shared" si="5"/>
        <v>0</v>
      </c>
    </row>
    <row r="83" spans="1:7" x14ac:dyDescent="0.25">
      <c r="A83" s="1653"/>
      <c r="B83" s="1667"/>
      <c r="C83" s="1654"/>
      <c r="D83" s="1844"/>
      <c r="E83" s="1540">
        <f t="shared" si="4"/>
        <v>0</v>
      </c>
      <c r="F83" s="1931">
        <f t="shared" si="6"/>
        <v>0</v>
      </c>
      <c r="G83" s="1793">
        <f t="shared" si="5"/>
        <v>0</v>
      </c>
    </row>
    <row r="84" spans="1:7" x14ac:dyDescent="0.25">
      <c r="A84" s="1653"/>
      <c r="B84" s="1667"/>
      <c r="C84" s="1654"/>
      <c r="D84" s="1844"/>
      <c r="E84" s="1540">
        <f t="shared" si="4"/>
        <v>0</v>
      </c>
      <c r="F84" s="1931">
        <f t="shared" si="6"/>
        <v>0</v>
      </c>
      <c r="G84" s="1793">
        <f t="shared" si="5"/>
        <v>0</v>
      </c>
    </row>
    <row r="85" spans="1:7" x14ac:dyDescent="0.25">
      <c r="A85" s="1653"/>
      <c r="B85" s="1667"/>
      <c r="C85" s="1654"/>
      <c r="D85" s="1844"/>
      <c r="E85" s="1540">
        <f t="shared" si="2"/>
        <v>0</v>
      </c>
      <c r="F85" s="1931">
        <f t="shared" si="6"/>
        <v>0</v>
      </c>
      <c r="G85" s="1793">
        <f t="shared" si="3"/>
        <v>0</v>
      </c>
    </row>
    <row r="86" spans="1:7" x14ac:dyDescent="0.25">
      <c r="A86" s="1653"/>
      <c r="B86" s="1667"/>
      <c r="C86" s="1654"/>
      <c r="D86" s="1844"/>
      <c r="E86" s="1540">
        <f t="shared" si="2"/>
        <v>0</v>
      </c>
      <c r="F86" s="1931">
        <f t="shared" si="6"/>
        <v>0</v>
      </c>
      <c r="G86" s="1793">
        <f t="shared" si="3"/>
        <v>0</v>
      </c>
    </row>
    <row r="87" spans="1:7" x14ac:dyDescent="0.25">
      <c r="A87" s="1653"/>
      <c r="B87" s="1667"/>
      <c r="C87" s="1654"/>
      <c r="D87" s="1844"/>
      <c r="E87" s="1540">
        <f t="shared" si="2"/>
        <v>0</v>
      </c>
      <c r="F87" s="1931">
        <f t="shared" si="6"/>
        <v>0</v>
      </c>
      <c r="G87" s="1793">
        <f t="shared" si="3"/>
        <v>0</v>
      </c>
    </row>
    <row r="88" spans="1:7" x14ac:dyDescent="0.25">
      <c r="A88" s="1653"/>
      <c r="B88" s="1667"/>
      <c r="C88" s="1654"/>
      <c r="D88" s="1844"/>
      <c r="E88" s="1540">
        <f t="shared" si="2"/>
        <v>0</v>
      </c>
      <c r="F88" s="1931">
        <f t="shared" si="6"/>
        <v>0</v>
      </c>
      <c r="G88" s="1793">
        <f t="shared" si="3"/>
        <v>0</v>
      </c>
    </row>
    <row r="89" spans="1:7" x14ac:dyDescent="0.25">
      <c r="A89" s="1653"/>
      <c r="B89" s="1667"/>
      <c r="C89" s="1654"/>
      <c r="D89" s="1844"/>
      <c r="E89" s="1540">
        <f t="shared" si="2"/>
        <v>0</v>
      </c>
      <c r="F89" s="1931">
        <f t="shared" si="6"/>
        <v>0</v>
      </c>
      <c r="G89" s="1793">
        <f t="shared" si="3"/>
        <v>0</v>
      </c>
    </row>
    <row r="90" spans="1:7" x14ac:dyDescent="0.25">
      <c r="A90" s="1653"/>
      <c r="B90" s="1667"/>
      <c r="C90" s="1654"/>
      <c r="D90" s="1844"/>
      <c r="E90" s="1540">
        <f t="shared" si="2"/>
        <v>0</v>
      </c>
      <c r="F90" s="1931">
        <f t="shared" si="6"/>
        <v>0</v>
      </c>
      <c r="G90" s="1793">
        <f t="shared" si="3"/>
        <v>0</v>
      </c>
    </row>
    <row r="91" spans="1:7" x14ac:dyDescent="0.25">
      <c r="A91" s="1653"/>
      <c r="B91" s="1667"/>
      <c r="C91" s="1654"/>
      <c r="D91" s="1844"/>
      <c r="E91" s="1540">
        <f t="shared" si="2"/>
        <v>0</v>
      </c>
      <c r="F91" s="1931">
        <f t="shared" si="6"/>
        <v>0</v>
      </c>
      <c r="G91" s="1793">
        <f t="shared" si="3"/>
        <v>0</v>
      </c>
    </row>
    <row r="92" spans="1:7" x14ac:dyDescent="0.25">
      <c r="A92" s="1653"/>
      <c r="B92" s="1667"/>
      <c r="C92" s="1654"/>
      <c r="D92" s="1844"/>
      <c r="E92" s="1540">
        <f t="shared" si="2"/>
        <v>0</v>
      </c>
      <c r="F92" s="1931">
        <f t="shared" si="6"/>
        <v>0</v>
      </c>
      <c r="G92" s="1793">
        <f t="shared" si="3"/>
        <v>0</v>
      </c>
    </row>
    <row r="93" spans="1:7" x14ac:dyDescent="0.25">
      <c r="A93" s="1653"/>
      <c r="B93" s="1667"/>
      <c r="C93" s="1654"/>
      <c r="D93" s="1844"/>
      <c r="E93" s="1540">
        <f t="shared" ref="E93" si="7">IF(D93&lt;=25000,D93,IF(D93&gt;25000,25000,0))</f>
        <v>0</v>
      </c>
      <c r="F93" s="1931">
        <f t="shared" si="6"/>
        <v>0</v>
      </c>
      <c r="G93" s="1793">
        <f t="shared" ref="G93" si="8">IF(F93=0,0,D93-F93)</f>
        <v>0</v>
      </c>
    </row>
    <row r="94" spans="1:7" x14ac:dyDescent="0.25">
      <c r="A94" s="1653"/>
      <c r="B94" s="1667"/>
      <c r="C94" s="1654"/>
      <c r="D94" s="1844"/>
      <c r="E94" s="1540">
        <f t="shared" si="2"/>
        <v>0</v>
      </c>
      <c r="F94" s="1931">
        <f t="shared" si="6"/>
        <v>0</v>
      </c>
      <c r="G94" s="1793">
        <f t="shared" si="3"/>
        <v>0</v>
      </c>
    </row>
    <row r="95" spans="1:7" x14ac:dyDescent="0.25">
      <c r="A95" s="1653"/>
      <c r="B95" s="1667"/>
      <c r="C95" s="1654"/>
      <c r="D95" s="1844"/>
      <c r="E95" s="1540">
        <f t="shared" ref="E95:E98" si="9">IF(D95&lt;=25000,D95,IF(D95&gt;25000,25000,0))</f>
        <v>0</v>
      </c>
      <c r="F95" s="1931">
        <f t="shared" si="6"/>
        <v>0</v>
      </c>
      <c r="G95" s="1793">
        <f t="shared" ref="G95:G98" si="10">IF(F95=0,0,D95-F95)</f>
        <v>0</v>
      </c>
    </row>
    <row r="96" spans="1:7" x14ac:dyDescent="0.25">
      <c r="A96" s="1653"/>
      <c r="B96" s="1667"/>
      <c r="C96" s="1654"/>
      <c r="D96" s="1844"/>
      <c r="E96" s="1540">
        <f t="shared" si="9"/>
        <v>0</v>
      </c>
      <c r="F96" s="1931">
        <f t="shared" si="6"/>
        <v>0</v>
      </c>
      <c r="G96" s="1793">
        <f t="shared" si="10"/>
        <v>0</v>
      </c>
    </row>
    <row r="97" spans="1:7" x14ac:dyDescent="0.25">
      <c r="A97" s="1653"/>
      <c r="B97" s="1667"/>
      <c r="C97" s="1654"/>
      <c r="D97" s="1844"/>
      <c r="E97" s="1540">
        <f t="shared" si="9"/>
        <v>0</v>
      </c>
      <c r="F97" s="1931">
        <f t="shared" si="6"/>
        <v>0</v>
      </c>
      <c r="G97" s="1793">
        <f t="shared" si="10"/>
        <v>0</v>
      </c>
    </row>
    <row r="98" spans="1:7" x14ac:dyDescent="0.25">
      <c r="A98" s="1653"/>
      <c r="B98" s="1667"/>
      <c r="C98" s="1654"/>
      <c r="D98" s="1844"/>
      <c r="E98" s="1540">
        <f t="shared" si="9"/>
        <v>0</v>
      </c>
      <c r="F98" s="1931">
        <f t="shared" si="6"/>
        <v>0</v>
      </c>
      <c r="G98" s="1793">
        <f t="shared" si="10"/>
        <v>0</v>
      </c>
    </row>
    <row r="99" spans="1:7" x14ac:dyDescent="0.25">
      <c r="A99" s="1653"/>
      <c r="B99" s="1667"/>
      <c r="C99" s="1654"/>
      <c r="D99" s="1844"/>
      <c r="E99" s="1540">
        <f t="shared" ref="E99" si="11">IF(D99&lt;=25000,D99,IF(D99&gt;25000,25000,0))</f>
        <v>0</v>
      </c>
      <c r="F99" s="1931">
        <f t="shared" si="6"/>
        <v>0</v>
      </c>
      <c r="G99" s="1793">
        <f t="shared" ref="G99" si="12">IF(F99=0,0,D99-F99)</f>
        <v>0</v>
      </c>
    </row>
    <row r="100" spans="1:7" x14ac:dyDescent="0.25">
      <c r="A100" s="1653"/>
      <c r="B100" s="1667"/>
      <c r="C100" s="1654"/>
      <c r="D100" s="1844"/>
      <c r="E100" s="1540">
        <f t="shared" ref="E100:E112" si="13">IF(D100&lt;=25000,D100,IF(D100&gt;25000,25000,0))</f>
        <v>0</v>
      </c>
      <c r="F100" s="1931">
        <f t="shared" si="6"/>
        <v>0</v>
      </c>
      <c r="G100" s="1793">
        <f t="shared" ref="G100:G112" si="14">IF(F100=0,0,D100-F100)</f>
        <v>0</v>
      </c>
    </row>
    <row r="101" spans="1:7" x14ac:dyDescent="0.25">
      <c r="A101" s="1653"/>
      <c r="B101" s="1667"/>
      <c r="C101" s="1654"/>
      <c r="D101" s="1844"/>
      <c r="E101" s="1540">
        <f t="shared" si="13"/>
        <v>0</v>
      </c>
      <c r="F101" s="1931">
        <f t="shared" si="6"/>
        <v>0</v>
      </c>
      <c r="G101" s="1793">
        <f t="shared" si="14"/>
        <v>0</v>
      </c>
    </row>
    <row r="102" spans="1:7" x14ac:dyDescent="0.25">
      <c r="A102" s="1653"/>
      <c r="B102" s="1667"/>
      <c r="C102" s="1654"/>
      <c r="D102" s="1844"/>
      <c r="E102" s="1540">
        <f t="shared" si="13"/>
        <v>0</v>
      </c>
      <c r="F102" s="1931">
        <f t="shared" si="6"/>
        <v>0</v>
      </c>
      <c r="G102" s="1793">
        <f t="shared" si="14"/>
        <v>0</v>
      </c>
    </row>
    <row r="103" spans="1:7" x14ac:dyDescent="0.25">
      <c r="A103" s="1653"/>
      <c r="B103" s="1667"/>
      <c r="C103" s="1654"/>
      <c r="D103" s="1844"/>
      <c r="E103" s="1540">
        <f t="shared" si="13"/>
        <v>0</v>
      </c>
      <c r="F103" s="1931">
        <f t="shared" si="6"/>
        <v>0</v>
      </c>
      <c r="G103" s="1793">
        <f t="shared" si="14"/>
        <v>0</v>
      </c>
    </row>
    <row r="104" spans="1:7" x14ac:dyDescent="0.25">
      <c r="A104" s="1653"/>
      <c r="B104" s="1667"/>
      <c r="C104" s="1654"/>
      <c r="D104" s="1844"/>
      <c r="E104" s="1540">
        <f t="shared" si="13"/>
        <v>0</v>
      </c>
      <c r="F104" s="1931">
        <f t="shared" si="6"/>
        <v>0</v>
      </c>
      <c r="G104" s="1793">
        <f t="shared" si="14"/>
        <v>0</v>
      </c>
    </row>
    <row r="105" spans="1:7" x14ac:dyDescent="0.25">
      <c r="A105" s="1653"/>
      <c r="B105" s="1667"/>
      <c r="C105" s="1654"/>
      <c r="D105" s="1844"/>
      <c r="E105" s="1540">
        <f t="shared" si="13"/>
        <v>0</v>
      </c>
      <c r="F105" s="1931">
        <f t="shared" si="6"/>
        <v>0</v>
      </c>
      <c r="G105" s="1793">
        <f t="shared" si="14"/>
        <v>0</v>
      </c>
    </row>
    <row r="106" spans="1:7" x14ac:dyDescent="0.25">
      <c r="A106" s="1653"/>
      <c r="B106" s="1667"/>
      <c r="C106" s="1654"/>
      <c r="D106" s="1844"/>
      <c r="E106" s="1540">
        <f t="shared" si="13"/>
        <v>0</v>
      </c>
      <c r="F106" s="1931">
        <f t="shared" si="6"/>
        <v>0</v>
      </c>
      <c r="G106" s="1793">
        <f t="shared" si="14"/>
        <v>0</v>
      </c>
    </row>
    <row r="107" spans="1:7" x14ac:dyDescent="0.25">
      <c r="A107" s="1653"/>
      <c r="B107" s="1667"/>
      <c r="C107" s="1654"/>
      <c r="D107" s="1844"/>
      <c r="E107" s="1540">
        <f t="shared" si="13"/>
        <v>0</v>
      </c>
      <c r="F107" s="1931">
        <f t="shared" si="6"/>
        <v>0</v>
      </c>
      <c r="G107" s="1793">
        <f t="shared" si="14"/>
        <v>0</v>
      </c>
    </row>
    <row r="108" spans="1:7" x14ac:dyDescent="0.25">
      <c r="A108" s="1653"/>
      <c r="B108" s="1667"/>
      <c r="C108" s="1654"/>
      <c r="D108" s="1844"/>
      <c r="E108" s="1540">
        <f t="shared" si="13"/>
        <v>0</v>
      </c>
      <c r="F108" s="1931">
        <f t="shared" si="6"/>
        <v>0</v>
      </c>
      <c r="G108" s="1793">
        <f t="shared" si="14"/>
        <v>0</v>
      </c>
    </row>
    <row r="109" spans="1:7" x14ac:dyDescent="0.25">
      <c r="A109" s="1653"/>
      <c r="B109" s="1667"/>
      <c r="C109" s="1654"/>
      <c r="D109" s="1844"/>
      <c r="E109" s="1540">
        <f t="shared" si="13"/>
        <v>0</v>
      </c>
      <c r="F109" s="1931">
        <f t="shared" si="6"/>
        <v>0</v>
      </c>
      <c r="G109" s="1793">
        <f t="shared" si="14"/>
        <v>0</v>
      </c>
    </row>
    <row r="110" spans="1:7" x14ac:dyDescent="0.25">
      <c r="A110" s="1653"/>
      <c r="B110" s="1667"/>
      <c r="C110" s="1654"/>
      <c r="D110" s="1844"/>
      <c r="E110" s="1540">
        <f t="shared" si="13"/>
        <v>0</v>
      </c>
      <c r="F110" s="1931">
        <f t="shared" si="6"/>
        <v>0</v>
      </c>
      <c r="G110" s="1793">
        <f t="shared" si="14"/>
        <v>0</v>
      </c>
    </row>
    <row r="111" spans="1:7" x14ac:dyDescent="0.25">
      <c r="A111" s="1653"/>
      <c r="B111" s="1667"/>
      <c r="C111" s="1654"/>
      <c r="D111" s="1844"/>
      <c r="E111" s="1540">
        <f t="shared" si="13"/>
        <v>0</v>
      </c>
      <c r="F111" s="1931">
        <f t="shared" si="6"/>
        <v>0</v>
      </c>
      <c r="G111" s="1793">
        <f t="shared" si="14"/>
        <v>0</v>
      </c>
    </row>
    <row r="112" spans="1:7" x14ac:dyDescent="0.25">
      <c r="A112" s="1653"/>
      <c r="B112" s="1667"/>
      <c r="C112" s="1654"/>
      <c r="D112" s="1844"/>
      <c r="E112" s="1540">
        <f t="shared" si="13"/>
        <v>0</v>
      </c>
      <c r="F112" s="1931">
        <f t="shared" si="6"/>
        <v>0</v>
      </c>
      <c r="G112" s="1793">
        <f t="shared" si="14"/>
        <v>0</v>
      </c>
    </row>
    <row r="113" spans="1:7" x14ac:dyDescent="0.25">
      <c r="A113" s="1653"/>
      <c r="B113" s="1667"/>
      <c r="C113" s="1654"/>
      <c r="D113" s="1844"/>
      <c r="E113" s="1540">
        <f t="shared" ref="E113:E125" si="15">IF(D113&lt;=25000,D113,IF(D113&gt;25000,25000,0))</f>
        <v>0</v>
      </c>
      <c r="F113" s="1931">
        <f t="shared" si="6"/>
        <v>0</v>
      </c>
      <c r="G113" s="1793">
        <f t="shared" ref="G113:G125" si="16">IF(F113=0,0,D113-F113)</f>
        <v>0</v>
      </c>
    </row>
    <row r="114" spans="1:7" x14ac:dyDescent="0.25">
      <c r="A114" s="1653"/>
      <c r="B114" s="1667"/>
      <c r="C114" s="1654"/>
      <c r="D114" s="1844"/>
      <c r="E114" s="1540">
        <f t="shared" si="15"/>
        <v>0</v>
      </c>
      <c r="F114" s="1931">
        <f t="shared" si="6"/>
        <v>0</v>
      </c>
      <c r="G114" s="1793">
        <f t="shared" si="16"/>
        <v>0</v>
      </c>
    </row>
    <row r="115" spans="1:7" x14ac:dyDescent="0.25">
      <c r="A115" s="1653"/>
      <c r="B115" s="1667"/>
      <c r="C115" s="1654"/>
      <c r="D115" s="1844"/>
      <c r="E115" s="1540">
        <f t="shared" si="15"/>
        <v>0</v>
      </c>
      <c r="F115" s="1931">
        <f t="shared" si="6"/>
        <v>0</v>
      </c>
      <c r="G115" s="1793">
        <f t="shared" si="16"/>
        <v>0</v>
      </c>
    </row>
    <row r="116" spans="1:7" x14ac:dyDescent="0.25">
      <c r="A116" s="1653"/>
      <c r="B116" s="1667"/>
      <c r="C116" s="1654"/>
      <c r="D116" s="1844"/>
      <c r="E116" s="1540">
        <f t="shared" si="15"/>
        <v>0</v>
      </c>
      <c r="F116" s="1931">
        <f t="shared" si="6"/>
        <v>0</v>
      </c>
      <c r="G116" s="1793">
        <f t="shared" si="16"/>
        <v>0</v>
      </c>
    </row>
    <row r="117" spans="1:7" x14ac:dyDescent="0.25">
      <c r="A117" s="1653"/>
      <c r="B117" s="1667"/>
      <c r="C117" s="1654"/>
      <c r="D117" s="1844"/>
      <c r="E117" s="1540">
        <f t="shared" si="15"/>
        <v>0</v>
      </c>
      <c r="F117" s="1931">
        <f t="shared" si="6"/>
        <v>0</v>
      </c>
      <c r="G117" s="1793">
        <f t="shared" si="16"/>
        <v>0</v>
      </c>
    </row>
    <row r="118" spans="1:7" x14ac:dyDescent="0.25">
      <c r="A118" s="1653"/>
      <c r="B118" s="1667"/>
      <c r="C118" s="1654"/>
      <c r="D118" s="1844"/>
      <c r="E118" s="1540">
        <f t="shared" si="15"/>
        <v>0</v>
      </c>
      <c r="F118" s="1931">
        <f t="shared" si="6"/>
        <v>0</v>
      </c>
      <c r="G118" s="1793">
        <f t="shared" si="16"/>
        <v>0</v>
      </c>
    </row>
    <row r="119" spans="1:7" x14ac:dyDescent="0.25">
      <c r="A119" s="1653"/>
      <c r="B119" s="1667"/>
      <c r="C119" s="1654"/>
      <c r="D119" s="1844"/>
      <c r="E119" s="1540">
        <f t="shared" si="15"/>
        <v>0</v>
      </c>
      <c r="F119" s="1931">
        <f t="shared" si="6"/>
        <v>0</v>
      </c>
      <c r="G119" s="1793">
        <f t="shared" si="16"/>
        <v>0</v>
      </c>
    </row>
    <row r="120" spans="1:7" x14ac:dyDescent="0.25">
      <c r="A120" s="1653"/>
      <c r="B120" s="1667"/>
      <c r="C120" s="1654"/>
      <c r="D120" s="1844"/>
      <c r="E120" s="1540">
        <f t="shared" si="15"/>
        <v>0</v>
      </c>
      <c r="F120" s="1931">
        <f t="shared" si="6"/>
        <v>0</v>
      </c>
      <c r="G120" s="1793">
        <f t="shared" si="16"/>
        <v>0</v>
      </c>
    </row>
    <row r="121" spans="1:7" x14ac:dyDescent="0.25">
      <c r="A121" s="1653"/>
      <c r="B121" s="1667"/>
      <c r="C121" s="1654"/>
      <c r="D121" s="1844"/>
      <c r="E121" s="1540">
        <f t="shared" si="15"/>
        <v>0</v>
      </c>
      <c r="F121" s="1931">
        <f t="shared" si="6"/>
        <v>0</v>
      </c>
      <c r="G121" s="1793">
        <f t="shared" si="16"/>
        <v>0</v>
      </c>
    </row>
    <row r="122" spans="1:7" x14ac:dyDescent="0.25">
      <c r="A122" s="1653"/>
      <c r="B122" s="1667"/>
      <c r="C122" s="1654"/>
      <c r="D122" s="1844"/>
      <c r="E122" s="1540">
        <f t="shared" si="15"/>
        <v>0</v>
      </c>
      <c r="F122" s="1931">
        <f t="shared" si="6"/>
        <v>0</v>
      </c>
      <c r="G122" s="1793">
        <f t="shared" si="16"/>
        <v>0</v>
      </c>
    </row>
    <row r="123" spans="1:7" x14ac:dyDescent="0.25">
      <c r="A123" s="1653"/>
      <c r="B123" s="1667"/>
      <c r="C123" s="1654"/>
      <c r="D123" s="1844"/>
      <c r="E123" s="1540">
        <f t="shared" si="15"/>
        <v>0</v>
      </c>
      <c r="F123" s="1931">
        <f t="shared" si="6"/>
        <v>0</v>
      </c>
      <c r="G123" s="1793">
        <f t="shared" si="16"/>
        <v>0</v>
      </c>
    </row>
    <row r="124" spans="1:7" x14ac:dyDescent="0.25">
      <c r="A124" s="1653"/>
      <c r="B124" s="1667"/>
      <c r="C124" s="1654"/>
      <c r="D124" s="1844"/>
      <c r="E124" s="1540">
        <f t="shared" si="15"/>
        <v>0</v>
      </c>
      <c r="F124" s="1931">
        <f t="shared" si="6"/>
        <v>0</v>
      </c>
      <c r="G124" s="1793">
        <f t="shared" si="16"/>
        <v>0</v>
      </c>
    </row>
    <row r="125" spans="1:7" x14ac:dyDescent="0.25">
      <c r="A125" s="1653"/>
      <c r="B125" s="1667"/>
      <c r="C125" s="1654"/>
      <c r="D125" s="1844"/>
      <c r="E125" s="1540">
        <f t="shared" si="15"/>
        <v>0</v>
      </c>
      <c r="F125" s="1931">
        <f t="shared" si="6"/>
        <v>0</v>
      </c>
      <c r="G125" s="1793">
        <f t="shared" si="16"/>
        <v>0</v>
      </c>
    </row>
    <row r="126" spans="1:7" x14ac:dyDescent="0.25">
      <c r="A126" s="1653"/>
      <c r="B126" s="1667"/>
      <c r="C126" s="1654"/>
      <c r="D126" s="1844"/>
      <c r="E126" s="1540">
        <f t="shared" ref="E126:E134" si="17">IF(D126&lt;=25000,D126,IF(D126&gt;25000,25000,0))</f>
        <v>0</v>
      </c>
      <c r="F126" s="1931">
        <f t="shared" si="6"/>
        <v>0</v>
      </c>
      <c r="G126" s="1793">
        <f t="shared" ref="G126:G134" si="18">IF(F126=0,0,D126-F126)</f>
        <v>0</v>
      </c>
    </row>
    <row r="127" spans="1:7" x14ac:dyDescent="0.25">
      <c r="A127" s="1653"/>
      <c r="B127" s="1667"/>
      <c r="C127" s="1654"/>
      <c r="D127" s="1844"/>
      <c r="E127" s="1540">
        <f t="shared" si="17"/>
        <v>0</v>
      </c>
      <c r="F127" s="1931">
        <f t="shared" si="6"/>
        <v>0</v>
      </c>
      <c r="G127" s="1793">
        <f t="shared" si="18"/>
        <v>0</v>
      </c>
    </row>
    <row r="128" spans="1:7" x14ac:dyDescent="0.25">
      <c r="A128" s="1653"/>
      <c r="B128" s="1667"/>
      <c r="C128" s="1654"/>
      <c r="D128" s="1844"/>
      <c r="E128" s="1540">
        <f t="shared" si="17"/>
        <v>0</v>
      </c>
      <c r="F128" s="1931">
        <f t="shared" si="6"/>
        <v>0</v>
      </c>
      <c r="G128" s="1793">
        <f t="shared" si="18"/>
        <v>0</v>
      </c>
    </row>
    <row r="129" spans="1:7" x14ac:dyDescent="0.25">
      <c r="A129" s="1653"/>
      <c r="B129" s="1667"/>
      <c r="C129" s="1654"/>
      <c r="D129" s="1844"/>
      <c r="E129" s="1540">
        <f t="shared" si="17"/>
        <v>0</v>
      </c>
      <c r="F129" s="1931">
        <f t="shared" si="6"/>
        <v>0</v>
      </c>
      <c r="G129" s="1793">
        <f t="shared" si="18"/>
        <v>0</v>
      </c>
    </row>
    <row r="130" spans="1:7" x14ac:dyDescent="0.25">
      <c r="A130" s="1653"/>
      <c r="B130" s="1667"/>
      <c r="C130" s="1654"/>
      <c r="D130" s="1844"/>
      <c r="E130" s="1540">
        <f t="shared" si="17"/>
        <v>0</v>
      </c>
      <c r="F130" s="1931">
        <f t="shared" si="6"/>
        <v>0</v>
      </c>
      <c r="G130" s="1793">
        <f t="shared" si="18"/>
        <v>0</v>
      </c>
    </row>
    <row r="131" spans="1:7" x14ac:dyDescent="0.25">
      <c r="A131" s="1653"/>
      <c r="B131" s="1837"/>
      <c r="C131" s="1654"/>
      <c r="D131" s="1844"/>
      <c r="E131" s="1540">
        <f t="shared" si="17"/>
        <v>0</v>
      </c>
      <c r="F131" s="1931">
        <f t="shared" si="6"/>
        <v>0</v>
      </c>
      <c r="G131" s="1793">
        <f t="shared" si="18"/>
        <v>0</v>
      </c>
    </row>
    <row r="132" spans="1:7" x14ac:dyDescent="0.25">
      <c r="A132" s="1653"/>
      <c r="B132" s="1837"/>
      <c r="C132" s="1654"/>
      <c r="D132" s="1844"/>
      <c r="E132" s="1540">
        <f t="shared" si="17"/>
        <v>0</v>
      </c>
      <c r="F132" s="1931">
        <f t="shared" si="6"/>
        <v>0</v>
      </c>
      <c r="G132" s="1793">
        <f t="shared" si="18"/>
        <v>0</v>
      </c>
    </row>
    <row r="133" spans="1:7" x14ac:dyDescent="0.25">
      <c r="A133" s="1653"/>
      <c r="B133" s="1667"/>
      <c r="C133" s="1654"/>
      <c r="D133" s="1844"/>
      <c r="E133" s="1540">
        <f t="shared" si="17"/>
        <v>0</v>
      </c>
      <c r="F133" s="1931">
        <f t="shared" si="6"/>
        <v>0</v>
      </c>
      <c r="G133" s="1793">
        <f t="shared" si="18"/>
        <v>0</v>
      </c>
    </row>
    <row r="134" spans="1:7" x14ac:dyDescent="0.25">
      <c r="A134" s="1653"/>
      <c r="B134" s="1667"/>
      <c r="C134" s="1654"/>
      <c r="D134" s="1844"/>
      <c r="E134" s="1540">
        <f t="shared" si="17"/>
        <v>0</v>
      </c>
      <c r="F134" s="1931">
        <f t="shared" si="6"/>
        <v>0</v>
      </c>
      <c r="G134" s="1793">
        <f t="shared" si="18"/>
        <v>0</v>
      </c>
    </row>
    <row r="135" spans="1:7" x14ac:dyDescent="0.25">
      <c r="A135" s="1653"/>
      <c r="B135" s="1667"/>
      <c r="C135" s="1654"/>
      <c r="D135" s="1844"/>
      <c r="E135" s="1540">
        <f t="shared" ref="E135:E139" si="19">IF(D135&lt;=25000,D135,IF(D135&gt;25000,25000,0))</f>
        <v>0</v>
      </c>
      <c r="F135" s="1931">
        <f t="shared" si="6"/>
        <v>0</v>
      </c>
      <c r="G135" s="1793">
        <f t="shared" ref="G135:G139" si="20">IF(F135=0,0,D135-F135)</f>
        <v>0</v>
      </c>
    </row>
    <row r="136" spans="1:7" x14ac:dyDescent="0.25">
      <c r="A136" s="1653"/>
      <c r="B136" s="1667"/>
      <c r="C136" s="1654"/>
      <c r="D136" s="1844"/>
      <c r="E136" s="1540">
        <f t="shared" si="19"/>
        <v>0</v>
      </c>
      <c r="F136" s="1931">
        <f t="shared" si="6"/>
        <v>0</v>
      </c>
      <c r="G136" s="1793">
        <f t="shared" si="20"/>
        <v>0</v>
      </c>
    </row>
    <row r="137" spans="1:7" x14ac:dyDescent="0.25">
      <c r="A137" s="1653"/>
      <c r="B137" s="1667"/>
      <c r="C137" s="1654"/>
      <c r="D137" s="1844"/>
      <c r="E137" s="1540">
        <f t="shared" si="19"/>
        <v>0</v>
      </c>
      <c r="F137" s="1931">
        <f t="shared" si="6"/>
        <v>0</v>
      </c>
      <c r="G137" s="1793">
        <f t="shared" si="20"/>
        <v>0</v>
      </c>
    </row>
    <row r="138" spans="1:7" x14ac:dyDescent="0.25">
      <c r="A138" s="1653"/>
      <c r="B138" s="1667"/>
      <c r="C138" s="1654"/>
      <c r="D138" s="1844"/>
      <c r="E138" s="1540">
        <f t="shared" si="19"/>
        <v>0</v>
      </c>
      <c r="F138" s="1931">
        <f t="shared" si="6"/>
        <v>0</v>
      </c>
      <c r="G138" s="1793">
        <f t="shared" si="20"/>
        <v>0</v>
      </c>
    </row>
    <row r="139" spans="1:7" x14ac:dyDescent="0.25">
      <c r="A139" s="1653"/>
      <c r="B139" s="1667"/>
      <c r="C139" s="1654"/>
      <c r="D139" s="1844"/>
      <c r="E139" s="1540">
        <f t="shared" si="19"/>
        <v>0</v>
      </c>
      <c r="F139" s="1931">
        <f t="shared" si="6"/>
        <v>0</v>
      </c>
      <c r="G139" s="1793">
        <f t="shared" si="20"/>
        <v>0</v>
      </c>
    </row>
    <row r="140" spans="1:7" x14ac:dyDescent="0.25">
      <c r="A140" s="1653"/>
      <c r="B140" s="1666"/>
      <c r="C140" s="1654"/>
      <c r="D140" s="1844"/>
      <c r="E140" s="1540">
        <f t="shared" si="2"/>
        <v>0</v>
      </c>
      <c r="F140" s="1931">
        <f t="shared" si="6"/>
        <v>0</v>
      </c>
      <c r="G140" s="1793">
        <f t="shared" si="3"/>
        <v>0</v>
      </c>
    </row>
    <row r="141" spans="1:7" x14ac:dyDescent="0.25">
      <c r="A141" s="1796" t="s">
        <v>156</v>
      </c>
      <c r="B141" s="1797"/>
      <c r="C141" s="1798"/>
      <c r="D141" s="1794">
        <f>SUM(D17:D140)</f>
        <v>1</v>
      </c>
      <c r="E141" s="1541">
        <f t="shared" si="0"/>
        <v>1</v>
      </c>
      <c r="F141" s="1932">
        <f>SUM(F17:F140)</f>
        <v>0</v>
      </c>
      <c r="G141" s="1795">
        <f>SUM(G17:G140)</f>
        <v>0</v>
      </c>
    </row>
  </sheetData>
  <sheetProtection password="F60E" sheet="1" selectLockedCells="1"/>
  <customSheetViews>
    <customSheetView guid="{58008B32-E4E8-4E32-8B1E-F6CE50059F4A}" scale="60" showPageBreaks="1" showGridLines="0" hiddenColumns="1" view="pageBreakPreview">
      <selection activeCell="C79" sqref="C79"/>
      <rowBreaks count="1" manualBreakCount="1">
        <brk id="75" max="16383" man="1"/>
      </rowBreaks>
      <pageMargins left="0.75" right="0.75" top="1" bottom="0.5" header="0.5" footer="0.5"/>
      <printOptions horizontalCentered="1"/>
      <pageSetup scale="52" firstPageNumber="30" fitToHeight="0" orientation="portrait" r:id="rId1"/>
      <headerFooter>
        <oddHeader>&amp;C&amp;"Times New Roman,Regular"EAST ALTON ELEMENTARY SCHOOL DISTRICT NO. 13
CURRENT YEAR PAYMENT ON CONTRACTS FOR INDIRECT COST RATE COMPUTATION
FOR THE YEAR ENDED JUNE 30, 2019</oddHeader>
        <oddFooter>&amp;C&amp;"Times New Roman,Regular"See Independent Auditor's Reports
&amp;P</oddFooter>
      </headerFooter>
    </customSheetView>
    <customSheetView guid="{D43C6297-AC1B-41E2-A8C4-03E94593B8FB}" scale="60" showPageBreaks="1" showGridLines="0" hiddenColumns="1" view="pageBreakPreview">
      <selection activeCell="C79" sqref="C79"/>
      <rowBreaks count="1" manualBreakCount="1">
        <brk id="75" max="16383" man="1"/>
      </rowBreaks>
      <pageMargins left="0.75" right="0.75" top="1" bottom="0.5" header="0.5" footer="0.5"/>
      <printOptions horizontalCentered="1"/>
      <pageSetup scale="52" firstPageNumber="30" fitToHeight="0" orientation="portrait" r:id="rId2"/>
      <headerFooter>
        <oddHeader>&amp;C&amp;"Times New Roman,Regular"EAST ALTON ELEMENTARY SCHOOL DISTRICT NO. 13
CURRENT YEAR PAYMENT ON CONTRACTS FOR INDIRECT COST RATE COMPUTATION
FOR THE YEAR ENDED JUNE 30, 2019</oddHeader>
        <oddFooter>&amp;C&amp;"Times New Roman,Regular"See Independent Auditor's Reports
&amp;P</oddFooter>
      </headerFooter>
    </customSheetView>
    <customSheetView guid="{1CEE81F4-A6A8-4CF6-96C8-1AACCC28872D}" scale="60" showPageBreaks="1" showGridLines="0" hiddenColumns="1" view="pageBreakPreview">
      <selection activeCell="C79" sqref="C79"/>
      <rowBreaks count="1" manualBreakCount="1">
        <brk id="75" max="16383" man="1"/>
      </rowBreaks>
      <pageMargins left="0.75" right="0.75" top="1" bottom="0.5" header="0.5" footer="0.5"/>
      <printOptions horizontalCentered="1"/>
      <pageSetup scale="52" firstPageNumber="30" fitToHeight="0" orientation="portrait" r:id="rId3"/>
      <headerFooter>
        <oddHeader>&amp;C&amp;"Times New Roman,Regular"EAST ALTON ELEMENTARY SCHOOL DISTRICT NO. 13
CURRENT YEAR PAYMENT ON CONTRACTS FOR INDIRECT COST RATE COMPUTATION
FOR THE YEAR ENDED JUNE 30, 2019</oddHeader>
        <oddFooter>&amp;C&amp;"Times New Roman,Regular"See Independent Auditor's Reports
&amp;P</oddFooter>
      </headerFooter>
    </customSheetView>
  </customSheetViews>
  <mergeCells count="6">
    <mergeCell ref="A13:G13"/>
    <mergeCell ref="A4:G5"/>
    <mergeCell ref="A11:G11"/>
    <mergeCell ref="A7:G7"/>
    <mergeCell ref="A8:G8"/>
    <mergeCell ref="A9:G9"/>
  </mergeCells>
  <printOptions horizontalCentered="1"/>
  <pageMargins left="0.75" right="0.75" top="1" bottom="0.5" header="0.5" footer="0.5"/>
  <pageSetup scale="52" firstPageNumber="63" fitToHeight="0" orientation="portrait" r:id="rId4"/>
  <headerFooter>
    <oddHeader>&amp;C&amp;"Times New Roman,Regular"EAST ALTON ELEMENTARY SCHOOL DISTRICT NO. 13
CURRENT YEAR PAYMENT ON CONTRACTS FOR INDIRECT COST RATE COMPUTATION
FOR THE YEAR ENDED JUNE 30, 2019</oddHeader>
    <oddFooter>&amp;C&amp;"Times New Roman,Regular"See Independent Auditor's Reports
&amp;P</oddFooter>
  </headerFooter>
  <rowBreaks count="1" manualBreakCount="1">
    <brk id="7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BreakPreview" colorId="8" zoomScale="60" zoomScaleNormal="110" workbookViewId="0">
      <selection activeCell="Z37" sqref="Z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8" t="s">
        <v>1679</v>
      </c>
      <c r="B5" s="2279"/>
      <c r="C5" s="2279"/>
      <c r="D5" s="2279"/>
      <c r="E5" s="2279"/>
      <c r="F5" s="2279"/>
      <c r="G5" s="228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258802</v>
      </c>
      <c r="F10" s="974"/>
      <c r="G10" s="975"/>
      <c r="H10" s="162"/>
      <c r="I10" s="162"/>
    </row>
    <row r="11" spans="1:9" s="668" customFormat="1" ht="22.5" customHeight="1" x14ac:dyDescent="0.2">
      <c r="A11" s="2283" t="s">
        <v>1974</v>
      </c>
      <c r="B11" s="2284"/>
      <c r="C11" s="2284"/>
      <c r="D11" s="2285"/>
      <c r="E11" s="977">
        <v>32509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4628921</v>
      </c>
      <c r="F19" s="1799"/>
      <c r="G19" s="1801">
        <f>'Expenditures 15-22'!K33-SUM('Expenditures 15-22'!G33,'Expenditures 15-22'!I33)+'Expenditures 15-22'!D229</f>
        <v>4628921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349231</v>
      </c>
      <c r="F21" s="1802"/>
      <c r="G21" s="1805">
        <f>'Expenditures 15-22'!K42-SUM('Expenditures 15-22'!G42,'Expenditures 15-22'!I42)+'Expenditures 15-22'!K120-SUM('Expenditures 15-22'!G120,'Expenditures 15-22'!I120)+'Expenditures 15-22'!K180-SUM('Expenditures 15-22'!G180,'Expenditures 15-22'!I180)+'Expenditures 15-22'!D238</f>
        <v>349231</v>
      </c>
      <c r="H21" s="987"/>
      <c r="I21" s="162"/>
    </row>
    <row r="22" spans="1:9" s="668" customFormat="1" ht="12" customHeight="1" x14ac:dyDescent="0.2">
      <c r="A22" s="994" t="s">
        <v>564</v>
      </c>
      <c r="B22" s="995"/>
      <c r="C22" s="993">
        <v>2200</v>
      </c>
      <c r="D22" s="1802"/>
      <c r="E22" s="1804">
        <f>'Expenditures 15-22'!K47-SUM('Expenditures 15-22'!G47,'Expenditures 15-22'!I47)+'Expenditures 15-22'!D243</f>
        <v>379736</v>
      </c>
      <c r="F22" s="1802"/>
      <c r="G22" s="1805">
        <f>'Expenditures 15-22'!K47-SUM('Expenditures 15-22'!G47,'Expenditures 15-22'!I47)+'Expenditures 15-22'!D243</f>
        <v>379736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1278971</v>
      </c>
      <c r="F23" s="1802"/>
      <c r="G23" s="1804">
        <f>'Expenditures 15-22'!K53-SUM('Expenditures 15-22'!G53,'Expenditures 15-22'!I53)+'Expenditures 15-22'!D257+'Expenditures 15-22'!K330-SUM('Expenditures 15-22'!G330,'Expenditures 15-22'!I330)</f>
        <v>1278971</v>
      </c>
      <c r="H23" s="987"/>
      <c r="I23" s="162"/>
    </row>
    <row r="24" spans="1:9" s="668" customFormat="1" ht="12" customHeight="1" x14ac:dyDescent="0.2">
      <c r="A24" s="994" t="s">
        <v>566</v>
      </c>
      <c r="B24" s="995"/>
      <c r="C24" s="993">
        <v>2400</v>
      </c>
      <c r="D24" s="1802"/>
      <c r="E24" s="1804">
        <f>'Expenditures 15-22'!K57-SUM('Expenditures 15-22'!G57,'Expenditures 15-22'!I57)+'Expenditures 15-22'!D261</f>
        <v>341514</v>
      </c>
      <c r="F24" s="1802"/>
      <c r="G24" s="1805">
        <f>'Expenditures 15-22'!K57-SUM('Expenditures 15-22'!G57,'Expenditures 15-22'!I57)+'Expenditures 15-22'!D261</f>
        <v>341514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90887</v>
      </c>
      <c r="E27" s="1804">
        <f>E8</f>
        <v>0</v>
      </c>
      <c r="F27" s="1804">
        <f>'Expenditures 15-22'!K60-SUM('Expenditures 15-22'!G60,'Expenditures 15-22'!I60)+'Expenditures 15-22'!D264-E8</f>
        <v>90887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713785</v>
      </c>
      <c r="F28" s="1806">
        <f>'Expenditures 15-22'!K61-SUM('Expenditures 15-22'!G61,'Expenditures 15-22'!I61)+'Expenditures 15-22'!K124-SUM('Expenditures 15-22'!G124,'Expenditures 15-22'!I124)+'Expenditures 15-22'!D266-E9</f>
        <v>713785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258193</v>
      </c>
      <c r="F29" s="1802"/>
      <c r="G29" s="1805">
        <f>'Expenditures 15-22'!K62-SUM('Expenditures 15-22'!G62,'Expenditures 15-22'!I62)+'Expenditures 15-22'!K125-SUM('Expenditures 15-22'!G125,'Expenditures 15-22'!I125)+'Expenditures 15-22'!K182-SUM('Expenditures 15-22'!G182,'Expenditures 15-22'!I182)+'Expenditures 15-22'!D267</f>
        <v>258193</v>
      </c>
      <c r="H29" s="985"/>
    </row>
    <row r="30" spans="1:9" ht="12" customHeight="1" x14ac:dyDescent="0.2">
      <c r="A30" s="994" t="s">
        <v>100</v>
      </c>
      <c r="B30" s="997"/>
      <c r="C30" s="993">
        <v>2560</v>
      </c>
      <c r="D30" s="1802"/>
      <c r="E30" s="1804">
        <f>'Expenditures 15-22'!K63-SUM('Expenditures 15-22'!G63,'Expenditures 15-22'!I63)+'Expenditures 15-22'!D268-E10</f>
        <v>268959</v>
      </c>
      <c r="F30" s="1802"/>
      <c r="G30" s="1804">
        <f>'Expenditures 15-22'!K63-SUM('Expenditures 15-22'!G63,'Expenditures 15-22'!I63)+'Expenditures 15-22'!D268-E10</f>
        <v>268959</v>
      </c>
    </row>
    <row r="31" spans="1:9" ht="12" customHeight="1" x14ac:dyDescent="0.2">
      <c r="A31" s="994" t="s">
        <v>101</v>
      </c>
      <c r="B31" s="997"/>
      <c r="C31" s="993">
        <v>2570</v>
      </c>
      <c r="D31" s="1804">
        <f>'Expenditures 15-22'!K64-SUM('Expenditures 15-22'!G64,'Expenditures 15-22'!I64)+'Expenditures 15-22'!D269-E12</f>
        <v>594</v>
      </c>
      <c r="E31" s="1804">
        <f>E12</f>
        <v>0</v>
      </c>
      <c r="F31" s="1804">
        <f>'Expenditures 15-22'!K64-SUM('Expenditures 15-22'!G64,'Expenditures 15-22'!I64)+'Expenditures 15-22'!D269-E12</f>
        <v>594</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1688</v>
      </c>
      <c r="F35" s="1802"/>
      <c r="G35" s="1804">
        <f>'Expenditures 15-22'!K69-SUM('Expenditures 15-22'!G69,'Expenditures 15-22'!I69)+'Expenditures 15-22'!D274</f>
        <v>1688</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29164</v>
      </c>
      <c r="E37" s="1804">
        <f>E14</f>
        <v>0</v>
      </c>
      <c r="F37" s="1804">
        <f>'Expenditures 15-22'!K71-SUM('Expenditures 15-22'!G71,'Expenditures 15-22'!I71)+'Expenditures 15-22'!D276-E14</f>
        <v>29164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20363</v>
      </c>
      <c r="F38" s="1802"/>
      <c r="G38" s="1804">
        <f>'Expenditures 15-22'!K73-SUM('Expenditures 15-22'!G73,'Expenditures 15-22'!I73)+'Expenditures 15-22'!K128-SUM('Expenditures 15-22'!G128,'Expenditures 15-22'!I128)+'Expenditures 15-22'!K183-SUM('Expenditures 15-22'!G183,'Expenditures 15-22'!I183)+'Expenditures 15-22'!D278</f>
        <v>20363</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422772</v>
      </c>
      <c r="F39" s="1802"/>
      <c r="G39" s="1804">
        <f>'Expenditures 15-22'!K75-SUM('Expenditures 15-22'!G75,'Expenditures 15-22'!I75)+'Expenditures 15-22'!K130-SUM('Expenditures 15-22'!G130,'Expenditures 15-22'!I130)+'Expenditures 15-22'!K185-SUM('Expenditures 15-22'!G185,'Expenditures 15-22'!I185)+'Expenditures 15-22'!D280</f>
        <v>422772</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120645</v>
      </c>
      <c r="E41" s="1806">
        <f>SUM(E19:E40)</f>
        <v>8664133</v>
      </c>
      <c r="F41" s="1806">
        <f>SUM(F19:F39)</f>
        <v>834430</v>
      </c>
      <c r="G41" s="1806">
        <f>SUM(G19:G40)</f>
        <v>7950348</v>
      </c>
    </row>
    <row r="42" spans="1:7" x14ac:dyDescent="0.2">
      <c r="A42" s="987"/>
      <c r="B42" s="162"/>
      <c r="C42" s="1001"/>
      <c r="D42" s="2281" t="s">
        <v>522</v>
      </c>
      <c r="E42" s="2282"/>
      <c r="F42" s="1002" t="s">
        <v>523</v>
      </c>
      <c r="G42" s="1003"/>
    </row>
    <row r="43" spans="1:7" ht="12" customHeight="1" x14ac:dyDescent="0.2">
      <c r="A43" s="987"/>
      <c r="B43" s="162"/>
      <c r="C43" s="1001"/>
      <c r="D43" s="1807" t="s">
        <v>473</v>
      </c>
      <c r="E43" s="1808">
        <f>D41</f>
        <v>120645</v>
      </c>
      <c r="F43" s="1807" t="s">
        <v>473</v>
      </c>
      <c r="G43" s="1808">
        <f>F41</f>
        <v>834430</v>
      </c>
    </row>
    <row r="44" spans="1:7" ht="12" customHeight="1" x14ac:dyDescent="0.2">
      <c r="A44" s="987"/>
      <c r="B44" s="162"/>
      <c r="C44" s="1001"/>
      <c r="D44" s="1807" t="s">
        <v>474</v>
      </c>
      <c r="E44" s="1808">
        <f>E41</f>
        <v>8664133</v>
      </c>
      <c r="F44" s="1807" t="s">
        <v>474</v>
      </c>
      <c r="G44" s="1808">
        <f>G41</f>
        <v>7950348</v>
      </c>
    </row>
    <row r="45" spans="1:7" ht="12" customHeight="1" x14ac:dyDescent="0.2">
      <c r="A45" s="987"/>
      <c r="B45" s="162"/>
      <c r="C45" s="162"/>
      <c r="D45" s="1809" t="s">
        <v>1006</v>
      </c>
      <c r="E45" s="1810">
        <f>(E43/E44)</f>
        <v>1.3924647740287458E-2</v>
      </c>
      <c r="F45" s="1809" t="s">
        <v>1006</v>
      </c>
      <c r="G45" s="1810">
        <f>(G43/G44)</f>
        <v>0.10495515416432086</v>
      </c>
    </row>
    <row r="46" spans="1:7" x14ac:dyDescent="0.2">
      <c r="A46" s="1004"/>
      <c r="B46" s="1005"/>
      <c r="C46" s="1005"/>
      <c r="D46" s="1006"/>
      <c r="E46" s="1007"/>
      <c r="F46" s="1006"/>
      <c r="G46" s="1007"/>
    </row>
  </sheetData>
  <sheetProtection password="F60E" sheet="1" objects="1" scenarios="1"/>
  <customSheetViews>
    <customSheetView guid="{58008B32-E4E8-4E32-8B1E-F6CE50059F4A}" scale="110" colorId="8" showGridLines="0">
      <selection activeCell="J13" sqref="J13"/>
      <pageMargins left="0.75" right="0.75" top="1" bottom="0.5" header="0.5" footer="0.5"/>
      <printOptions horizontalCentered="1"/>
      <pageSetup scale="82" firstPageNumber="30" orientation="landscape" r:id="rId1"/>
      <headerFooter>
        <oddHeader>&amp;C&amp;"Times New Roman,Regular"EAST ALTON ELEMENTARY SCHOOL DISTRICT NO. 13
ESTIMATED INDIRECT COST RATE DATA
FOR THE YEAR ENDED JUNE 30, 2019</oddHeader>
        <oddFooter>&amp;C&amp;"Times New Roman,Regular"See Independent Auditor's Reports
&amp;P</oddFooter>
      </headerFooter>
    </customSheetView>
    <customSheetView guid="{D43C6297-AC1B-41E2-A8C4-03E94593B8FB}" scale="110" colorId="8" showGridLines="0" topLeftCell="A4">
      <selection activeCell="J13" sqref="J13"/>
      <pageMargins left="0.75" right="0.75" top="1" bottom="0.5" header="0.5" footer="0.5"/>
      <printOptions horizontalCentered="1"/>
      <pageSetup scale="82" firstPageNumber="30" orientation="landscape" r:id="rId2"/>
      <headerFooter>
        <oddHeader>&amp;C&amp;"Times New Roman,Regular"EAST ALTON ELEMENTARY SCHOOL DISTRICT NO. 13
ESTIMATED INDIRECT COST RATE DATA
FOR THE YEAR ENDED JUNE 30, 2019</oddHeader>
        <oddFooter>&amp;C&amp;"Times New Roman,Regular"See Independent Auditor's Reports
&amp;P</oddFooter>
      </headerFooter>
    </customSheetView>
    <customSheetView guid="{1CEE81F4-A6A8-4CF6-96C8-1AACCC28872D}" scale="60" colorId="8" showPageBreaks="1" showGridLines="0" view="pageBreakPreview" topLeftCell="A13">
      <selection activeCell="J13" sqref="J13"/>
      <pageMargins left="0.75" right="0.75" top="1" bottom="0.5" header="0.5" footer="0.5"/>
      <printOptions horizontalCentered="1"/>
      <pageSetup scale="75" firstPageNumber="65" orientation="landscape" useFirstPageNumber="1" r:id="rId3"/>
      <headerFooter>
        <oddHeader>&amp;C&amp;"Times New Roman,Regular"EAST ALTON ELEMENTARY SCHOOL DISTRICT NO. 13
ESTIMATED INDIRECT COST RATE DATA
FOR THE YEAR ENDED JUNE 30, 2019</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65" orientation="landscape" useFirstPageNumber="1" r:id="rId4"/>
  <headerFooter>
    <oddHeader>&amp;C&amp;"Times New Roman,Regular"EAST ALTON ELEMENTARY SCHOOL DISTRICT NO. 13
ESTIMATED INDIRECT COST RATE DATA
FOR THE YEAR ENDED JUNE 30, 2019</oddHeader>
    <oddFooter>&amp;C&amp;"Times New Roman,Regular"See Independent Auditor's Reports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N97"/>
  <sheetViews>
    <sheetView showGridLines="0" zoomScale="110" zoomScaleNormal="110" workbookViewId="0">
      <pane ySplit="4" topLeftCell="A5" activePane="bottomLeft" state="frozen"/>
      <selection activeCell="V29" sqref="V29"/>
      <selection pane="bottomLeft" activeCell="P15" sqref="P15"/>
    </sheetView>
  </sheetViews>
  <sheetFormatPr defaultColWidth="9.140625" defaultRowHeight="12.75" x14ac:dyDescent="0.2"/>
  <cols>
    <col min="1" max="1" width="54.5703125" style="1875" customWidth="1"/>
    <col min="2" max="2" width="4.140625" style="1875" customWidth="1"/>
    <col min="3" max="4" width="9.85546875" style="1847" customWidth="1"/>
    <col min="5" max="5" width="12.5703125" style="1876" customWidth="1"/>
    <col min="6" max="6" width="67.5703125" style="1847" customWidth="1"/>
    <col min="7" max="7" width="9.140625" style="1847" customWidth="1"/>
    <col min="8" max="8" width="7.7109375" style="1877" bestFit="1" customWidth="1"/>
    <col min="9" max="10" width="5.28515625" style="1877" bestFit="1" customWidth="1"/>
    <col min="11" max="11" width="9" style="1877" customWidth="1"/>
    <col min="12" max="16384" width="9.140625" style="1847"/>
  </cols>
  <sheetData>
    <row r="1" spans="1:12" x14ac:dyDescent="0.2">
      <c r="A1" s="2300" t="s">
        <v>1379</v>
      </c>
      <c r="B1" s="2300"/>
      <c r="C1" s="2300"/>
      <c r="D1" s="2300"/>
      <c r="E1" s="2300"/>
      <c r="F1" s="2300"/>
    </row>
    <row r="2" spans="1:12" x14ac:dyDescent="0.2">
      <c r="A2" s="1886" t="s">
        <v>1909</v>
      </c>
      <c r="B2" s="1848"/>
      <c r="C2" s="1886"/>
      <c r="D2" s="1848"/>
      <c r="E2" s="1848"/>
      <c r="F2" s="1849"/>
    </row>
    <row r="3" spans="1:12" x14ac:dyDescent="0.2">
      <c r="A3" s="1886" t="s">
        <v>1975</v>
      </c>
      <c r="B3" s="1848"/>
      <c r="C3" s="1886"/>
      <c r="D3" s="1848"/>
      <c r="E3" s="1848"/>
      <c r="F3" s="1849"/>
    </row>
    <row r="4" spans="1:12" ht="3.75" customHeight="1" x14ac:dyDescent="0.2">
      <c r="A4" s="1848"/>
      <c r="B4" s="1848"/>
      <c r="C4" s="1848"/>
      <c r="D4" s="1848"/>
      <c r="E4" s="1848"/>
      <c r="F4" s="1849"/>
    </row>
    <row r="5" spans="1:12" ht="15" x14ac:dyDescent="0.25">
      <c r="A5" s="2301" t="s">
        <v>1546</v>
      </c>
      <c r="B5" s="2302"/>
      <c r="C5" s="2303"/>
      <c r="D5" s="2303"/>
      <c r="E5" s="2303"/>
      <c r="F5" s="2303"/>
      <c r="H5" s="1847"/>
      <c r="I5" s="1847"/>
      <c r="J5" s="1847"/>
      <c r="K5" s="1847"/>
    </row>
    <row r="6" spans="1:12" ht="12" customHeight="1" x14ac:dyDescent="0.25">
      <c r="A6" s="1850"/>
      <c r="B6" s="1851"/>
      <c r="C6" s="2304" t="str">
        <f>COVER!A17</f>
        <v>East Alton SD 13</v>
      </c>
      <c r="D6" s="2304"/>
      <c r="E6" s="2304"/>
      <c r="F6" s="1852"/>
      <c r="H6" s="1847"/>
      <c r="I6" s="1847"/>
      <c r="J6" s="1847"/>
      <c r="K6" s="1847"/>
    </row>
    <row r="7" spans="1:12" ht="11.25" customHeight="1" thickBot="1" x14ac:dyDescent="0.3">
      <c r="A7" s="1850"/>
      <c r="B7" s="1851"/>
      <c r="C7" s="2305">
        <f>COVER!A13</f>
        <v>41057013002</v>
      </c>
      <c r="D7" s="2305"/>
      <c r="E7" s="2305"/>
      <c r="F7" s="1852"/>
      <c r="G7" s="1877"/>
      <c r="L7" s="1877"/>
    </row>
    <row r="8" spans="1:12" ht="25.5" customHeight="1" thickBot="1" x14ac:dyDescent="0.25">
      <c r="A8" s="1892" t="s">
        <v>1905</v>
      </c>
      <c r="B8" s="1853"/>
      <c r="C8" s="1888" t="s">
        <v>1681</v>
      </c>
      <c r="D8" s="1887" t="s">
        <v>1682</v>
      </c>
      <c r="E8" s="1889" t="s">
        <v>1380</v>
      </c>
      <c r="F8" s="1887" t="s">
        <v>1683</v>
      </c>
      <c r="G8" s="1877"/>
      <c r="H8" s="1854" t="b">
        <v>0</v>
      </c>
      <c r="L8" s="1877"/>
    </row>
    <row r="9" spans="1:12" ht="15.75" customHeight="1" x14ac:dyDescent="0.2">
      <c r="A9" s="1855" t="s">
        <v>1542</v>
      </c>
      <c r="B9" s="1856"/>
      <c r="C9" s="1857"/>
      <c r="D9" s="1857"/>
      <c r="E9" s="1858"/>
      <c r="F9" s="1859"/>
      <c r="G9" s="1877"/>
      <c r="L9" s="1877"/>
    </row>
    <row r="10" spans="1:12" ht="27.75" customHeight="1" x14ac:dyDescent="0.2">
      <c r="A10" s="1860" t="s">
        <v>1680</v>
      </c>
      <c r="B10" s="1861"/>
      <c r="C10" s="1862"/>
      <c r="D10" s="1862"/>
      <c r="E10" s="1890" t="s">
        <v>1381</v>
      </c>
      <c r="F10" s="1891" t="s">
        <v>1382</v>
      </c>
      <c r="G10" s="1877"/>
      <c r="L10" s="1877"/>
    </row>
    <row r="11" spans="1:12" ht="12" customHeight="1" x14ac:dyDescent="0.2">
      <c r="A11" s="1863" t="s">
        <v>1383</v>
      </c>
      <c r="B11" s="1864"/>
      <c r="C11" s="1865"/>
      <c r="D11" s="1865"/>
      <c r="E11" s="1866"/>
      <c r="F11" s="1867"/>
      <c r="G11" s="1877"/>
      <c r="H11" s="1877">
        <f>IF(C11="X",5,0)</f>
        <v>0</v>
      </c>
      <c r="I11" s="1877">
        <f>IF(D11="X",5,0)</f>
        <v>0</v>
      </c>
      <c r="J11" s="1877">
        <f>IF(E11="X",5,0)</f>
        <v>0</v>
      </c>
      <c r="L11" s="1877"/>
    </row>
    <row r="12" spans="1:12" ht="12" customHeight="1" x14ac:dyDescent="0.2">
      <c r="A12" s="1863" t="s">
        <v>1384</v>
      </c>
      <c r="B12" s="1864"/>
      <c r="C12" s="1865"/>
      <c r="D12" s="1865"/>
      <c r="E12" s="1868"/>
      <c r="F12" s="1867"/>
      <c r="G12" s="1877"/>
      <c r="H12" s="1877">
        <f t="shared" ref="H12:H33" si="0">IF(C12="X",5,0)</f>
        <v>0</v>
      </c>
      <c r="I12" s="1877">
        <f t="shared" ref="I12:I33" si="1">IF(D12="X",5,0)</f>
        <v>0</v>
      </c>
      <c r="J12" s="1877">
        <f t="shared" ref="J12:J33" si="2">IF(E12="X",5,0)</f>
        <v>0</v>
      </c>
      <c r="L12" s="1877"/>
    </row>
    <row r="13" spans="1:12" ht="12" customHeight="1" x14ac:dyDescent="0.2">
      <c r="A13" s="1863" t="s">
        <v>1385</v>
      </c>
      <c r="B13" s="1864"/>
      <c r="C13" s="1865"/>
      <c r="D13" s="1865"/>
      <c r="E13" s="1868"/>
      <c r="F13" s="1867"/>
      <c r="G13" s="1877"/>
      <c r="H13" s="1877">
        <f t="shared" si="0"/>
        <v>0</v>
      </c>
      <c r="I13" s="1877">
        <f t="shared" si="1"/>
        <v>0</v>
      </c>
      <c r="J13" s="1877">
        <f t="shared" si="2"/>
        <v>0</v>
      </c>
      <c r="L13" s="1877"/>
    </row>
    <row r="14" spans="1:12" ht="12" customHeight="1" x14ac:dyDescent="0.2">
      <c r="A14" s="1863" t="s">
        <v>1386</v>
      </c>
      <c r="B14" s="1864"/>
      <c r="C14" s="1865"/>
      <c r="D14" s="1865"/>
      <c r="E14" s="1868"/>
      <c r="F14" s="1867"/>
      <c r="G14" s="1877"/>
      <c r="H14" s="1877">
        <f t="shared" si="0"/>
        <v>0</v>
      </c>
      <c r="I14" s="1877">
        <f t="shared" si="1"/>
        <v>0</v>
      </c>
      <c r="J14" s="1877">
        <f t="shared" si="2"/>
        <v>0</v>
      </c>
      <c r="L14" s="1877"/>
    </row>
    <row r="15" spans="1:12" ht="12" customHeight="1" x14ac:dyDescent="0.2">
      <c r="A15" s="1863" t="s">
        <v>1387</v>
      </c>
      <c r="B15" s="1864"/>
      <c r="C15" s="1865"/>
      <c r="D15" s="1865"/>
      <c r="E15" s="1868"/>
      <c r="F15" s="1867"/>
      <c r="G15" s="1877"/>
      <c r="H15" s="1877">
        <f t="shared" si="0"/>
        <v>0</v>
      </c>
      <c r="I15" s="1877">
        <f t="shared" si="1"/>
        <v>0</v>
      </c>
      <c r="J15" s="1877">
        <f t="shared" si="2"/>
        <v>0</v>
      </c>
      <c r="L15" s="1877"/>
    </row>
    <row r="16" spans="1:12" ht="12" customHeight="1" x14ac:dyDescent="0.2">
      <c r="A16" s="1863" t="s">
        <v>1388</v>
      </c>
      <c r="B16" s="1864"/>
      <c r="C16" s="1865"/>
      <c r="D16" s="1865"/>
      <c r="E16" s="1868"/>
      <c r="F16" s="1867"/>
      <c r="G16" s="1877"/>
      <c r="H16" s="1877">
        <f t="shared" si="0"/>
        <v>0</v>
      </c>
      <c r="I16" s="1877">
        <f t="shared" si="1"/>
        <v>0</v>
      </c>
      <c r="J16" s="1877">
        <f t="shared" si="2"/>
        <v>0</v>
      </c>
      <c r="L16" s="1877"/>
    </row>
    <row r="17" spans="1:12" ht="12" customHeight="1" x14ac:dyDescent="0.2">
      <c r="A17" s="1863" t="s">
        <v>1389</v>
      </c>
      <c r="B17" s="1864"/>
      <c r="C17" s="1865"/>
      <c r="D17" s="1865"/>
      <c r="E17" s="1868"/>
      <c r="F17" s="1867"/>
      <c r="G17" s="1877"/>
      <c r="H17" s="1877">
        <f t="shared" si="0"/>
        <v>0</v>
      </c>
      <c r="I17" s="1877">
        <f t="shared" si="1"/>
        <v>0</v>
      </c>
      <c r="J17" s="1877">
        <f t="shared" si="2"/>
        <v>0</v>
      </c>
      <c r="L17" s="1877"/>
    </row>
    <row r="18" spans="1:12" ht="12" customHeight="1" x14ac:dyDescent="0.2">
      <c r="A18" s="1863" t="s">
        <v>1390</v>
      </c>
      <c r="B18" s="1864"/>
      <c r="C18" s="1865"/>
      <c r="D18" s="1865"/>
      <c r="E18" s="1868"/>
      <c r="F18" s="1867"/>
      <c r="G18" s="1877"/>
      <c r="H18" s="1877">
        <f t="shared" si="0"/>
        <v>0</v>
      </c>
      <c r="I18" s="1877">
        <f t="shared" si="1"/>
        <v>0</v>
      </c>
      <c r="J18" s="1877">
        <f t="shared" si="2"/>
        <v>0</v>
      </c>
      <c r="L18" s="1877"/>
    </row>
    <row r="19" spans="1:12" ht="12" customHeight="1" x14ac:dyDescent="0.2">
      <c r="A19" s="1863" t="s">
        <v>1527</v>
      </c>
      <c r="B19" s="1864"/>
      <c r="C19" s="1865"/>
      <c r="D19" s="1865"/>
      <c r="E19" s="1868"/>
      <c r="F19" s="1867"/>
      <c r="G19" s="1877"/>
      <c r="H19" s="1877">
        <f t="shared" si="0"/>
        <v>0</v>
      </c>
      <c r="I19" s="1877">
        <f t="shared" si="1"/>
        <v>0</v>
      </c>
      <c r="J19" s="1877">
        <f t="shared" si="2"/>
        <v>0</v>
      </c>
      <c r="L19" s="1877"/>
    </row>
    <row r="20" spans="1:12" ht="12" customHeight="1" x14ac:dyDescent="0.2">
      <c r="A20" s="1863" t="s">
        <v>1528</v>
      </c>
      <c r="B20" s="1864"/>
      <c r="C20" s="1865"/>
      <c r="D20" s="1865"/>
      <c r="E20" s="1868"/>
      <c r="F20" s="1867"/>
      <c r="G20" s="1877"/>
      <c r="H20" s="1877">
        <f t="shared" si="0"/>
        <v>0</v>
      </c>
      <c r="I20" s="1877">
        <f t="shared" si="1"/>
        <v>0</v>
      </c>
      <c r="J20" s="1877">
        <f t="shared" si="2"/>
        <v>0</v>
      </c>
      <c r="L20" s="1877"/>
    </row>
    <row r="21" spans="1:12" ht="12" customHeight="1" x14ac:dyDescent="0.2">
      <c r="A21" s="1863" t="s">
        <v>1529</v>
      </c>
      <c r="B21" s="1864"/>
      <c r="C21" s="1865"/>
      <c r="D21" s="1865"/>
      <c r="E21" s="1868"/>
      <c r="F21" s="1867"/>
      <c r="G21" s="1877"/>
      <c r="H21" s="1877">
        <f t="shared" si="0"/>
        <v>0</v>
      </c>
      <c r="I21" s="1877">
        <f t="shared" si="1"/>
        <v>0</v>
      </c>
      <c r="J21" s="1877">
        <f t="shared" si="2"/>
        <v>0</v>
      </c>
      <c r="L21" s="1877"/>
    </row>
    <row r="22" spans="1:12" ht="12" customHeight="1" x14ac:dyDescent="0.2">
      <c r="A22" s="1863" t="s">
        <v>1530</v>
      </c>
      <c r="B22" s="1864"/>
      <c r="C22" s="1865"/>
      <c r="D22" s="1865"/>
      <c r="E22" s="1868"/>
      <c r="F22" s="1867"/>
      <c r="G22" s="1877"/>
      <c r="H22" s="1877">
        <f t="shared" si="0"/>
        <v>0</v>
      </c>
      <c r="I22" s="1877">
        <f t="shared" si="1"/>
        <v>0</v>
      </c>
      <c r="J22" s="1877">
        <f t="shared" si="2"/>
        <v>0</v>
      </c>
      <c r="L22" s="1877"/>
    </row>
    <row r="23" spans="1:12" ht="12" customHeight="1" x14ac:dyDescent="0.2">
      <c r="A23" s="1863" t="s">
        <v>1531</v>
      </c>
      <c r="B23" s="1864"/>
      <c r="C23" s="1865"/>
      <c r="D23" s="1865"/>
      <c r="E23" s="1868"/>
      <c r="F23" s="1867"/>
      <c r="G23" s="1877"/>
      <c r="H23" s="1877">
        <f t="shared" si="0"/>
        <v>0</v>
      </c>
      <c r="I23" s="1877">
        <f t="shared" si="1"/>
        <v>0</v>
      </c>
      <c r="J23" s="1877">
        <f t="shared" si="2"/>
        <v>0</v>
      </c>
      <c r="L23" s="1877"/>
    </row>
    <row r="24" spans="1:12" ht="12" customHeight="1" x14ac:dyDescent="0.2">
      <c r="A24" s="1863" t="s">
        <v>1532</v>
      </c>
      <c r="B24" s="1864"/>
      <c r="C24" s="1865"/>
      <c r="D24" s="1865"/>
      <c r="E24" s="1868"/>
      <c r="F24" s="1867"/>
      <c r="G24" s="1877"/>
      <c r="H24" s="1877">
        <f t="shared" si="0"/>
        <v>0</v>
      </c>
      <c r="I24" s="1877">
        <f t="shared" si="1"/>
        <v>0</v>
      </c>
      <c r="J24" s="1877">
        <f t="shared" si="2"/>
        <v>0</v>
      </c>
      <c r="L24" s="1877"/>
    </row>
    <row r="25" spans="1:12" ht="12" customHeight="1" x14ac:dyDescent="0.2">
      <c r="A25" s="1863" t="s">
        <v>1533</v>
      </c>
      <c r="B25" s="1864"/>
      <c r="C25" s="1865" t="s">
        <v>2061</v>
      </c>
      <c r="D25" s="1865" t="s">
        <v>2061</v>
      </c>
      <c r="E25" s="1868" t="s">
        <v>2061</v>
      </c>
      <c r="F25" s="1867" t="s">
        <v>2087</v>
      </c>
      <c r="G25" s="1877"/>
      <c r="H25" s="1877">
        <f>IF(C25="X",5,0)</f>
        <v>5</v>
      </c>
      <c r="I25" s="1877">
        <f>IF(D25="X",5,0)</f>
        <v>5</v>
      </c>
      <c r="J25" s="1877">
        <f>IF(E25="X",5,0)</f>
        <v>5</v>
      </c>
      <c r="L25" s="1877"/>
    </row>
    <row r="26" spans="1:12" ht="12" customHeight="1" x14ac:dyDescent="0.2">
      <c r="A26" s="1863" t="s">
        <v>1534</v>
      </c>
      <c r="B26" s="1864"/>
      <c r="C26" s="1865" t="s">
        <v>2061</v>
      </c>
      <c r="D26" s="1865" t="s">
        <v>2061</v>
      </c>
      <c r="E26" s="1868" t="s">
        <v>2061</v>
      </c>
      <c r="F26" s="1867" t="s">
        <v>2088</v>
      </c>
      <c r="G26" s="1877"/>
      <c r="H26" s="1877">
        <f>IF(C26="X",5,0)</f>
        <v>5</v>
      </c>
      <c r="I26" s="1877">
        <f>IF(D26="X",5,0)</f>
        <v>5</v>
      </c>
      <c r="J26" s="1877">
        <f>IF(E26="X",5,0)</f>
        <v>5</v>
      </c>
      <c r="L26" s="1877"/>
    </row>
    <row r="27" spans="1:12" ht="18.75" x14ac:dyDescent="0.2">
      <c r="A27" s="1863" t="s">
        <v>1535</v>
      </c>
      <c r="B27" s="1864"/>
      <c r="C27" s="1865"/>
      <c r="D27" s="1865"/>
      <c r="E27" s="1868"/>
      <c r="F27" s="1867"/>
      <c r="G27" s="1877"/>
      <c r="H27" s="1877">
        <f>IF(C27="X",5,0)</f>
        <v>0</v>
      </c>
      <c r="I27" s="1877">
        <f>IF(D27="X",5,0)</f>
        <v>0</v>
      </c>
      <c r="J27" s="1877">
        <f>IF(E27="X",5,0)</f>
        <v>0</v>
      </c>
      <c r="L27" s="1877"/>
    </row>
    <row r="28" spans="1:12" ht="12" customHeight="1" x14ac:dyDescent="0.2">
      <c r="A28" s="1863" t="s">
        <v>1536</v>
      </c>
      <c r="B28" s="1864"/>
      <c r="C28" s="1865"/>
      <c r="D28" s="1865"/>
      <c r="E28" s="1868"/>
      <c r="F28" s="1867"/>
      <c r="G28" s="1877"/>
      <c r="H28" s="1877">
        <f t="shared" si="0"/>
        <v>0</v>
      </c>
      <c r="I28" s="1877">
        <f t="shared" si="1"/>
        <v>0</v>
      </c>
      <c r="J28" s="1877">
        <f t="shared" si="2"/>
        <v>0</v>
      </c>
      <c r="L28" s="1877"/>
    </row>
    <row r="29" spans="1:12" ht="12" customHeight="1" x14ac:dyDescent="0.2">
      <c r="A29" s="1863" t="s">
        <v>1537</v>
      </c>
      <c r="B29" s="1864"/>
      <c r="C29" s="1865"/>
      <c r="D29" s="1865"/>
      <c r="E29" s="1868"/>
      <c r="F29" s="1867"/>
      <c r="G29" s="1877"/>
      <c r="H29" s="1877">
        <f t="shared" si="0"/>
        <v>0</v>
      </c>
      <c r="I29" s="1877">
        <f t="shared" si="1"/>
        <v>0</v>
      </c>
      <c r="J29" s="1877">
        <f t="shared" si="2"/>
        <v>0</v>
      </c>
      <c r="L29" s="1877"/>
    </row>
    <row r="30" spans="1:12" ht="12" customHeight="1" x14ac:dyDescent="0.2">
      <c r="A30" s="1863" t="s">
        <v>1538</v>
      </c>
      <c r="B30" s="1864"/>
      <c r="C30" s="1865"/>
      <c r="D30" s="1865"/>
      <c r="E30" s="1868"/>
      <c r="F30" s="1867"/>
      <c r="G30" s="1877"/>
      <c r="H30" s="1877">
        <f t="shared" si="0"/>
        <v>0</v>
      </c>
      <c r="I30" s="1877">
        <f t="shared" si="1"/>
        <v>0</v>
      </c>
      <c r="J30" s="1877">
        <f t="shared" si="2"/>
        <v>0</v>
      </c>
      <c r="L30" s="1877"/>
    </row>
    <row r="31" spans="1:12" ht="12" customHeight="1" x14ac:dyDescent="0.2">
      <c r="A31" s="1863" t="s">
        <v>1539</v>
      </c>
      <c r="B31" s="1864"/>
      <c r="C31" s="1865"/>
      <c r="D31" s="1865"/>
      <c r="E31" s="1868"/>
      <c r="F31" s="1867"/>
      <c r="G31" s="1877"/>
      <c r="H31" s="1877">
        <f t="shared" si="0"/>
        <v>0</v>
      </c>
      <c r="I31" s="1877">
        <f t="shared" si="1"/>
        <v>0</v>
      </c>
      <c r="J31" s="1877">
        <f t="shared" si="2"/>
        <v>0</v>
      </c>
      <c r="L31" s="2484"/>
    </row>
    <row r="32" spans="1:12" ht="12" customHeight="1" x14ac:dyDescent="0.2">
      <c r="A32" s="1863" t="s">
        <v>1540</v>
      </c>
      <c r="B32" s="1864"/>
      <c r="C32" s="1865"/>
      <c r="D32" s="1865"/>
      <c r="E32" s="1868"/>
      <c r="F32" s="1867"/>
      <c r="G32" s="1877"/>
      <c r="H32" s="1877">
        <f t="shared" si="0"/>
        <v>0</v>
      </c>
      <c r="I32" s="1877">
        <f t="shared" si="1"/>
        <v>0</v>
      </c>
      <c r="J32" s="1877">
        <f t="shared" si="2"/>
        <v>0</v>
      </c>
      <c r="L32" s="1877"/>
    </row>
    <row r="33" spans="1:14" ht="12" customHeight="1" x14ac:dyDescent="0.2">
      <c r="A33" s="1863" t="s">
        <v>1541</v>
      </c>
      <c r="B33" s="1864"/>
      <c r="C33" s="1865"/>
      <c r="D33" s="1865"/>
      <c r="E33" s="1868"/>
      <c r="F33" s="1867"/>
      <c r="G33" s="1877"/>
      <c r="H33" s="1877">
        <f t="shared" si="0"/>
        <v>0</v>
      </c>
      <c r="I33" s="1877">
        <f t="shared" si="1"/>
        <v>0</v>
      </c>
      <c r="J33" s="1877">
        <f t="shared" si="2"/>
        <v>0</v>
      </c>
      <c r="L33" s="1877"/>
    </row>
    <row r="34" spans="1:14" ht="12" customHeight="1" x14ac:dyDescent="0.25">
      <c r="A34" s="1869"/>
      <c r="B34" s="1869"/>
      <c r="C34" s="1869"/>
      <c r="D34" s="1869"/>
      <c r="E34" s="1869"/>
      <c r="F34" s="1869"/>
      <c r="G34" s="1877"/>
      <c r="H34" s="1877">
        <f>SUM(H11:H32)</f>
        <v>10</v>
      </c>
      <c r="I34" s="1877">
        <f>SUM(I11:I32)</f>
        <v>10</v>
      </c>
      <c r="J34" s="1877">
        <f>SUM(J11:J32)</f>
        <v>10</v>
      </c>
      <c r="K34" s="1877">
        <f>SUM(H34:J34)</f>
        <v>30</v>
      </c>
      <c r="L34" s="1877"/>
    </row>
    <row r="35" spans="1:14" ht="12" customHeight="1" x14ac:dyDescent="0.2">
      <c r="A35" s="1870" t="s">
        <v>1392</v>
      </c>
      <c r="B35" s="1871"/>
      <c r="C35" s="2306"/>
      <c r="D35" s="2306"/>
      <c r="E35" s="2306"/>
      <c r="F35" s="2307"/>
      <c r="G35" s="1877"/>
      <c r="L35" s="1877"/>
    </row>
    <row r="36" spans="1:14" ht="12" customHeight="1" x14ac:dyDescent="0.2">
      <c r="A36" s="2289"/>
      <c r="B36" s="2290"/>
      <c r="C36" s="2290"/>
      <c r="D36" s="2290"/>
      <c r="E36" s="2290"/>
      <c r="F36" s="2291"/>
      <c r="G36" s="1877"/>
      <c r="L36" s="1877"/>
    </row>
    <row r="37" spans="1:14" ht="12" customHeight="1" x14ac:dyDescent="0.2">
      <c r="A37" s="2289"/>
      <c r="B37" s="2290"/>
      <c r="C37" s="2290"/>
      <c r="D37" s="2290"/>
      <c r="E37" s="2290"/>
      <c r="F37" s="2291"/>
      <c r="G37" s="1877"/>
      <c r="L37" s="1877"/>
    </row>
    <row r="38" spans="1:14" ht="12" customHeight="1" x14ac:dyDescent="0.2">
      <c r="A38" s="2292"/>
      <c r="B38" s="2293"/>
      <c r="C38" s="2293"/>
      <c r="D38" s="2293"/>
      <c r="E38" s="2293"/>
      <c r="F38" s="2294"/>
      <c r="H38" s="1847"/>
      <c r="I38" s="1847"/>
      <c r="J38" s="1847"/>
      <c r="K38" s="1847"/>
    </row>
    <row r="39" spans="1:14" ht="4.5" hidden="1" customHeight="1" x14ac:dyDescent="0.2">
      <c r="A39" s="1872"/>
      <c r="B39" s="1872"/>
      <c r="C39" s="1872"/>
      <c r="D39" s="1872"/>
      <c r="E39" s="1872"/>
      <c r="F39" s="1872"/>
      <c r="H39" s="1847"/>
      <c r="I39" s="1847"/>
      <c r="J39" s="1847"/>
      <c r="K39" s="1847"/>
    </row>
    <row r="40" spans="1:14" s="1869" customFormat="1" ht="12" customHeight="1" x14ac:dyDescent="0.25">
      <c r="A40" s="1873" t="s">
        <v>1391</v>
      </c>
      <c r="B40" s="1874"/>
      <c r="C40" s="2295"/>
      <c r="D40" s="2295"/>
      <c r="E40" s="2295"/>
      <c r="F40" s="2296"/>
      <c r="G40" s="2483"/>
      <c r="H40" s="2483"/>
      <c r="I40" s="2483"/>
      <c r="J40" s="2483"/>
      <c r="K40" s="2483"/>
      <c r="L40" s="2483"/>
      <c r="M40" s="2483"/>
      <c r="N40" s="2483"/>
    </row>
    <row r="41" spans="1:14" s="1869" customFormat="1" ht="12" customHeight="1" x14ac:dyDescent="0.25">
      <c r="A41" s="2297"/>
      <c r="B41" s="2298"/>
      <c r="C41" s="2298"/>
      <c r="D41" s="2298"/>
      <c r="E41" s="2298"/>
      <c r="F41" s="2299"/>
      <c r="G41" s="2483"/>
      <c r="H41" s="2483"/>
      <c r="I41" s="2483"/>
      <c r="J41" s="2483"/>
      <c r="K41" s="2483"/>
      <c r="L41" s="2483"/>
      <c r="M41" s="2483"/>
      <c r="N41" s="2483"/>
    </row>
    <row r="42" spans="1:14" s="1869" customFormat="1" ht="12" customHeight="1" x14ac:dyDescent="0.25">
      <c r="A42" s="2297"/>
      <c r="B42" s="2298"/>
      <c r="C42" s="2298"/>
      <c r="D42" s="2298"/>
      <c r="E42" s="2298"/>
      <c r="F42" s="2299"/>
      <c r="G42" s="2483"/>
      <c r="H42" s="2483"/>
      <c r="I42" s="2483"/>
      <c r="J42" s="2483"/>
      <c r="K42" s="2483"/>
      <c r="L42" s="2483"/>
      <c r="M42" s="2483"/>
      <c r="N42" s="2483"/>
    </row>
    <row r="43" spans="1:14" s="1869" customFormat="1" ht="15" x14ac:dyDescent="0.25">
      <c r="A43" s="2286"/>
      <c r="B43" s="2287"/>
      <c r="C43" s="2287"/>
      <c r="D43" s="2287"/>
      <c r="E43" s="2287"/>
      <c r="F43" s="2288"/>
      <c r="G43" s="2483"/>
      <c r="H43" s="2483"/>
      <c r="I43" s="2483"/>
      <c r="J43" s="2483"/>
      <c r="K43" s="2483"/>
      <c r="L43" s="2483"/>
      <c r="M43" s="2483"/>
      <c r="N43" s="2483"/>
    </row>
    <row r="44" spans="1:14" s="1869" customFormat="1" ht="12" hidden="1" customHeight="1" x14ac:dyDescent="0.25">
      <c r="A44" s="2286"/>
      <c r="B44" s="2287"/>
      <c r="C44" s="2287"/>
      <c r="D44" s="2287"/>
      <c r="E44" s="2287"/>
      <c r="F44" s="2288"/>
      <c r="G44" s="2483"/>
      <c r="H44" s="2483"/>
      <c r="I44" s="2483"/>
      <c r="J44" s="2483"/>
      <c r="K44" s="2483"/>
      <c r="L44" s="2483"/>
      <c r="M44" s="2483"/>
      <c r="N44" s="2483"/>
    </row>
    <row r="45" spans="1:14" s="1869" customFormat="1" ht="12" customHeight="1" x14ac:dyDescent="0.25">
      <c r="G45" s="2483"/>
      <c r="H45" s="2483"/>
      <c r="I45" s="2483"/>
      <c r="J45" s="2483"/>
      <c r="K45" s="2483"/>
      <c r="L45" s="2483"/>
      <c r="M45" s="2483"/>
      <c r="N45" s="2483"/>
    </row>
    <row r="46" spans="1:14" s="1869" customFormat="1" ht="9.75" customHeight="1" x14ac:dyDescent="0.25">
      <c r="H46" s="1878"/>
      <c r="I46" s="1878"/>
      <c r="J46" s="1878"/>
      <c r="K46" s="1878"/>
    </row>
    <row r="47" spans="1:14" s="1869" customFormat="1" ht="13.5" customHeight="1" x14ac:dyDescent="0.25">
      <c r="H47" s="1878"/>
      <c r="I47" s="1878"/>
      <c r="J47" s="1878"/>
      <c r="K47" s="1878"/>
    </row>
    <row r="48" spans="1:14"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algorithmName="SHA-512" hashValue="DW6Yc25CV/tq6rRFhaBc0x6EdMtb10Cm7wGPUFmOwj5i+b/WXwF+W3u1L18RBUgleCUjl8CbcauOYXJxsGJpbQ==" saltValue="F81Us2NMTLL1/wATdu+SGQ==" spinCount="100000" sheet="1" formatCells="0"/>
  <customSheetViews>
    <customSheetView guid="{58008B32-E4E8-4E32-8B1E-F6CE50059F4A}" scale="110" showGridLines="0" hiddenRows="1">
      <pane ySplit="4" topLeftCell="A5" activePane="bottomLeft" state="frozen"/>
      <selection pane="bottomLeft" activeCell="C27" sqref="C27"/>
      <pageMargins left="0.75" right="0.75" top="1" bottom="0.5" header="0.5" footer="0.5"/>
      <printOptions horizontalCentered="1"/>
      <pageSetup scale="75" orientation="landscape" r:id="rId1"/>
      <headerFooter>
        <oddHeader>&amp;C&amp;"Times New Roman,Regular"EAST ALTON ELEMENTARY SCHOOL DISTRICT NO. 13</oddHeader>
        <oddFooter>&amp;C&amp;"Times New Roman,Regular"See Independent Auditor's Reports
&amp;P</oddFooter>
      </headerFooter>
    </customSheetView>
    <customSheetView guid="{D43C6297-AC1B-41E2-A8C4-03E94593B8FB}" scale="110" showGridLines="0" printArea="1" hiddenRows="1">
      <pane ySplit="4" topLeftCell="A5" activePane="bottomLeft" state="frozen"/>
      <selection pane="bottomLeft" activeCell="C27" sqref="C27"/>
      <pageMargins left="0.75" right="0.75" top="1" bottom="0.5" header="0.5" footer="0.5"/>
      <printOptions horizontalCentered="1"/>
      <pageSetup scale="75" orientation="landscape" r:id="rId2"/>
      <headerFooter>
        <oddHeader>&amp;C&amp;"Times New Roman,Regular"EAST ALTON ELEMENTARY SCHOOL DISTRICT NO. 13</oddHeader>
        <oddFooter>&amp;C&amp;"Times New Roman,Regular"See Independent Auditor's Reports
&amp;P</oddFooter>
      </headerFooter>
    </customSheetView>
    <customSheetView guid="{1CEE81F4-A6A8-4CF6-96C8-1AACCC28872D}" scale="110" showGridLines="0" hiddenRows="1">
      <pane ySplit="4" topLeftCell="A5" activePane="bottomLeft" state="frozen"/>
      <selection pane="bottomLeft" activeCell="C27" sqref="C27"/>
      <pageMargins left="0.75" right="0.75" top="1" bottom="0.5" header="0.5" footer="0.5"/>
      <printOptions horizontalCentered="1"/>
      <pageSetup scale="75" orientation="landscape" r:id="rId3"/>
      <headerFooter>
        <oddHeader>&amp;C&amp;"Times New Roman,Regular"EAST ALTON ELEMENTARY SCHOOL DISTRICT NO. 13</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5" orientation="landscape" r:id="rId4"/>
  <headerFooter>
    <oddHeader>&amp;C&amp;"Times New Roman,Regular"EAST ALTON ELEMENTARY SCHOOL DISTRICT NO. 13</oddHeader>
    <oddFooter>&amp;C&amp;"Times New Roman,Regular"See Independent Auditor's Reports
&amp;P</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3" t="str">
        <f>COVER!A17</f>
        <v>East Alton SD 13</v>
      </c>
      <c r="J6" s="2314"/>
      <c r="Q6" s="1664"/>
    </row>
    <row r="7" spans="1:17" x14ac:dyDescent="0.2">
      <c r="A7" s="2315" t="s">
        <v>869</v>
      </c>
      <c r="B7" s="2316"/>
      <c r="C7" s="2316"/>
      <c r="D7" s="2316"/>
      <c r="E7" s="2317"/>
      <c r="F7" s="1017"/>
      <c r="G7" s="1009"/>
      <c r="H7" s="1016" t="s">
        <v>372</v>
      </c>
      <c r="I7" s="2318">
        <f>COVER!A13</f>
        <v>41057013002</v>
      </c>
      <c r="J7" s="231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1976</v>
      </c>
      <c r="F9" s="1023"/>
      <c r="G9" s="1023"/>
      <c r="H9" s="1895"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9" t="s">
        <v>481</v>
      </c>
      <c r="B11" s="2320"/>
      <c r="C11" s="232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245957</v>
      </c>
      <c r="F12" s="1039"/>
      <c r="G12" s="1811">
        <f t="shared" ref="G12:G18" si="0">SUM(E12:F12)</f>
        <v>245957</v>
      </c>
      <c r="H12" s="1040">
        <v>217379</v>
      </c>
      <c r="I12" s="1039"/>
      <c r="J12" s="1811">
        <f t="shared" ref="J12:J18" si="1">SUM(H12:I12)</f>
        <v>217379</v>
      </c>
    </row>
    <row r="13" spans="1:17" ht="15" customHeight="1" x14ac:dyDescent="0.2">
      <c r="A13" s="1035">
        <v>2</v>
      </c>
      <c r="B13" s="1036" t="s">
        <v>42</v>
      </c>
      <c r="C13" s="1037"/>
      <c r="D13" s="1038">
        <v>2330</v>
      </c>
      <c r="E13" s="1811">
        <f>'Expenditures 15-22'!K51</f>
        <v>163322</v>
      </c>
      <c r="F13" s="1039"/>
      <c r="G13" s="1811">
        <f t="shared" si="0"/>
        <v>163322</v>
      </c>
      <c r="H13" s="1040">
        <v>171835</v>
      </c>
      <c r="I13" s="1039"/>
      <c r="J13" s="1811">
        <f t="shared" si="1"/>
        <v>171835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594</v>
      </c>
      <c r="F16" s="1039"/>
      <c r="G16" s="1811">
        <f t="shared" si="0"/>
        <v>594</v>
      </c>
      <c r="H16" s="1040">
        <v>1400</v>
      </c>
      <c r="I16" s="1039"/>
      <c r="J16" s="1811">
        <f t="shared" si="1"/>
        <v>1400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2" t="s">
        <v>7</v>
      </c>
      <c r="C18" s="2323"/>
      <c r="D18" s="232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409873</v>
      </c>
      <c r="F19" s="1813">
        <f t="shared" si="2"/>
        <v>0</v>
      </c>
      <c r="G19" s="1813">
        <f t="shared" si="2"/>
        <v>409873</v>
      </c>
      <c r="H19" s="1813">
        <f t="shared" si="2"/>
        <v>390614</v>
      </c>
      <c r="I19" s="1813">
        <f t="shared" si="2"/>
        <v>0</v>
      </c>
      <c r="J19" s="1813">
        <f t="shared" si="2"/>
        <v>390614</v>
      </c>
    </row>
    <row r="20" spans="1:10" ht="13.5" thickTop="1" x14ac:dyDescent="0.2">
      <c r="A20" s="1035">
        <v>9</v>
      </c>
      <c r="B20" s="2325" t="s">
        <v>1978</v>
      </c>
      <c r="C20" s="2325"/>
      <c r="D20" s="2326"/>
      <c r="E20" s="1046"/>
      <c r="F20" s="1046"/>
      <c r="G20" s="1046"/>
      <c r="H20" s="1046"/>
      <c r="I20" s="1046"/>
      <c r="J20" s="1814">
        <f>IF(AND(G19&gt;0,J19&gt;0),(((J19-G19)/G19)),"Enter Budget Data")</f>
        <v>-4.6987725466180991E-2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1"/>
      <c r="D26" s="2331"/>
      <c r="E26" s="1050"/>
      <c r="F26" s="2330"/>
      <c r="G26" s="2330"/>
    </row>
    <row r="27" spans="1:10" x14ac:dyDescent="0.2">
      <c r="B27" s="1047"/>
      <c r="C27" s="1051" t="s">
        <v>1033</v>
      </c>
      <c r="D27" s="1052"/>
      <c r="E27" s="1053"/>
      <c r="F27" s="2327" t="s">
        <v>1509</v>
      </c>
      <c r="G27" s="2327"/>
    </row>
    <row r="28" spans="1:10" ht="28.5" customHeight="1" x14ac:dyDescent="0.2">
      <c r="B28" s="1047"/>
      <c r="C28" s="2329"/>
      <c r="D28" s="2329"/>
      <c r="E28" s="1054"/>
      <c r="F28" s="2329"/>
      <c r="G28" s="2329"/>
    </row>
    <row r="29" spans="1:10" x14ac:dyDescent="0.2">
      <c r="B29" s="1047"/>
      <c r="C29" s="1055" t="s">
        <v>1561</v>
      </c>
      <c r="E29" s="1056"/>
      <c r="F29" s="2328" t="s">
        <v>1510</v>
      </c>
      <c r="G29" s="232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1980</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882</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customSheetViews>
    <customSheetView guid="{58008B32-E4E8-4E32-8B1E-F6CE50059F4A}" scale="110" colorId="8" showGridLines="0" topLeftCell="A2">
      <selection activeCell="H17" sqref="H17"/>
      <pageMargins left="0.75" right="0.75" top="1" bottom="0.5" header="0.5" footer="0.5"/>
      <printOptions horizontalCentered="1"/>
      <pageSetup scale="85" firstPageNumber="53" orientation="landscape" useFirstPageNumber="1" r:id="rId1"/>
      <headerFooter>
        <oddHeader>&amp;C&amp;"Times New Roman,Regular"EAST ALTON ELEMENTARY SCHOOL DISTRICT NO. 13
LIMITATION OF ADMINISTRATIVE COSTS WORKSHEET
FOR THE YEAR ENDED JUNE 30, 2019</oddHeader>
        <oddFooter>&amp;C&amp;"Times New Roman,Regular"See Independent Auditor's Reports
&amp;P</oddFooter>
      </headerFooter>
    </customSheetView>
    <customSheetView guid="{D43C6297-AC1B-41E2-A8C4-03E94593B8FB}" scale="110" colorId="8" showPageBreaks="1" showGridLines="0" topLeftCell="A2">
      <selection activeCell="H17" sqref="H17"/>
      <pageMargins left="0.75" right="0.75" top="1" bottom="0.5" header="0.5" footer="0.5"/>
      <printOptions horizontalCentered="1"/>
      <pageSetup scale="85" firstPageNumber="53" orientation="landscape" r:id="rId2"/>
      <headerFooter>
        <oddHeader>&amp;C&amp;"Times New Roman,Regular"EAST ALTON ELEMENTARY SCHOOL DISTRICT NO. 13
LIMITATION OF ADMINISTRATIVE COSTS WORKSHEET
FOR THE YEAR ENDED JUNE 30, 2019</oddHeader>
        <oddFooter>&amp;C&amp;"Times New Roman,Regular"See Independent Auditor's Reports
&amp;P</oddFooter>
      </headerFooter>
    </customSheetView>
    <customSheetView guid="{1CEE81F4-A6A8-4CF6-96C8-1AACCC28872D}" scale="110" colorId="8" showGridLines="0" topLeftCell="A2">
      <selection activeCell="H17" sqref="H17"/>
      <pageMargins left="0.75" right="0.75" top="1" bottom="0.5" header="0.5" footer="0.5"/>
      <printOptions horizontalCentered="1"/>
      <pageSetup scale="85" firstPageNumber="53" orientation="landscape" r:id="rId3"/>
      <headerFooter>
        <oddHeader>&amp;C&amp;"Times New Roman,Regular"EAST ALTON ELEMENTARY SCHOOL DISTRICT NO. 13
LIMITATION OF ADMINISTRATIVE COSTS WORKSHEET
FOR THE YEAR ENDED JUNE 30, 2019</oddHeader>
        <oddFooter>&amp;C&amp;"Times New Roman,Regular"See Independent Auditor's Reports
&amp;P</oddFoot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53" orientation="landscape" r:id="rId4"/>
  <headerFooter>
    <oddHeader>&amp;C&amp;"Times New Roman,Regular"EAST ALTON ELEMENTARY SCHOOL DISTRICT NO. 13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2089</v>
      </c>
    </row>
    <row r="6" spans="1:2" x14ac:dyDescent="0.2">
      <c r="A6" s="1068">
        <v>2</v>
      </c>
      <c r="B6" s="329" t="s">
        <v>2090</v>
      </c>
    </row>
    <row r="7" spans="1:2" x14ac:dyDescent="0.2">
      <c r="A7" s="1068">
        <v>3</v>
      </c>
      <c r="B7" s="329" t="s">
        <v>2091</v>
      </c>
    </row>
    <row r="8" spans="1:2" x14ac:dyDescent="0.2">
      <c r="A8" s="1068">
        <v>4</v>
      </c>
      <c r="B8" s="329" t="s">
        <v>2092</v>
      </c>
    </row>
    <row r="9" spans="1:2" x14ac:dyDescent="0.2">
      <c r="A9" s="1069">
        <v>5</v>
      </c>
      <c r="B9" s="329" t="s">
        <v>2093</v>
      </c>
    </row>
    <row r="10" spans="1:2" x14ac:dyDescent="0.2">
      <c r="A10" s="1069">
        <v>6</v>
      </c>
      <c r="B10" s="329" t="s">
        <v>2094</v>
      </c>
    </row>
    <row r="11" spans="1:2" x14ac:dyDescent="0.2">
      <c r="A11" s="1069">
        <v>7</v>
      </c>
      <c r="B11" s="329" t="s">
        <v>2095</v>
      </c>
    </row>
    <row r="12" spans="1:2" x14ac:dyDescent="0.2">
      <c r="A12" s="1069">
        <v>8</v>
      </c>
      <c r="B12" s="329" t="s">
        <v>2096</v>
      </c>
    </row>
    <row r="13" spans="1:2" x14ac:dyDescent="0.2">
      <c r="A13" s="1069">
        <v>9</v>
      </c>
      <c r="B13" s="329" t="s">
        <v>2097</v>
      </c>
    </row>
    <row r="14" spans="1:2" x14ac:dyDescent="0.2">
      <c r="A14" s="1069">
        <v>10</v>
      </c>
      <c r="B14" s="329" t="s">
        <v>2098</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East Alton SD 13</v>
      </c>
    </row>
    <row r="65" spans="2:2" x14ac:dyDescent="0.2">
      <c r="B65" s="1070">
        <f>COVER!A13</f>
        <v>41057013002</v>
      </c>
    </row>
  </sheetData>
  <customSheetViews>
    <customSheetView guid="{58008B32-E4E8-4E32-8B1E-F6CE50059F4A}" scale="110" showGridLines="0">
      <selection activeCell="B17" sqref="B17"/>
      <pageMargins left="0.5" right="0.75" top="1" bottom="0.5" header="0.5" footer="0.5"/>
      <printOptions horizontalCentered="1"/>
      <pageSetup scale="80" firstPageNumber="32" orientation="portrait" r:id="rId1"/>
      <headerFooter>
        <oddHeader>&amp;C&amp;"Times New Roman,Regular"EAST ALTON ELEMENTARY SCHOOL DISTRICT NO. 13
ITEMIZATION SCHEDULE
FOR THE YEAR ENDED JUNE 30, 2019</oddHeader>
        <oddFooter>&amp;C&amp;"Times New Roman,Regular"See Independent Auditor's Reports
&amp;P</oddFooter>
      </headerFooter>
    </customSheetView>
    <customSheetView guid="{D43C6297-AC1B-41E2-A8C4-03E94593B8FB}" scale="110" showPageBreaks="1" showGridLines="0" printArea="1">
      <selection activeCell="B17" sqref="B17"/>
      <pageMargins left="0.5" right="0.75" top="1" bottom="0.5" header="0.5" footer="0.5"/>
      <printOptions horizontalCentered="1"/>
      <pageSetup scale="80" firstPageNumber="32" orientation="portrait" r:id="rId2"/>
      <headerFooter>
        <oddHeader>&amp;C&amp;"Times New Roman,Regular"EAST ALTON ELEMENTARY SCHOOL DISTRICT NO. 13
ITEMIZATION SCHEDULE
FOR THE YEAR ENDED JUNE 30, 2019</oddHeader>
        <oddFooter>&amp;C&amp;"Times New Roman,Regular"See Independent Auditor's Reports
&amp;P</oddFooter>
      </headerFooter>
    </customSheetView>
    <customSheetView guid="{1CEE81F4-A6A8-4CF6-96C8-1AACCC28872D}" scale="110" showGridLines="0">
      <selection activeCell="B17" sqref="B17"/>
      <pageMargins left="0.5" right="0.75" top="1" bottom="0.5" header="0.5" footer="0.5"/>
      <printOptions horizontalCentered="1"/>
      <pageSetup scale="80" firstPageNumber="32" orientation="portrait" r:id="rId3"/>
      <headerFooter>
        <oddHeader>&amp;C&amp;"Times New Roman,Regular"EAST ALTON ELEMENTARY SCHOOL DISTRICT NO. 13
ITEMIZATION SCHEDULE
FOR THE YEAR ENDED JUNE 30, 2019</oddHeader>
        <oddFooter>&amp;C&amp;"Times New Roman,Regular"See Independent Auditor's Reports
&amp;P</oddFooter>
      </headerFooter>
    </customSheetView>
  </customSheetViews>
  <phoneticPr fontId="14" type="noConversion"/>
  <printOptions horizontalCentered="1"/>
  <pageMargins left="0.5" right="0.75" top="1" bottom="0.5" header="0.5" footer="0.5"/>
  <pageSetup scale="80" firstPageNumber="32" orientation="portrait" r:id="rId4"/>
  <headerFooter>
    <oddHeader>&amp;C&amp;"Times New Roman,Regular"EAST ALTON ELEMENTARY SCHOOL DISTRICT NO. 13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zoomScale="6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9" t="s">
        <v>1065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691</v>
      </c>
      <c r="B40" s="2046"/>
      <c r="C40" s="2046"/>
      <c r="D40" s="2046"/>
      <c r="E40" s="2046"/>
    </row>
    <row r="41" spans="1:5" x14ac:dyDescent="0.2">
      <c r="A41" s="2047" t="s">
        <v>1608</v>
      </c>
      <c r="B41" s="2047"/>
      <c r="C41" s="2047"/>
      <c r="D41" s="2047"/>
      <c r="E41" s="2047"/>
    </row>
    <row r="42" spans="1:5" ht="12.75" customHeight="1" x14ac:dyDescent="0.2">
      <c r="A42" s="2048" t="s">
        <v>1022</v>
      </c>
      <c r="B42" s="2048"/>
      <c r="C42" s="2048"/>
      <c r="D42" s="2048"/>
      <c r="E42" s="204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customSheetViews>
    <customSheetView guid="{58008B32-E4E8-4E32-8B1E-F6CE50059F4A}" scale="60" showPageBreaks="1" showGridLines="0" printArea="1" hiddenRows="1" view="pageBreakPreview">
      <selection activeCell="K21" sqref="K21"/>
      <pageMargins left="0.75" right="0.75" top="1" bottom="0.5" header="0.5" footer="0.5"/>
      <printOptions horizontalCentered="1"/>
      <pageSetup scale="70" fitToHeight="0" orientation="portrait" r:id="rId1"/>
      <headerFooter>
        <oddHeader>&amp;C&amp;"Times New Roman,Regular"EAST ALTON ELEMENTARY SCHOOL DISTRICT NO. 13</oddHeader>
        <oddFooter>&amp;C&amp;"Times New Roman,Regular"
&amp;P</oddFooter>
      </headerFooter>
    </customSheetView>
    <customSheetView guid="{D43C6297-AC1B-41E2-A8C4-03E94593B8FB}" scale="60" showPageBreaks="1" showGridLines="0" printArea="1" hiddenRows="1" view="pageBreakPreview">
      <selection activeCell="K21" sqref="K21"/>
      <pageMargins left="0.75" right="0.75" top="1" bottom="0.5" header="0.5" footer="0.5"/>
      <printOptions horizontalCentered="1"/>
      <pageSetup scale="70" fitToHeight="0" orientation="portrait" r:id="rId2"/>
      <headerFooter>
        <oddHeader>&amp;C&amp;"Times New Roman,Regular"EAST ALTON ELEMENTARY SCHOOL DISTRICT NO. 13</oddHeader>
        <oddFooter>&amp;C&amp;"Times New Roman,Regular"
&amp;P</oddFooter>
      </headerFooter>
    </customSheetView>
    <customSheetView guid="{1CEE81F4-A6A8-4CF6-96C8-1AACCC28872D}" scale="60" showPageBreaks="1" showGridLines="0" printArea="1" hiddenRows="1" view="pageBreakPreview">
      <selection activeCell="K21" sqref="K21"/>
      <pageMargins left="0.75" right="0.75" top="1" bottom="0.5" header="0.5" footer="0.5"/>
      <printOptions horizontalCentered="1"/>
      <pageSetup scale="70" fitToHeight="0" orientation="portrait" r:id="rId3"/>
      <headerFooter>
        <oddHeader>&amp;C&amp;"Times New Roman,Regular"EAST ALTON ELEMENTARY SCHOOL DISTRICT NO. 13</oddHeader>
        <oddFooter>&amp;C&amp;"Times New Roman,Regular"
&amp;P</oddFooter>
      </headerFooter>
    </customSheetView>
  </customSheetViews>
  <mergeCells count="4">
    <mergeCell ref="A40:E40"/>
    <mergeCell ref="A41:E41"/>
    <mergeCell ref="A42:E42"/>
    <mergeCell ref="A35:E35"/>
  </mergeCells>
  <hyperlinks>
    <hyperlink ref="B71" r:id="rId4" display="Federal Single Audit 2 CFR 200.500" xr:uid="{00000000-0004-0000-0100-000000000000}"/>
    <hyperlink ref="A42" r:id="rId5" xr:uid="{00000000-0004-0000-0100-000001000000}"/>
    <hyperlink ref="B54" r:id="rId6"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7"/>
  <headerFooter>
    <oddHeader>&amp;C&amp;"Times New Roman,Regular"EAST ALTON ELEMENTARY SCHOOL DISTRICT NO. 13</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24" sqref="J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customSheetViews>
    <customSheetView guid="{58008B32-E4E8-4E32-8B1E-F6CE50059F4A}" scale="110" colorId="8" showGridLines="0">
      <selection activeCell="V29" sqref="V29"/>
      <pageMargins left="0.75" right="0.75" top="1" bottom="0.5" header="0.5" footer="0.5"/>
      <printOptions horizontalCentered="1"/>
      <pageSetup scale="90" firstPageNumber="33" orientation="landscape" r:id="rId1"/>
    </customSheetView>
    <customSheetView guid="{D43C6297-AC1B-41E2-A8C4-03E94593B8FB}" scale="110" colorId="8" showGridLines="0">
      <selection activeCell="J24" sqref="J24"/>
      <pageMargins left="0.75" right="0.75" top="1" bottom="0.5" header="0.5" footer="0.5"/>
      <printOptions horizontalCentered="1"/>
      <pageSetup scale="90" firstPageNumber="33" orientation="landscape" r:id="rId2"/>
    </customSheetView>
    <customSheetView guid="{1CEE81F4-A6A8-4CF6-96C8-1AACCC28872D}" scale="110" colorId="8" showGridLines="0">
      <selection activeCell="J24" sqref="J24"/>
      <pageMargins left="0.75" right="0.75" top="1" bottom="0.5" header="0.5" footer="0.5"/>
      <printOptions horizontalCentered="1"/>
      <pageSetup scale="90" firstPageNumber="33" orientation="landscape" r:id="rId3"/>
    </customSheetView>
  </customSheetViews>
  <phoneticPr fontId="14" type="noConversion"/>
  <printOptions horizontalCentered="1"/>
  <pageMargins left="0.75" right="0.75" top="1" bottom="0.5" header="0.5" footer="0.5"/>
  <pageSetup scale="90" firstPageNumber="33" orientation="landscape"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2" t="s">
        <v>1685</v>
      </c>
      <c r="B18" s="2332"/>
    </row>
  </sheetData>
  <sheetProtection selectLockedCells="1"/>
  <customSheetViews>
    <customSheetView guid="{58008B32-E4E8-4E32-8B1E-F6CE50059F4A}" scale="110" showGridLines="0" topLeftCell="A4">
      <selection activeCell="V29" sqref="V29"/>
      <pageMargins left="0.75" right="0.75" top="1" bottom="0.5" header="0.5" footer="0.5"/>
      <printOptions horizontalCentered="1"/>
      <pageSetup scale="90" firstPageNumber="34" orientation="landscape" r:id="rId1"/>
    </customSheetView>
    <customSheetView guid="{D43C6297-AC1B-41E2-A8C4-03E94593B8FB}" scale="110" showGridLines="0" topLeftCell="A4">
      <selection activeCell="V29" sqref="V29"/>
      <pageMargins left="0.75" right="0.75" top="1" bottom="0.5" header="0.5" footer="0.5"/>
      <printOptions horizontalCentered="1"/>
      <pageSetup scale="90" firstPageNumber="34" orientation="landscape" r:id="rId2"/>
    </customSheetView>
    <customSheetView guid="{1CEE81F4-A6A8-4CF6-96C8-1AACCC28872D}" scale="110" showGridLines="0" topLeftCell="A4">
      <selection activeCell="V29" sqref="V29"/>
      <pageMargins left="0.75" right="0.75" top="1" bottom="0.5" header="0.5" footer="0.5"/>
      <printOptions horizontalCentered="1"/>
      <pageSetup scale="90" firstPageNumber="34" orientation="landscape" r:id="rId3"/>
    </customSheetView>
  </customSheetViews>
  <mergeCells count="1">
    <mergeCell ref="A18:B18"/>
  </mergeCells>
  <phoneticPr fontId="14" type="noConversion"/>
  <printOptions horizontalCentered="1"/>
  <pageMargins left="0.75" right="0.75" top="1" bottom="0.5" header="0.5" footer="0.5"/>
  <pageSetup scale="90" firstPageNumber="34" orientation="landscape" r:id="rId4"/>
  <drawing r:id="rId5"/>
  <legacyDrawing r:id="rId6"/>
  <oleObjects>
    <mc:AlternateContent xmlns:mc="http://schemas.openxmlformats.org/markup-compatibility/2006">
      <mc:Choice Requires="x14">
        <oleObject progId="Acrobat Document" dvAspect="DVASPECT_ICON" shapeId="50177" r:id="rId7">
          <objectPr defaultSize="0" r:id="rId8">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7"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view="pageBreakPreview" zoomScale="6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1984</v>
      </c>
      <c r="B2" s="2344"/>
      <c r="C2" s="2344"/>
      <c r="D2" s="2344"/>
      <c r="E2" s="2344"/>
      <c r="F2" s="2345"/>
      <c r="G2" s="1074"/>
      <c r="H2" s="1074"/>
    </row>
    <row r="3" spans="1:8" ht="57" customHeight="1" x14ac:dyDescent="0.2">
      <c r="A3" s="2346" t="s">
        <v>1686</v>
      </c>
      <c r="B3" s="2347"/>
      <c r="C3" s="2347"/>
      <c r="D3" s="2347"/>
      <c r="E3" s="2347"/>
      <c r="F3" s="2348"/>
      <c r="G3" s="1074"/>
      <c r="H3" s="1074"/>
    </row>
    <row r="4" spans="1:8" ht="14.25" customHeight="1" x14ac:dyDescent="0.2">
      <c r="A4" s="2352" t="s">
        <v>1985</v>
      </c>
      <c r="B4" s="2353"/>
      <c r="C4" s="2353"/>
      <c r="D4" s="2353"/>
      <c r="E4" s="2353"/>
      <c r="F4" s="2354"/>
      <c r="G4" s="1074"/>
      <c r="H4" s="1074"/>
    </row>
    <row r="5" spans="1:8" ht="14.25" customHeight="1" x14ac:dyDescent="0.2">
      <c r="A5" s="2355" t="s">
        <v>1981</v>
      </c>
      <c r="B5" s="2356"/>
      <c r="C5" s="2356"/>
      <c r="D5" s="2356"/>
      <c r="E5" s="2356"/>
      <c r="F5" s="2357"/>
      <c r="G5" s="1074"/>
      <c r="H5" s="1074"/>
    </row>
    <row r="6" spans="1:8" s="1075" customFormat="1" ht="41.25" customHeight="1" x14ac:dyDescent="0.2">
      <c r="A6" s="2349" t="s">
        <v>1691</v>
      </c>
      <c r="B6" s="2350"/>
      <c r="C6" s="2350"/>
      <c r="D6" s="2350"/>
      <c r="E6" s="2350"/>
      <c r="F6" s="235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7954091</v>
      </c>
      <c r="C8" s="1815">
        <f>'Acct Summary 7-8'!D8</f>
        <v>789146</v>
      </c>
      <c r="D8" s="1815">
        <f>'Acct Summary 7-8'!F8</f>
        <v>269391</v>
      </c>
      <c r="E8" s="1815">
        <f>'Acct Summary 7-8'!I8</f>
        <v>51338</v>
      </c>
      <c r="F8" s="1815">
        <f>SUM(B8:E8)</f>
        <v>9063966</v>
      </c>
    </row>
    <row r="9" spans="1:8" s="1079" customFormat="1" ht="14.25" customHeight="1" thickBot="1" x14ac:dyDescent="0.25">
      <c r="A9" s="1078" t="s">
        <v>1369</v>
      </c>
      <c r="B9" s="1816">
        <f>'Acct Summary 7-8'!C17</f>
        <v>7659043</v>
      </c>
      <c r="C9" s="1816">
        <f>'Acct Summary 7-8'!D17</f>
        <v>572634</v>
      </c>
      <c r="D9" s="1816">
        <f>'Acct Summary 7-8'!F17</f>
        <v>229300</v>
      </c>
      <c r="E9" s="1815"/>
      <c r="F9" s="1815">
        <f>SUM(B9:E9)</f>
        <v>8460977</v>
      </c>
    </row>
    <row r="10" spans="1:8" s="1079" customFormat="1" ht="14.25" thickTop="1" thickBot="1" x14ac:dyDescent="0.25">
      <c r="A10" s="1080" t="s">
        <v>1370</v>
      </c>
      <c r="B10" s="1817">
        <f>(B8-B9)</f>
        <v>295048</v>
      </c>
      <c r="C10" s="1817">
        <f>(C8-C9)</f>
        <v>216512</v>
      </c>
      <c r="D10" s="1817">
        <f>(D8-D9)</f>
        <v>40091</v>
      </c>
      <c r="E10" s="1816">
        <f>(E8-E9)</f>
        <v>51338</v>
      </c>
      <c r="F10" s="1818">
        <f>SUM(F8-F9)</f>
        <v>602989</v>
      </c>
    </row>
    <row r="11" spans="1:8" s="1079" customFormat="1" ht="14.25" thickTop="1" thickBot="1" x14ac:dyDescent="0.25">
      <c r="A11" s="1081" t="s">
        <v>1982</v>
      </c>
      <c r="B11" s="1819">
        <f>'Acct Summary 7-8'!C81</f>
        <v>833311</v>
      </c>
      <c r="C11" s="1819">
        <f>'Acct Summary 7-8'!D81</f>
        <v>374148</v>
      </c>
      <c r="D11" s="1819">
        <f>'Acct Summary 7-8'!F81</f>
        <v>84668</v>
      </c>
      <c r="E11" s="1819">
        <f>'Acct Summary 7-8'!I81</f>
        <v>1444420</v>
      </c>
      <c r="F11" s="1820">
        <f>SUM(B11:E11)</f>
        <v>2736547</v>
      </c>
    </row>
    <row r="12" spans="1:8" ht="16.5" customHeight="1" thickTop="1" x14ac:dyDescent="0.2">
      <c r="A12" s="1082"/>
      <c r="B12" s="1083"/>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4"/>
      <c r="B13" s="1085"/>
      <c r="C13" s="2337"/>
      <c r="D13" s="2338"/>
      <c r="E13" s="2338"/>
      <c r="F13" s="2339"/>
      <c r="H13" s="1074"/>
    </row>
    <row r="14" spans="1:8" ht="19.5" customHeight="1" x14ac:dyDescent="0.2">
      <c r="A14" s="1084"/>
      <c r="B14" s="1085"/>
      <c r="C14" s="2337"/>
      <c r="D14" s="2338"/>
      <c r="E14" s="2338"/>
      <c r="F14" s="2339"/>
      <c r="H14" s="1074"/>
    </row>
    <row r="15" spans="1:8" ht="17.25" customHeight="1" x14ac:dyDescent="0.2">
      <c r="A15" s="1084"/>
      <c r="B15" s="1085"/>
      <c r="C15" s="2340"/>
      <c r="D15" s="2341"/>
      <c r="E15" s="2341"/>
      <c r="F15" s="2342"/>
      <c r="H15" s="1074"/>
    </row>
    <row r="16" spans="1:8" s="310" customFormat="1" ht="51.75" hidden="1" customHeight="1" x14ac:dyDescent="0.2">
      <c r="A16" s="2336" t="s">
        <v>1687</v>
      </c>
      <c r="B16" s="2336"/>
      <c r="C16" s="2336"/>
      <c r="D16" s="2336"/>
      <c r="E16" s="233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customSheetViews>
    <customSheetView guid="{58008B32-E4E8-4E32-8B1E-F6CE50059F4A}" scale="60" showPageBreaks="1" showGridLines="0" zeroValues="0" hiddenRows="1" view="pageBreakPreview">
      <selection activeCell="V29" sqref="V29"/>
      <pageMargins left="0.75" right="0.75" top="1.5" bottom="0.5" header="0.5" footer="0.5"/>
      <printOptions horizontalCentered="1"/>
      <pageSetup firstPageNumber="19" fitToHeight="0" orientation="landscape" r:id="rId1"/>
      <headerFooter>
        <oddHeader>&amp;C&amp;"Times New Roman,Regular"EAST ALTON ELEMENTARY SCHOOL DISTRICT NO. 13
DEFICIT ANNUAL FINANCIAL REPORT (AFR) SUMMARY INFORMATION
FOR THE YEAR ENDED JUNE 30, 2019</oddHeader>
        <oddFooter>&amp;C&amp;"Times New Roman,Regular"See Independent Auditor's Reports
&amp;P</oddFooter>
      </headerFooter>
    </customSheetView>
    <customSheetView guid="{D43C6297-AC1B-41E2-A8C4-03E94593B8FB}" scale="60" showPageBreaks="1" showGridLines="0" zeroValues="0" hiddenRows="1" view="pageBreakPreview">
      <selection activeCell="V29" sqref="V29"/>
      <pageMargins left="0.75" right="0.75" top="1.5" bottom="0.5" header="0.5" footer="0.5"/>
      <printOptions horizontalCentered="1"/>
      <pageSetup firstPageNumber="19" fitToHeight="0" orientation="landscape" r:id="rId2"/>
      <headerFooter>
        <oddHeader>&amp;C&amp;"Times New Roman,Regular"EAST ALTON ELEMENTARY SCHOOL DISTRICT NO. 13
DEFICIT ANNUAL FINANCIAL REPORT (AFR) SUMMARY INFORMATION
FOR THE YEAR ENDED JUNE 30, 2019</oddHeader>
        <oddFooter>&amp;C&amp;"Times New Roman,Regular"See Independent Auditor's Reports
&amp;P</oddFooter>
      </headerFooter>
    </customSheetView>
    <customSheetView guid="{1CEE81F4-A6A8-4CF6-96C8-1AACCC28872D}" scale="60" showPageBreaks="1" showGridLines="0" zeroValues="0" hiddenRows="1" view="pageBreakPreview">
      <selection activeCell="V29" sqref="V29"/>
      <pageMargins left="0.75" right="0.75" top="1.5" bottom="0.5" header="0.5" footer="0.5"/>
      <printOptions horizontalCentered="1"/>
      <pageSetup firstPageNumber="19" fitToHeight="0" orientation="landscape" r:id="rId3"/>
      <headerFooter>
        <oddHeader>&amp;C&amp;"Times New Roman,Regular"EAST ALTON ELEMENTARY SCHOOL DISTRICT NO. 13
DEFICIT ANNUAL FINANCIAL REPORT (AFR) SUMMARY INFORMATION
FOR THE YEAR ENDED JUNE 30, 2019</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4"/>
  <headerFooter>
    <oddHeader>&amp;C&amp;"Times New Roman,Regular"EAST ALTON ELEMENTARY SCHOOL DISTRICT NO. 13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3" colorId="8" zoomScale="110" zoomScaleNormal="110" workbookViewId="0">
      <selection activeCell="D86" sqref="D8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58" t="s">
        <v>665</v>
      </c>
      <c r="B3" s="2359"/>
      <c r="C3" s="2359"/>
      <c r="D3" s="2360"/>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9" t="s">
        <v>1504</v>
      </c>
      <c r="D7" s="2370"/>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1" t="s">
        <v>1008</v>
      </c>
      <c r="B15" s="2362"/>
      <c r="C15" s="2362"/>
      <c r="D15" s="2363"/>
    </row>
    <row r="16" spans="1:4" s="668" customFormat="1" ht="24" customHeight="1" x14ac:dyDescent="0.2">
      <c r="A16" s="2364" t="s">
        <v>663</v>
      </c>
      <c r="B16" s="2365"/>
      <c r="C16" s="2365"/>
      <c r="D16" s="236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3" t="s">
        <v>314</v>
      </c>
      <c r="D21" s="2374"/>
    </row>
    <row r="22" spans="1:10" ht="12.75" x14ac:dyDescent="0.2">
      <c r="A22" s="1139"/>
      <c r="B22" s="1140">
        <v>2</v>
      </c>
      <c r="C22" s="2371" t="s">
        <v>1524</v>
      </c>
      <c r="D22" s="237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5" t="s">
        <v>536</v>
      </c>
      <c r="D43" s="237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7" t="s">
        <v>784</v>
      </c>
      <c r="D56" s="236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67" t="s">
        <v>1696</v>
      </c>
      <c r="D70" s="236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31"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algorithmName="SHA-512" hashValue="u1TmAm+bKxmzoktgK3ezqgZ1PeRkXX4V9hvIW0UawGZgJRO9Ce/q96Mh/aCvQqiBmwlHupvRN3/5NPY0uywZiw==" saltValue="AwXyfIxBLqTtqGj4POP3AQ==" spinCount="100000" sheet="1" objects="1" scenarios="1"/>
  <customSheetViews>
    <customSheetView guid="{58008B32-E4E8-4E32-8B1E-F6CE50059F4A}" scale="110" colorId="8" showGridLines="0" fitToPage="1" hiddenRows="1" topLeftCell="A47">
      <selection activeCell="D55" sqref="D55"/>
      <pageMargins left="0.75" right="0.75" top="1" bottom="0.5" header="0.5" footer="0.5"/>
      <printOptions horizontalCentered="1"/>
      <pageSetup scale="63" firstPageNumber="32" orientation="portrait" r:id="rId1"/>
      <headerFooter>
        <oddHeader xml:space="preserve">&amp;C&amp;"Times New Roman,Regular"
</oddHeader>
      </headerFooter>
    </customSheetView>
    <customSheetView guid="{D43C6297-AC1B-41E2-A8C4-03E94593B8FB}" scale="110" colorId="8" showGridLines="0" fitToPage="1" hiddenRows="1" topLeftCell="A47">
      <selection activeCell="D55" sqref="D55"/>
      <pageMargins left="0.75" right="0.75" top="1" bottom="0.5" header="0.5" footer="0.5"/>
      <printOptions horizontalCentered="1"/>
      <pageSetup scale="63" firstPageNumber="32" orientation="portrait" r:id="rId2"/>
      <headerFooter>
        <oddHeader xml:space="preserve">&amp;C&amp;"Times New Roman,Regular"
</oddHeader>
      </headerFooter>
    </customSheetView>
    <customSheetView guid="{1CEE81F4-A6A8-4CF6-96C8-1AACCC28872D}" scale="110" colorId="8" showGridLines="0" fitToPage="1" hiddenRows="1" topLeftCell="A47">
      <selection activeCell="D55" sqref="D55"/>
      <pageMargins left="0.75" right="0.75" top="1" bottom="0.5" header="0.5" footer="0.5"/>
      <printOptions horizontalCentered="1"/>
      <pageSetup scale="63" firstPageNumber="32" orientation="portrait" r:id="rId3"/>
      <headerFooter>
        <oddHeader xml:space="preserve">&amp;C&amp;"Times New Roman,Regular"
</oddHead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63" firstPageNumber="32" orientation="portrait" r:id="rId4"/>
  <headerFooter>
    <oddHeader xml:space="preserve">&amp;C&amp;"Times New Roman,Regular"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41057013002</v>
      </c>
    </row>
    <row r="3" spans="1:2" x14ac:dyDescent="0.2">
      <c r="A3" t="s">
        <v>956</v>
      </c>
      <c r="B3" s="138" t="str">
        <f>COVER!A15</f>
        <v>MADISON</v>
      </c>
    </row>
    <row r="4" spans="1:2" x14ac:dyDescent="0.2">
      <c r="A4" t="s">
        <v>1007</v>
      </c>
      <c r="B4" s="138" t="str">
        <f>COVER!A17</f>
        <v>East Alton SD 13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833311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833311</v>
      </c>
      <c r="D92" s="2" t="str">
        <f t="shared" si="0"/>
        <v>Error?</v>
      </c>
    </row>
    <row r="93" spans="1:4" x14ac:dyDescent="0.2">
      <c r="A93" s="5">
        <v>32</v>
      </c>
      <c r="B93" s="138">
        <f>'Assets-Liab 5-6'!C41</f>
        <v>833311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374148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374148</v>
      </c>
      <c r="D123" s="2" t="str">
        <f t="shared" si="0"/>
        <v>Error?</v>
      </c>
    </row>
    <row r="124" spans="1:4" x14ac:dyDescent="0.2">
      <c r="A124" s="5">
        <v>63</v>
      </c>
      <c r="B124" s="138">
        <f>'Assets-Liab 5-6'!D41</f>
        <v>374148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51600</v>
      </c>
      <c r="C139" s="2" t="s">
        <v>573</v>
      </c>
      <c r="D139" s="2" t="str">
        <f t="shared" si="1"/>
        <v>Error?</v>
      </c>
    </row>
    <row r="140" spans="1:4" x14ac:dyDescent="0.2">
      <c r="A140" s="5">
        <v>79</v>
      </c>
      <c r="B140" s="138">
        <f>'Assets-Liab 5-6'!E39</f>
        <v>-51507</v>
      </c>
      <c r="D140" s="2" t="str">
        <f t="shared" si="1"/>
        <v>Error?</v>
      </c>
    </row>
    <row r="141" spans="1:4" x14ac:dyDescent="0.2">
      <c r="A141" s="5">
        <v>80</v>
      </c>
      <c r="B141" s="138">
        <f>'Assets-Liab 5-6'!E41</f>
        <v>93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84668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84668</v>
      </c>
      <c r="D170" s="2" t="str">
        <f t="shared" si="1"/>
        <v>Error?</v>
      </c>
    </row>
    <row r="171" spans="1:4" x14ac:dyDescent="0.2">
      <c r="A171" s="5">
        <v>110</v>
      </c>
      <c r="B171" s="138">
        <f>'Assets-Liab 5-6'!F41</f>
        <v>84668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115436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64637</v>
      </c>
      <c r="D189" s="2" t="str">
        <f t="shared" si="1"/>
        <v>Error?</v>
      </c>
    </row>
    <row r="190" spans="1:4" x14ac:dyDescent="0.2">
      <c r="A190" s="5">
        <v>129</v>
      </c>
      <c r="B190" s="138">
        <f>'Assets-Liab 5-6'!G41</f>
        <v>115436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888</v>
      </c>
      <c r="D212" s="2" t="str">
        <f t="shared" si="2"/>
        <v>Error?</v>
      </c>
    </row>
    <row r="213" spans="1:4" x14ac:dyDescent="0.2">
      <c r="A213" s="12">
        <v>152</v>
      </c>
      <c r="B213" s="138">
        <f>'Assets-Liab 5-6'!H41</f>
        <v>888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100686</v>
      </c>
      <c r="D273" s="2" t="str">
        <f t="shared" si="3"/>
        <v>Error?</v>
      </c>
    </row>
    <row r="274" spans="1:4" x14ac:dyDescent="0.2">
      <c r="A274" s="5">
        <v>213</v>
      </c>
      <c r="B274" s="138">
        <f>'Assets-Liab 5-6'!M17</f>
        <v>11690654</v>
      </c>
      <c r="D274" s="2" t="str">
        <f t="shared" si="3"/>
        <v>Error?</v>
      </c>
    </row>
    <row r="275" spans="1:4" x14ac:dyDescent="0.2">
      <c r="A275" s="5">
        <v>214</v>
      </c>
      <c r="B275" s="138">
        <f>'Assets-Liab 5-6'!M18</f>
        <v>3295725</v>
      </c>
      <c r="D275" s="2" t="str">
        <f t="shared" si="3"/>
        <v>Error?</v>
      </c>
    </row>
    <row r="276" spans="1:4" x14ac:dyDescent="0.2">
      <c r="A276" s="5">
        <v>215</v>
      </c>
      <c r="B276" s="138">
        <f>'Assets-Liab 5-6'!M19</f>
        <v>5064720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20151785</v>
      </c>
      <c r="C279" s="2" t="s">
        <v>573</v>
      </c>
      <c r="D279" s="2" t="str">
        <f t="shared" si="3"/>
        <v>Error?</v>
      </c>
    </row>
    <row r="280" spans="1:4" x14ac:dyDescent="0.2">
      <c r="A280" s="5">
        <v>219</v>
      </c>
      <c r="B280" s="138">
        <f>'Assets-Liab 5-6'!M40</f>
        <v>20151785</v>
      </c>
      <c r="D280" s="2" t="str">
        <f t="shared" si="3"/>
        <v>Error?</v>
      </c>
    </row>
    <row r="281" spans="1:4" x14ac:dyDescent="0.2">
      <c r="A281" s="5">
        <v>220</v>
      </c>
      <c r="B281" s="138">
        <f>'Assets-Liab 5-6'!M41</f>
        <v>20151785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4367583</v>
      </c>
      <c r="D283" s="2" t="str">
        <f t="shared" si="3"/>
        <v>Error?</v>
      </c>
    </row>
    <row r="284" spans="1:4" x14ac:dyDescent="0.2">
      <c r="A284" s="5">
        <v>223</v>
      </c>
      <c r="B284" s="138">
        <f>'Assets-Liab 5-6'!N23</f>
        <v>4367583</v>
      </c>
      <c r="C284" s="2" t="s">
        <v>573</v>
      </c>
      <c r="D284" s="2" t="str">
        <f t="shared" si="3"/>
        <v>Error?</v>
      </c>
    </row>
    <row r="285" spans="1:4" x14ac:dyDescent="0.2">
      <c r="A285" s="5">
        <v>224</v>
      </c>
      <c r="B285" s="138">
        <f>'Assets-Liab 5-6'!N36</f>
        <v>4367583</v>
      </c>
      <c r="D285" s="2" t="str">
        <f t="shared" si="3"/>
        <v>Error?</v>
      </c>
    </row>
    <row r="286" spans="1:4" x14ac:dyDescent="0.2">
      <c r="A286" s="10">
        <v>225</v>
      </c>
      <c r="D286" s="2" t="str">
        <f t="shared" si="3"/>
        <v>OK</v>
      </c>
    </row>
    <row r="287" spans="1:4" x14ac:dyDescent="0.2">
      <c r="A287" s="5">
        <v>226</v>
      </c>
      <c r="B287" s="138">
        <f>'Assets-Liab 5-6'!N37</f>
        <v>4367583</v>
      </c>
      <c r="C287" s="2" t="s">
        <v>573</v>
      </c>
      <c r="D287" s="2" t="str">
        <f t="shared" si="3"/>
        <v>Error?</v>
      </c>
    </row>
    <row r="288" spans="1:4" x14ac:dyDescent="0.2">
      <c r="A288" s="5">
        <v>227</v>
      </c>
      <c r="B288" s="138">
        <f>'Assets-Liab 5-6'!N41</f>
        <v>4367583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1578</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1756072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304650</v>
      </c>
      <c r="D718" s="2" t="str">
        <f t="shared" si="10"/>
        <v>Error?</v>
      </c>
    </row>
    <row r="719" spans="1:4" x14ac:dyDescent="0.2">
      <c r="A719" s="5">
        <v>658</v>
      </c>
      <c r="B719" s="138">
        <f>'Expenditures 15-22'!C15</f>
        <v>30243</v>
      </c>
      <c r="D719" s="2" t="str">
        <f t="shared" si="10"/>
        <v>Error?</v>
      </c>
    </row>
    <row r="720" spans="1:4" x14ac:dyDescent="0.2">
      <c r="A720" s="5">
        <v>659</v>
      </c>
      <c r="B720" s="138">
        <f>'Expenditures 15-22'!C33</f>
        <v>3244660</v>
      </c>
      <c r="C720" s="2" t="s">
        <v>573</v>
      </c>
      <c r="D720" s="2" t="str">
        <f t="shared" si="10"/>
        <v>Error?</v>
      </c>
    </row>
    <row r="721" spans="1:4" x14ac:dyDescent="0.2">
      <c r="A721" s="5">
        <v>660</v>
      </c>
      <c r="B721" s="138">
        <f>'Expenditures 15-22'!C36</f>
        <v>1537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25132</v>
      </c>
      <c r="D723" s="2" t="str">
        <f t="shared" si="10"/>
        <v>Error?</v>
      </c>
    </row>
    <row r="724" spans="1:4" x14ac:dyDescent="0.2">
      <c r="A724" s="5">
        <v>663</v>
      </c>
      <c r="B724" s="138">
        <f>'Expenditures 15-22'!C39</f>
        <v>70604</v>
      </c>
      <c r="D724" s="2" t="str">
        <f t="shared" si="10"/>
        <v>Error?</v>
      </c>
    </row>
    <row r="725" spans="1:4" x14ac:dyDescent="0.2">
      <c r="A725" s="5">
        <v>664</v>
      </c>
      <c r="B725" s="138">
        <f>'Expenditures 15-22'!C40</f>
        <v>146841</v>
      </c>
      <c r="D725" s="2" t="str">
        <f t="shared" si="10"/>
        <v>Error?</v>
      </c>
    </row>
    <row r="726" spans="1:4" x14ac:dyDescent="0.2">
      <c r="A726" s="5">
        <v>665</v>
      </c>
      <c r="B726" s="138">
        <f>'Expenditures 15-22'!C41</f>
        <v>6045</v>
      </c>
      <c r="D726" s="2" t="str">
        <f t="shared" si="10"/>
        <v>Error?</v>
      </c>
    </row>
    <row r="727" spans="1:4" x14ac:dyDescent="0.2">
      <c r="A727" s="5">
        <v>666</v>
      </c>
      <c r="B727" s="138">
        <f>'Expenditures 15-22'!C42</f>
        <v>250159</v>
      </c>
      <c r="C727" s="2" t="s">
        <v>573</v>
      </c>
      <c r="D727" s="2" t="str">
        <f t="shared" si="10"/>
        <v>Error?</v>
      </c>
    </row>
    <row r="728" spans="1:4" x14ac:dyDescent="0.2">
      <c r="A728" s="5">
        <v>667</v>
      </c>
      <c r="B728" s="138">
        <f>'Expenditures 15-22'!C44</f>
        <v>138635</v>
      </c>
      <c r="D728" s="2" t="str">
        <f t="shared" si="10"/>
        <v>Error?</v>
      </c>
    </row>
    <row r="729" spans="1:4" x14ac:dyDescent="0.2">
      <c r="A729" s="5">
        <v>668</v>
      </c>
      <c r="B729" s="138">
        <f>'Expenditures 15-22'!C45</f>
        <v>50447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189082</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175918</v>
      </c>
      <c r="D733" s="2" t="str">
        <f t="shared" si="10"/>
        <v>Error?</v>
      </c>
    </row>
    <row r="734" spans="1:4" x14ac:dyDescent="0.2">
      <c r="A734" s="5">
        <v>673</v>
      </c>
      <c r="B734" s="138">
        <f>'Expenditures 15-22'!C53</f>
        <v>308623</v>
      </c>
      <c r="C734" s="2" t="s">
        <v>573</v>
      </c>
      <c r="D734" s="2" t="str">
        <f t="shared" si="10"/>
        <v>Error?</v>
      </c>
    </row>
    <row r="735" spans="1:4" x14ac:dyDescent="0.2">
      <c r="A735" s="5">
        <v>674</v>
      </c>
      <c r="B735" s="138">
        <f>'Expenditures 15-22'!C55</f>
        <v>257256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257256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52676</v>
      </c>
      <c r="D739" s="2" t="str">
        <f t="shared" si="10"/>
        <v>Error?</v>
      </c>
    </row>
    <row r="740" spans="1:4" x14ac:dyDescent="0.2">
      <c r="A740" s="5">
        <v>679</v>
      </c>
      <c r="B740" s="138">
        <f>'Expenditures 15-22'!C61</f>
        <v>49339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190228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292243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24789</v>
      </c>
      <c r="D751" s="2" t="str">
        <f t="shared" si="10"/>
        <v>Error?</v>
      </c>
    </row>
    <row r="752" spans="1:4" x14ac:dyDescent="0.2">
      <c r="A752" s="10">
        <v>691</v>
      </c>
      <c r="D752" s="2" t="str">
        <f t="shared" si="10"/>
        <v>OK</v>
      </c>
    </row>
    <row r="753" spans="1:4" x14ac:dyDescent="0.2">
      <c r="A753" s="5">
        <v>692</v>
      </c>
      <c r="B753" s="138">
        <f>'Expenditures 15-22'!C72</f>
        <v>24789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1322152</v>
      </c>
      <c r="C755" s="2" t="s">
        <v>573</v>
      </c>
      <c r="D755" s="2" t="str">
        <f t="shared" si="10"/>
        <v>Error?</v>
      </c>
    </row>
    <row r="756" spans="1:4" x14ac:dyDescent="0.2">
      <c r="A756" s="5">
        <v>695</v>
      </c>
      <c r="B756" s="138">
        <f>'Expenditures 15-22'!C75</f>
        <v>287588</v>
      </c>
      <c r="D756" s="2" t="str">
        <f t="shared" si="10"/>
        <v>Error?</v>
      </c>
    </row>
    <row r="757" spans="1:4" x14ac:dyDescent="0.2">
      <c r="A757" s="5">
        <v>696</v>
      </c>
      <c r="B757" s="138">
        <f>'Expenditures 15-22'!C114</f>
        <v>4854400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464099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71431</v>
      </c>
      <c r="D776" s="2" t="str">
        <f t="shared" si="11"/>
        <v>Error?</v>
      </c>
    </row>
    <row r="777" spans="1:4" x14ac:dyDescent="0.2">
      <c r="A777" s="5">
        <v>716</v>
      </c>
      <c r="B777" s="138">
        <f>'Expenditures 15-22'!D15</f>
        <v>3497</v>
      </c>
      <c r="D777" s="2" t="str">
        <f t="shared" si="11"/>
        <v>Error?</v>
      </c>
    </row>
    <row r="778" spans="1:4" x14ac:dyDescent="0.2">
      <c r="A778" s="5">
        <v>717</v>
      </c>
      <c r="B778" s="138">
        <f>'Expenditures 15-22'!D33</f>
        <v>924990</v>
      </c>
      <c r="C778" s="2" t="s">
        <v>573</v>
      </c>
      <c r="D778" s="2" t="str">
        <f t="shared" si="11"/>
        <v>Error?</v>
      </c>
    </row>
    <row r="779" spans="1:4" x14ac:dyDescent="0.2">
      <c r="A779" s="5">
        <v>718</v>
      </c>
      <c r="B779" s="138">
        <f>'Expenditures 15-22'!D36</f>
        <v>336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8252</v>
      </c>
      <c r="D781" s="2" t="str">
        <f t="shared" si="11"/>
        <v>Error?</v>
      </c>
    </row>
    <row r="782" spans="1:4" x14ac:dyDescent="0.2">
      <c r="A782" s="5">
        <v>721</v>
      </c>
      <c r="B782" s="138">
        <f>'Expenditures 15-22'!D39</f>
        <v>24179</v>
      </c>
      <c r="D782" s="2" t="str">
        <f t="shared" si="11"/>
        <v>Error?</v>
      </c>
    </row>
    <row r="783" spans="1:4" x14ac:dyDescent="0.2">
      <c r="A783" s="5">
        <v>722</v>
      </c>
      <c r="B783" s="138">
        <f>'Expenditures 15-22'!D40</f>
        <v>37344</v>
      </c>
      <c r="D783" s="2" t="str">
        <f t="shared" si="11"/>
        <v>Error?</v>
      </c>
    </row>
    <row r="784" spans="1:4" x14ac:dyDescent="0.2">
      <c r="A784" s="5">
        <v>723</v>
      </c>
      <c r="B784" s="138">
        <f>'Expenditures 15-22'!D41</f>
        <v>15</v>
      </c>
      <c r="D784" s="2" t="str">
        <f t="shared" si="11"/>
        <v>Error?</v>
      </c>
    </row>
    <row r="785" spans="1:4" x14ac:dyDescent="0.2">
      <c r="A785" s="5">
        <v>724</v>
      </c>
      <c r="B785" s="138">
        <f>'Expenditures 15-22'!D42</f>
        <v>70126</v>
      </c>
      <c r="C785" s="2" t="s">
        <v>573</v>
      </c>
      <c r="D785" s="2" t="str">
        <f t="shared" si="11"/>
        <v>Error?</v>
      </c>
    </row>
    <row r="786" spans="1:4" x14ac:dyDescent="0.2">
      <c r="A786" s="5">
        <v>725</v>
      </c>
      <c r="B786" s="138">
        <f>'Expenditures 15-22'!D44</f>
        <v>44025</v>
      </c>
      <c r="D786" s="2" t="str">
        <f t="shared" si="11"/>
        <v>Error?</v>
      </c>
    </row>
    <row r="787" spans="1:4" x14ac:dyDescent="0.2">
      <c r="A787" s="5">
        <v>726</v>
      </c>
      <c r="B787" s="138">
        <f>'Expenditures 15-22'!D45</f>
        <v>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44041</v>
      </c>
      <c r="C789" s="2" t="s">
        <v>573</v>
      </c>
      <c r="D789" s="2" t="str">
        <f t="shared" si="11"/>
        <v>Error?</v>
      </c>
    </row>
    <row r="790" spans="1:4" x14ac:dyDescent="0.2">
      <c r="A790" s="5">
        <v>729</v>
      </c>
      <c r="B790" s="138">
        <f>'Expenditures 15-22'!D49</f>
        <v>158032</v>
      </c>
      <c r="D790" s="2" t="str">
        <f t="shared" si="11"/>
        <v>Error?</v>
      </c>
    </row>
    <row r="791" spans="1:4" x14ac:dyDescent="0.2">
      <c r="A791" s="5">
        <v>730</v>
      </c>
      <c r="B791" s="138">
        <f>'Expenditures 15-22'!D50</f>
        <v>55280</v>
      </c>
      <c r="D791" s="2" t="str">
        <f t="shared" si="11"/>
        <v>Error?</v>
      </c>
    </row>
    <row r="792" spans="1:4" x14ac:dyDescent="0.2">
      <c r="A792" s="5">
        <v>731</v>
      </c>
      <c r="B792" s="138">
        <f>'Expenditures 15-22'!D53</f>
        <v>235457</v>
      </c>
      <c r="C792" s="2" t="s">
        <v>573</v>
      </c>
      <c r="D792" s="2" t="str">
        <f t="shared" si="11"/>
        <v>Error?</v>
      </c>
    </row>
    <row r="793" spans="1:4" x14ac:dyDescent="0.2">
      <c r="A793" s="5">
        <v>732</v>
      </c>
      <c r="B793" s="138">
        <f>'Expenditures 15-22'!D55</f>
        <v>47240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47240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10891</v>
      </c>
      <c r="D797" s="2" t="str">
        <f t="shared" si="11"/>
        <v>Error?</v>
      </c>
    </row>
    <row r="798" spans="1:4" x14ac:dyDescent="0.2">
      <c r="A798" s="5">
        <v>737</v>
      </c>
      <c r="B798" s="138">
        <f>'Expenditures 15-22'!D61</f>
        <v>6178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9718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26787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20363</v>
      </c>
      <c r="D812" s="2" t="str">
        <f t="shared" si="11"/>
        <v>Error?</v>
      </c>
    </row>
    <row r="813" spans="1:4" x14ac:dyDescent="0.2">
      <c r="A813" s="5">
        <v>752</v>
      </c>
      <c r="B813" s="138">
        <f>'Expenditures 15-22'!D74</f>
        <v>444014</v>
      </c>
      <c r="C813" s="2" t="s">
        <v>573</v>
      </c>
      <c r="D813" s="2" t="str">
        <f t="shared" si="11"/>
        <v>Error?</v>
      </c>
    </row>
    <row r="814" spans="1:4" x14ac:dyDescent="0.2">
      <c r="A814" s="5">
        <v>753</v>
      </c>
      <c r="B814" s="138">
        <f>'Expenditures 15-22'!D75</f>
        <v>48743</v>
      </c>
      <c r="D814" s="2" t="str">
        <f t="shared" si="11"/>
        <v>Error?</v>
      </c>
    </row>
    <row r="815" spans="1:4" x14ac:dyDescent="0.2">
      <c r="A815" s="5">
        <v>754</v>
      </c>
      <c r="B815" s="138">
        <f>'Expenditures 15-22'!D114</f>
        <v>1417747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15128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3743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126539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883</v>
      </c>
      <c r="D839" s="2" t="str">
        <f t="shared" si="12"/>
        <v>Error?</v>
      </c>
    </row>
    <row r="840" spans="1:4" x14ac:dyDescent="0.2">
      <c r="A840" s="5">
        <v>779</v>
      </c>
      <c r="B840" s="138">
        <f>'Expenditures 15-22'!E39</f>
        <v>976</v>
      </c>
      <c r="D840" s="2" t="str">
        <f t="shared" si="12"/>
        <v>Error?</v>
      </c>
    </row>
    <row r="841" spans="1:4" x14ac:dyDescent="0.2">
      <c r="A841" s="5">
        <v>780</v>
      </c>
      <c r="B841" s="138">
        <f>'Expenditures 15-22'!E40</f>
        <v>180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2039</v>
      </c>
      <c r="C843" s="2" t="s">
        <v>573</v>
      </c>
      <c r="D843" s="2" t="str">
        <f t="shared" si="12"/>
        <v>Error?</v>
      </c>
    </row>
    <row r="844" spans="1:4" x14ac:dyDescent="0.2">
      <c r="A844" s="5">
        <v>783</v>
      </c>
      <c r="B844" s="138">
        <f>'Expenditures 15-22'!E44</f>
        <v>28576</v>
      </c>
      <c r="D844" s="2" t="str">
        <f t="shared" si="12"/>
        <v>Error?</v>
      </c>
    </row>
    <row r="845" spans="1:4" x14ac:dyDescent="0.2">
      <c r="A845" s="5">
        <v>784</v>
      </c>
      <c r="B845" s="138">
        <f>'Expenditures 15-22'!E45</f>
        <v>8187</v>
      </c>
      <c r="D845" s="2" t="str">
        <f t="shared" si="12"/>
        <v>Error?</v>
      </c>
    </row>
    <row r="846" spans="1:4" x14ac:dyDescent="0.2">
      <c r="A846" s="5">
        <v>785</v>
      </c>
      <c r="B846" s="138">
        <f>'Expenditures 15-22'!E46</f>
        <v>11638</v>
      </c>
      <c r="D846" s="2" t="str">
        <f t="shared" si="12"/>
        <v>Error?</v>
      </c>
    </row>
    <row r="847" spans="1:4" x14ac:dyDescent="0.2">
      <c r="A847" s="5">
        <v>786</v>
      </c>
      <c r="B847" s="138">
        <f>'Expenditures 15-22'!E47</f>
        <v>48401</v>
      </c>
      <c r="C847" s="2" t="s">
        <v>573</v>
      </c>
      <c r="D847" s="2" t="str">
        <f t="shared" si="12"/>
        <v>Error?</v>
      </c>
    </row>
    <row r="848" spans="1:4" x14ac:dyDescent="0.2">
      <c r="A848" s="5">
        <v>787</v>
      </c>
      <c r="B848" s="138">
        <f>'Expenditures 15-22'!E49</f>
        <v>28703</v>
      </c>
      <c r="D848" s="2" t="str">
        <f t="shared" si="12"/>
        <v>Error?</v>
      </c>
    </row>
    <row r="849" spans="1:4" x14ac:dyDescent="0.2">
      <c r="A849" s="5">
        <v>788</v>
      </c>
      <c r="B849" s="138">
        <f>'Expenditures 15-22'!E50</f>
        <v>6346</v>
      </c>
      <c r="D849" s="2" t="str">
        <f t="shared" si="12"/>
        <v>Error?</v>
      </c>
    </row>
    <row r="850" spans="1:4" x14ac:dyDescent="0.2">
      <c r="A850" s="5">
        <v>789</v>
      </c>
      <c r="B850" s="138">
        <f>'Expenditures 15-22'!E53</f>
        <v>41878</v>
      </c>
      <c r="C850" s="2" t="s">
        <v>573</v>
      </c>
      <c r="D850" s="2" t="str">
        <f t="shared" si="12"/>
        <v>Error?</v>
      </c>
    </row>
    <row r="851" spans="1:4" x14ac:dyDescent="0.2">
      <c r="A851" s="5">
        <v>790</v>
      </c>
      <c r="B851" s="138">
        <f>'Expenditures 15-22'!E55</f>
        <v>725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3258</v>
      </c>
      <c r="D855" s="2" t="str">
        <f t="shared" si="12"/>
        <v>Error?</v>
      </c>
    </row>
    <row r="856" spans="1:4" x14ac:dyDescent="0.2">
      <c r="A856" s="5">
        <v>795</v>
      </c>
      <c r="B856" s="138">
        <f>'Expenditures 15-22'!E61</f>
        <v>8194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12020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23472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1688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1688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118203</v>
      </c>
      <c r="C871" s="2" t="s">
        <v>573</v>
      </c>
      <c r="D871" s="2" t="str">
        <f t="shared" si="12"/>
        <v>Error?</v>
      </c>
    </row>
    <row r="872" spans="1:4" x14ac:dyDescent="0.2">
      <c r="A872" s="5">
        <v>811</v>
      </c>
      <c r="B872" s="138">
        <f>'Expenditures 15-22'!E75</f>
        <v>5080</v>
      </c>
      <c r="D872" s="2" t="str">
        <f t="shared" si="12"/>
        <v>Error?</v>
      </c>
    </row>
    <row r="873" spans="1:4" x14ac:dyDescent="0.2">
      <c r="A873" s="5">
        <v>812</v>
      </c>
      <c r="B873" s="138">
        <f>'Expenditures 15-22'!E114</f>
        <v>276193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46547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9051</v>
      </c>
      <c r="D892" s="2" t="str">
        <f t="shared" si="12"/>
        <v>Error?</v>
      </c>
    </row>
    <row r="893" spans="1:4" x14ac:dyDescent="0.2">
      <c r="A893" s="5">
        <v>832</v>
      </c>
      <c r="B893" s="138">
        <f>'Expenditures 15-22'!F15</f>
        <v>4175</v>
      </c>
      <c r="D893" s="2" t="str">
        <f t="shared" si="12"/>
        <v>Error?</v>
      </c>
    </row>
    <row r="894" spans="1:4" x14ac:dyDescent="0.2">
      <c r="A894" s="5">
        <v>833</v>
      </c>
      <c r="B894" s="138">
        <f>'Expenditures 15-22'!F33</f>
        <v>136661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3159</v>
      </c>
      <c r="D897" s="2" t="str">
        <f t="shared" si="13"/>
        <v>Error?</v>
      </c>
    </row>
    <row r="898" spans="1:4" x14ac:dyDescent="0.2">
      <c r="A898" s="5">
        <v>837</v>
      </c>
      <c r="B898" s="138">
        <f>'Expenditures 15-22'!F39</f>
        <v>919</v>
      </c>
      <c r="D898" s="2" t="str">
        <f t="shared" si="13"/>
        <v>Error?</v>
      </c>
    </row>
    <row r="899" spans="1:4" x14ac:dyDescent="0.2">
      <c r="A899" s="5">
        <v>838</v>
      </c>
      <c r="B899" s="138">
        <f>'Expenditures 15-22'!F40</f>
        <v>2057</v>
      </c>
      <c r="D899" s="2" t="str">
        <f t="shared" si="13"/>
        <v>Error?</v>
      </c>
    </row>
    <row r="900" spans="1:4" x14ac:dyDescent="0.2">
      <c r="A900" s="5">
        <v>839</v>
      </c>
      <c r="B900" s="138">
        <f>'Expenditures 15-22'!F41</f>
        <v>1648</v>
      </c>
      <c r="D900" s="2" t="str">
        <f t="shared" si="13"/>
        <v>Error?</v>
      </c>
    </row>
    <row r="901" spans="1:4" x14ac:dyDescent="0.2">
      <c r="A901" s="5">
        <v>840</v>
      </c>
      <c r="B901" s="138">
        <f>'Expenditures 15-22'!F42</f>
        <v>7783</v>
      </c>
      <c r="C901" s="2" t="s">
        <v>573</v>
      </c>
      <c r="D901" s="2" t="str">
        <f t="shared" si="13"/>
        <v>Error?</v>
      </c>
    </row>
    <row r="902" spans="1:4" x14ac:dyDescent="0.2">
      <c r="A902" s="5">
        <v>841</v>
      </c>
      <c r="B902" s="138">
        <f>'Expenditures 15-22'!F44</f>
        <v>4719</v>
      </c>
      <c r="D902" s="2" t="str">
        <f t="shared" si="13"/>
        <v>Error?</v>
      </c>
    </row>
    <row r="903" spans="1:4" x14ac:dyDescent="0.2">
      <c r="A903" s="5">
        <v>842</v>
      </c>
      <c r="B903" s="138">
        <f>'Expenditures 15-22'!F45</f>
        <v>77591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82310</v>
      </c>
      <c r="C905" s="2" t="s">
        <v>573</v>
      </c>
      <c r="D905" s="2" t="str">
        <f t="shared" si="13"/>
        <v>Error?</v>
      </c>
    </row>
    <row r="906" spans="1:4" x14ac:dyDescent="0.2">
      <c r="A906" s="5">
        <v>845</v>
      </c>
      <c r="B906" s="138">
        <f>'Expenditures 15-22'!F49</f>
        <v>3402</v>
      </c>
      <c r="D906" s="2" t="str">
        <f t="shared" si="13"/>
        <v>Error?</v>
      </c>
    </row>
    <row r="907" spans="1:4" x14ac:dyDescent="0.2">
      <c r="A907" s="5">
        <v>846</v>
      </c>
      <c r="B907" s="138">
        <f>'Expenditures 15-22'!F50</f>
        <v>7527</v>
      </c>
      <c r="D907" s="2" t="str">
        <f t="shared" si="13"/>
        <v>Error?</v>
      </c>
    </row>
    <row r="908" spans="1:4" x14ac:dyDescent="0.2">
      <c r="A908" s="5">
        <v>847</v>
      </c>
      <c r="B908" s="138">
        <f>'Expenditures 15-22'!F53</f>
        <v>14572</v>
      </c>
      <c r="C908" s="2" t="s">
        <v>573</v>
      </c>
      <c r="D908" s="2" t="str">
        <f t="shared" si="13"/>
        <v>Error?</v>
      </c>
    </row>
    <row r="909" spans="1:4" x14ac:dyDescent="0.2">
      <c r="A909" s="5">
        <v>848</v>
      </c>
      <c r="B909" s="138">
        <f>'Expenditures 15-22'!F55</f>
        <v>19070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19070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13851</v>
      </c>
      <c r="D913" s="2" t="str">
        <f t="shared" si="13"/>
        <v>Error?</v>
      </c>
    </row>
    <row r="914" spans="1:4" x14ac:dyDescent="0.2">
      <c r="A914" s="5">
        <v>853</v>
      </c>
      <c r="B914" s="138">
        <f>'Expenditures 15-22'!F61</f>
        <v>22361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279291</v>
      </c>
      <c r="D916" s="2" t="str">
        <f t="shared" si="13"/>
        <v>Error?</v>
      </c>
    </row>
    <row r="917" spans="1:4" x14ac:dyDescent="0.2">
      <c r="A917" s="5">
        <v>856</v>
      </c>
      <c r="B917" s="138">
        <f>'Expenditures 15-22'!F64</f>
        <v>594</v>
      </c>
      <c r="D917" s="2" t="str">
        <f t="shared" si="13"/>
        <v>Error?</v>
      </c>
    </row>
    <row r="918" spans="1:4" x14ac:dyDescent="0.2">
      <c r="A918" s="10">
        <v>857</v>
      </c>
      <c r="D918" s="2" t="str">
        <f t="shared" si="13"/>
        <v>OK</v>
      </c>
    </row>
    <row r="919" spans="1:4" x14ac:dyDescent="0.2">
      <c r="A919" s="5">
        <v>858</v>
      </c>
      <c r="B919" s="138">
        <f>'Expenditures 15-22'!F65</f>
        <v>316097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439832</v>
      </c>
      <c r="C929" s="2" t="s">
        <v>573</v>
      </c>
      <c r="D929" s="2" t="str">
        <f t="shared" si="13"/>
        <v>Error?</v>
      </c>
    </row>
    <row r="930" spans="1:4" x14ac:dyDescent="0.2">
      <c r="A930" s="5">
        <v>869</v>
      </c>
      <c r="B930" s="138">
        <f>'Expenditures 15-22'!F75</f>
        <v>35669</v>
      </c>
      <c r="D930" s="2" t="str">
        <f t="shared" si="13"/>
        <v>Error?</v>
      </c>
    </row>
    <row r="931" spans="1:4" x14ac:dyDescent="0.2">
      <c r="A931" s="5">
        <v>870</v>
      </c>
      <c r="B931" s="138">
        <f>'Expenditures 15-22'!F114</f>
        <v>612162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9888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45183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45183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46250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46250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91433</v>
      </c>
      <c r="C987" s="2" t="s">
        <v>573</v>
      </c>
      <c r="D987" s="2" t="str">
        <f t="shared" si="14"/>
        <v>Error?</v>
      </c>
    </row>
    <row r="988" spans="1:4" x14ac:dyDescent="0.2">
      <c r="A988" s="5">
        <v>927</v>
      </c>
      <c r="B988" s="138">
        <f>'Expenditures 15-22'!G75</f>
        <v>10032</v>
      </c>
      <c r="D988" s="2" t="str">
        <f t="shared" si="14"/>
        <v>Error?</v>
      </c>
    </row>
    <row r="989" spans="1:4" x14ac:dyDescent="0.2">
      <c r="A989" s="5">
        <v>928</v>
      </c>
      <c r="B989" s="138">
        <f>'Expenditures 15-22'!G114</f>
        <v>111353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111409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573</v>
      </c>
      <c r="D1017" s="2" t="str">
        <f t="shared" si="14"/>
        <v>Error?</v>
      </c>
    </row>
    <row r="1018" spans="1:4" x14ac:dyDescent="0.2">
      <c r="A1018" s="5">
        <v>957</v>
      </c>
      <c r="B1018" s="138">
        <f>'Expenditures 15-22'!H44</f>
        <v>543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543</v>
      </c>
      <c r="C1021" s="2" t="s">
        <v>573</v>
      </c>
      <c r="D1021" s="2" t="str">
        <f t="shared" si="14"/>
        <v>Error?</v>
      </c>
    </row>
    <row r="1022" spans="1:4" x14ac:dyDescent="0.2">
      <c r="A1022" s="5">
        <v>961</v>
      </c>
      <c r="B1022" s="138">
        <f>'Expenditures 15-22'!H49</f>
        <v>6263</v>
      </c>
      <c r="D1022" s="2" t="str">
        <f t="shared" si="14"/>
        <v>Error?</v>
      </c>
    </row>
    <row r="1023" spans="1:4" x14ac:dyDescent="0.2">
      <c r="A1023" s="5">
        <v>962</v>
      </c>
      <c r="B1023" s="138">
        <f>'Expenditures 15-22'!H50</f>
        <v>886</v>
      </c>
      <c r="D1023" s="2" t="str">
        <f t="shared" ref="D1023:D1086" si="15">IF(ISBLANK(B1023),"OK",IF(A1023-B1023=0,"OK","Error?"))</f>
        <v>Error?</v>
      </c>
    </row>
    <row r="1024" spans="1:4" x14ac:dyDescent="0.2">
      <c r="A1024" s="5">
        <v>963</v>
      </c>
      <c r="B1024" s="138">
        <f>'Expenditures 15-22'!H53</f>
        <v>7149</v>
      </c>
      <c r="C1024" s="2" t="s">
        <v>573</v>
      </c>
      <c r="D1024" s="2" t="str">
        <f t="shared" si="15"/>
        <v>Error?</v>
      </c>
    </row>
    <row r="1025" spans="1:4" x14ac:dyDescent="0.2">
      <c r="A1025" s="5">
        <v>964</v>
      </c>
      <c r="B1025" s="138">
        <f>'Expenditures 15-22'!H55</f>
        <v>1013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1013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2140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10905</v>
      </c>
      <c r="C1045" s="2" t="s">
        <v>573</v>
      </c>
      <c r="D1045" s="2" t="str">
        <f t="shared" si="15"/>
        <v>Error?</v>
      </c>
    </row>
    <row r="1046" spans="1:4" x14ac:dyDescent="0.2">
      <c r="A1046" s="5">
        <v>985</v>
      </c>
      <c r="B1046" s="138">
        <f>'Expenditures 15-22'!H75</f>
        <v>6134</v>
      </c>
      <c r="D1046" s="2" t="str">
        <f t="shared" si="15"/>
        <v>Error?</v>
      </c>
    </row>
    <row r="1047" spans="1:4" x14ac:dyDescent="0.2">
      <c r="A1047" s="5">
        <v>986</v>
      </c>
      <c r="B1047" s="138">
        <f>'Expenditures 15-22'!H102</f>
        <v>258740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387188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2285614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390795</v>
      </c>
      <c r="C1106" s="2" t="s">
        <v>573</v>
      </c>
      <c r="D1106" s="2" t="str">
        <f t="shared" si="16"/>
        <v>Error?</v>
      </c>
    </row>
    <row r="1107" spans="1:4" x14ac:dyDescent="0.2">
      <c r="A1107" s="5">
        <v>1046</v>
      </c>
      <c r="B1107" s="138">
        <f>'Expenditures 15-22'!K15</f>
        <v>37915</v>
      </c>
      <c r="C1107" s="2" t="s">
        <v>573</v>
      </c>
      <c r="D1107" s="2" t="str">
        <f t="shared" si="16"/>
        <v>Error?</v>
      </c>
    </row>
    <row r="1108" spans="1:4" x14ac:dyDescent="0.2">
      <c r="A1108" s="5">
        <v>1047</v>
      </c>
      <c r="B1108" s="138">
        <f>'Expenditures 15-22'!K33</f>
        <v>4554147</v>
      </c>
      <c r="C1108" s="2" t="s">
        <v>573</v>
      </c>
      <c r="D1108" s="2" t="str">
        <f t="shared" si="16"/>
        <v>Error?</v>
      </c>
    </row>
    <row r="1109" spans="1:4" x14ac:dyDescent="0.2">
      <c r="A1109" s="5">
        <v>1048</v>
      </c>
      <c r="B1109" s="138">
        <f>'Expenditures 15-22'!K36</f>
        <v>1873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37486</v>
      </c>
      <c r="C1111" s="2" t="s">
        <v>573</v>
      </c>
      <c r="D1111" s="2" t="str">
        <f t="shared" si="16"/>
        <v>Error?</v>
      </c>
    </row>
    <row r="1112" spans="1:4" x14ac:dyDescent="0.2">
      <c r="A1112" s="5">
        <v>1051</v>
      </c>
      <c r="B1112" s="138">
        <f>'Expenditures 15-22'!K39</f>
        <v>96678</v>
      </c>
      <c r="C1112" s="2" t="s">
        <v>573</v>
      </c>
      <c r="D1112" s="2" t="str">
        <f t="shared" si="16"/>
        <v>Error?</v>
      </c>
    </row>
    <row r="1113" spans="1:4" x14ac:dyDescent="0.2">
      <c r="A1113" s="5">
        <v>1052</v>
      </c>
      <c r="B1113" s="138">
        <f>'Expenditures 15-22'!K40</f>
        <v>186422</v>
      </c>
      <c r="C1113" s="2" t="s">
        <v>573</v>
      </c>
      <c r="D1113" s="2" t="str">
        <f t="shared" si="16"/>
        <v>Error?</v>
      </c>
    </row>
    <row r="1114" spans="1:4" x14ac:dyDescent="0.2">
      <c r="A1114" s="5">
        <v>1053</v>
      </c>
      <c r="B1114" s="138">
        <f>'Expenditures 15-22'!K41</f>
        <v>7708</v>
      </c>
      <c r="C1114" s="2" t="s">
        <v>573</v>
      </c>
      <c r="D1114" s="2" t="str">
        <f t="shared" si="16"/>
        <v>Error?</v>
      </c>
    </row>
    <row r="1115" spans="1:4" x14ac:dyDescent="0.2">
      <c r="A1115" s="5">
        <v>1054</v>
      </c>
      <c r="B1115" s="138">
        <f>'Expenditures 15-22'!K42</f>
        <v>330167</v>
      </c>
      <c r="C1115" s="2" t="s">
        <v>573</v>
      </c>
      <c r="D1115" s="2" t="str">
        <f t="shared" si="16"/>
        <v>Error?</v>
      </c>
    </row>
    <row r="1116" spans="1:4" x14ac:dyDescent="0.2">
      <c r="A1116" s="5">
        <v>1055</v>
      </c>
      <c r="B1116" s="138">
        <f>'Expenditures 15-22'!K44</f>
        <v>216498</v>
      </c>
      <c r="C1116" s="2" t="s">
        <v>573</v>
      </c>
      <c r="D1116" s="2" t="str">
        <f t="shared" si="16"/>
        <v>Error?</v>
      </c>
    </row>
    <row r="1117" spans="1:4" x14ac:dyDescent="0.2">
      <c r="A1117" s="5">
        <v>1056</v>
      </c>
      <c r="B1117" s="138">
        <f>'Expenditures 15-22'!K45</f>
        <v>181424</v>
      </c>
      <c r="C1117" s="2" t="s">
        <v>573</v>
      </c>
      <c r="D1117" s="2" t="str">
        <f t="shared" si="16"/>
        <v>Error?</v>
      </c>
    </row>
    <row r="1118" spans="1:4" x14ac:dyDescent="0.2">
      <c r="A1118" s="5">
        <v>1057</v>
      </c>
      <c r="B1118" s="138">
        <f>'Expenditures 15-22'!K46</f>
        <v>11638</v>
      </c>
      <c r="C1118" s="2" t="s">
        <v>573</v>
      </c>
      <c r="D1118" s="2" t="str">
        <f t="shared" si="16"/>
        <v>Error?</v>
      </c>
    </row>
    <row r="1119" spans="1:4" x14ac:dyDescent="0.2">
      <c r="A1119" s="5">
        <v>1058</v>
      </c>
      <c r="B1119" s="138">
        <f>'Expenditures 15-22'!K47</f>
        <v>409560</v>
      </c>
      <c r="C1119" s="2" t="s">
        <v>573</v>
      </c>
      <c r="D1119" s="2" t="str">
        <f t="shared" si="16"/>
        <v>Error?</v>
      </c>
    </row>
    <row r="1120" spans="1:4" x14ac:dyDescent="0.2">
      <c r="A1120" s="5">
        <v>1059</v>
      </c>
      <c r="B1120" s="138">
        <f>'Expenditures 15-22'!K49</f>
        <v>198400</v>
      </c>
      <c r="C1120" s="2" t="s">
        <v>573</v>
      </c>
      <c r="D1120" s="2" t="str">
        <f t="shared" si="16"/>
        <v>Error?</v>
      </c>
    </row>
    <row r="1121" spans="1:4" x14ac:dyDescent="0.2">
      <c r="A1121" s="5">
        <v>1060</v>
      </c>
      <c r="B1121" s="138">
        <f>'Expenditures 15-22'!K50</f>
        <v>245957</v>
      </c>
      <c r="C1121" s="2" t="s">
        <v>573</v>
      </c>
      <c r="D1121" s="2" t="str">
        <f t="shared" si="16"/>
        <v>Error?</v>
      </c>
    </row>
    <row r="1122" spans="1:4" x14ac:dyDescent="0.2">
      <c r="A1122" s="5">
        <v>1061</v>
      </c>
      <c r="B1122" s="138">
        <f>'Expenditures 15-22'!K53</f>
        <v>607679</v>
      </c>
      <c r="C1122" s="2" t="s">
        <v>573</v>
      </c>
      <c r="D1122" s="2" t="str">
        <f t="shared" si="16"/>
        <v>Error?</v>
      </c>
    </row>
    <row r="1123" spans="1:4" x14ac:dyDescent="0.2">
      <c r="A1123" s="5">
        <v>1062</v>
      </c>
      <c r="B1123" s="138">
        <f>'Expenditures 15-22'!K55</f>
        <v>325304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325304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80676</v>
      </c>
      <c r="C1127" s="2" t="s">
        <v>573</v>
      </c>
      <c r="D1127" s="2" t="str">
        <f t="shared" si="16"/>
        <v>Error?</v>
      </c>
    </row>
    <row r="1128" spans="1:4" x14ac:dyDescent="0.2">
      <c r="A1128" s="5">
        <v>1067</v>
      </c>
      <c r="B1128" s="138">
        <f>'Expenditures 15-22'!K61</f>
        <v>132322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493397</v>
      </c>
      <c r="C1130" s="2" t="s">
        <v>573</v>
      </c>
      <c r="D1130" s="2" t="str">
        <f t="shared" si="16"/>
        <v>Error?</v>
      </c>
    </row>
    <row r="1131" spans="1:4" x14ac:dyDescent="0.2">
      <c r="A1131" s="5">
        <v>1070</v>
      </c>
      <c r="B1131" s="138">
        <f>'Expenditures 15-22'!K64</f>
        <v>594</v>
      </c>
      <c r="C1131" s="2" t="s">
        <v>573</v>
      </c>
      <c r="D1131" s="2" t="str">
        <f t="shared" si="16"/>
        <v>Error?</v>
      </c>
    </row>
    <row r="1132" spans="1:4" x14ac:dyDescent="0.2">
      <c r="A1132" s="10">
        <v>1071</v>
      </c>
      <c r="D1132" s="2" t="str">
        <f t="shared" si="16"/>
        <v>OK</v>
      </c>
    </row>
    <row r="1133" spans="1:4" x14ac:dyDescent="0.2">
      <c r="A1133" s="5">
        <v>1072</v>
      </c>
      <c r="B1133" s="138">
        <f>'Expenditures 15-22'!K65</f>
        <v>706989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1688</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24789</v>
      </c>
      <c r="C1139" s="2" t="s">
        <v>573</v>
      </c>
      <c r="D1139" s="2" t="str">
        <f t="shared" si="16"/>
        <v>Error?</v>
      </c>
    </row>
    <row r="1140" spans="1:4" x14ac:dyDescent="0.2">
      <c r="A1140" s="10">
        <v>1079</v>
      </c>
      <c r="D1140" s="2" t="str">
        <f t="shared" si="16"/>
        <v>OK</v>
      </c>
    </row>
    <row r="1141" spans="1:4" x14ac:dyDescent="0.2">
      <c r="A1141" s="5">
        <v>1080</v>
      </c>
      <c r="B1141" s="138">
        <f>'Expenditures 15-22'!K72</f>
        <v>26477</v>
      </c>
      <c r="C1141" s="2" t="s">
        <v>573</v>
      </c>
      <c r="D1141" s="2" t="str">
        <f t="shared" si="16"/>
        <v>Error?</v>
      </c>
    </row>
    <row r="1142" spans="1:4" x14ac:dyDescent="0.2">
      <c r="A1142" s="5">
        <v>1081</v>
      </c>
      <c r="B1142" s="138">
        <f>'Expenditures 15-22'!K73</f>
        <v>20363</v>
      </c>
      <c r="C1142" s="2" t="s">
        <v>573</v>
      </c>
      <c r="D1142" s="2" t="str">
        <f t="shared" si="16"/>
        <v>Error?</v>
      </c>
    </row>
    <row r="1143" spans="1:4" x14ac:dyDescent="0.2">
      <c r="A1143" s="5">
        <v>1082</v>
      </c>
      <c r="B1143" s="138">
        <f>'Expenditures 15-22'!K74</f>
        <v>2426539</v>
      </c>
      <c r="C1143" s="2" t="s">
        <v>573</v>
      </c>
      <c r="D1143" s="2" t="str">
        <f t="shared" si="16"/>
        <v>Error?</v>
      </c>
    </row>
    <row r="1144" spans="1:4" x14ac:dyDescent="0.2">
      <c r="A1144" s="5">
        <v>1083</v>
      </c>
      <c r="B1144" s="138">
        <f>'Expenditures 15-22'!K75</f>
        <v>393246</v>
      </c>
      <c r="C1144" s="2" t="s">
        <v>573</v>
      </c>
      <c r="D1144" s="2" t="str">
        <f t="shared" si="16"/>
        <v>Error?</v>
      </c>
    </row>
    <row r="1145" spans="1:4" x14ac:dyDescent="0.2">
      <c r="A1145" s="5">
        <v>1084</v>
      </c>
      <c r="B1145" s="138">
        <f>'Expenditures 15-22'!K102</f>
        <v>285111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7659043</v>
      </c>
      <c r="C1152" s="2" t="s">
        <v>573</v>
      </c>
      <c r="D1152" s="2" t="str">
        <f t="shared" si="17"/>
        <v>Error?</v>
      </c>
    </row>
    <row r="1153" spans="1:4" x14ac:dyDescent="0.2">
      <c r="A1153" s="5">
        <v>1092</v>
      </c>
      <c r="B1153" s="138">
        <f>'Expenditures 15-22'!K115</f>
        <v>295048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218887</v>
      </c>
      <c r="D1221" s="2" t="str">
        <f t="shared" si="18"/>
        <v>Error?</v>
      </c>
    </row>
    <row r="1222" spans="1:4" x14ac:dyDescent="0.2">
      <c r="A1222" s="10">
        <v>1161</v>
      </c>
      <c r="D1222" s="2" t="str">
        <f t="shared" si="18"/>
        <v>OK</v>
      </c>
    </row>
    <row r="1223" spans="1:4" x14ac:dyDescent="0.2">
      <c r="A1223" s="5">
        <v>1162</v>
      </c>
      <c r="B1223" s="138">
        <f>'Expenditures 15-22'!C127</f>
        <v>218887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218887</v>
      </c>
      <c r="C1225" s="2" t="s">
        <v>573</v>
      </c>
      <c r="D1225" s="2" t="str">
        <f t="shared" si="18"/>
        <v>Error?</v>
      </c>
    </row>
    <row r="1226" spans="1:4" x14ac:dyDescent="0.2">
      <c r="A1226" s="5">
        <v>1165</v>
      </c>
      <c r="B1226" s="138">
        <f>'Expenditures 15-22'!C151</f>
        <v>218887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36026</v>
      </c>
      <c r="D1229" s="2" t="str">
        <f t="shared" si="18"/>
        <v>Error?</v>
      </c>
    </row>
    <row r="1230" spans="1:4" x14ac:dyDescent="0.2">
      <c r="A1230" s="10">
        <v>1169</v>
      </c>
      <c r="D1230" s="2" t="str">
        <f t="shared" si="18"/>
        <v>OK</v>
      </c>
    </row>
    <row r="1231" spans="1:4" x14ac:dyDescent="0.2">
      <c r="A1231" s="5">
        <v>1170</v>
      </c>
      <c r="B1231" s="138">
        <f>'Expenditures 15-22'!D127</f>
        <v>36026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36026</v>
      </c>
      <c r="C1233" s="2" t="s">
        <v>573</v>
      </c>
      <c r="D1233" s="2" t="str">
        <f t="shared" si="18"/>
        <v>Error?</v>
      </c>
    </row>
    <row r="1234" spans="1:4" x14ac:dyDescent="0.2">
      <c r="A1234" s="5">
        <v>1173</v>
      </c>
      <c r="B1234" s="138">
        <f>'Expenditures 15-22'!D151</f>
        <v>36026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122943</v>
      </c>
      <c r="D1237" s="2" t="str">
        <f t="shared" si="18"/>
        <v>Error?</v>
      </c>
    </row>
    <row r="1238" spans="1:4" x14ac:dyDescent="0.2">
      <c r="A1238" s="10">
        <v>1177</v>
      </c>
      <c r="D1238" s="2" t="str">
        <f t="shared" si="18"/>
        <v>OK</v>
      </c>
    </row>
    <row r="1239" spans="1:4" x14ac:dyDescent="0.2">
      <c r="A1239" s="5">
        <v>1178</v>
      </c>
      <c r="B1239" s="138">
        <f>'Expenditures 15-22'!E127</f>
        <v>122943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122943</v>
      </c>
      <c r="C1241" s="2" t="s">
        <v>573</v>
      </c>
      <c r="D1241" s="2" t="str">
        <f t="shared" si="18"/>
        <v>Error?</v>
      </c>
    </row>
    <row r="1242" spans="1:4" x14ac:dyDescent="0.2">
      <c r="A1242" s="5">
        <v>1181</v>
      </c>
      <c r="B1242" s="138">
        <f>'Expenditures 15-22'!E151</f>
        <v>122943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194778</v>
      </c>
      <c r="D1245" s="2" t="str">
        <f t="shared" si="18"/>
        <v>Error?</v>
      </c>
    </row>
    <row r="1246" spans="1:4" x14ac:dyDescent="0.2">
      <c r="A1246" s="10">
        <v>1185</v>
      </c>
      <c r="D1246" s="2" t="str">
        <f t="shared" si="18"/>
        <v>OK</v>
      </c>
    </row>
    <row r="1247" spans="1:4" x14ac:dyDescent="0.2">
      <c r="A1247" s="5">
        <v>1186</v>
      </c>
      <c r="B1247" s="138">
        <f>'Expenditures 15-22'!F127</f>
        <v>194778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194778</v>
      </c>
      <c r="C1249" s="2" t="s">
        <v>573</v>
      </c>
      <c r="D1249" s="2" t="str">
        <f t="shared" si="18"/>
        <v>Error?</v>
      </c>
    </row>
    <row r="1250" spans="1:4" x14ac:dyDescent="0.2">
      <c r="A1250" s="5">
        <v>1189</v>
      </c>
      <c r="B1250" s="138">
        <f>'Expenditures 15-22'!F151</f>
        <v>194778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572634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572634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572634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572634</v>
      </c>
      <c r="C1288" s="2" t="s">
        <v>573</v>
      </c>
      <c r="D1288" s="2" t="str">
        <f t="shared" si="19"/>
        <v>Error?</v>
      </c>
    </row>
    <row r="1289" spans="1:4" x14ac:dyDescent="0.2">
      <c r="A1289" s="5">
        <v>1228</v>
      </c>
      <c r="B1289" s="138">
        <f>'Expenditures 15-22'!K152</f>
        <v>216512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77000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464966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541966</v>
      </c>
      <c r="C1317" s="2" t="s">
        <v>573</v>
      </c>
      <c r="D1317" s="2" t="str">
        <f t="shared" si="19"/>
        <v>Error?</v>
      </c>
    </row>
    <row r="1318" spans="1:4" x14ac:dyDescent="0.2">
      <c r="A1318" s="5">
        <v>1257</v>
      </c>
      <c r="B1318" s="138">
        <f>'Expenditures 15-22'!H174</f>
        <v>541966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77000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464966</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541966</v>
      </c>
      <c r="C1331" s="2" t="s">
        <v>573</v>
      </c>
      <c r="D1331" s="2" t="str">
        <f t="shared" si="19"/>
        <v>Error?</v>
      </c>
    </row>
    <row r="1332" spans="1:4" x14ac:dyDescent="0.2">
      <c r="A1332" s="5">
        <v>1271</v>
      </c>
      <c r="B1332" s="138">
        <f>'Expenditures 15-22'!K174</f>
        <v>541966</v>
      </c>
      <c r="C1332" s="2" t="s">
        <v>573</v>
      </c>
      <c r="D1332" s="2" t="str">
        <f t="shared" si="19"/>
        <v>Error?</v>
      </c>
    </row>
    <row r="1333" spans="1:4" x14ac:dyDescent="0.2">
      <c r="A1333" s="5">
        <v>1272</v>
      </c>
      <c r="B1333" s="138">
        <f>'Expenditures 15-22'!K175</f>
        <v>-9310</v>
      </c>
      <c r="C1333" s="2" t="s">
        <v>573</v>
      </c>
      <c r="D1333" s="2" t="str">
        <f t="shared" si="19"/>
        <v>Error?</v>
      </c>
    </row>
    <row r="1334" spans="1:4" x14ac:dyDescent="0.2">
      <c r="A1334" s="10">
        <v>1273</v>
      </c>
      <c r="D1334" s="2" t="str">
        <f t="shared" si="19"/>
        <v>OK</v>
      </c>
    </row>
    <row r="1335" spans="1:4" x14ac:dyDescent="0.2">
      <c r="A1335" s="5">
        <v>1274</v>
      </c>
      <c r="B1335" s="138">
        <f>'Expenditures 15-22'!C182</f>
        <v>156992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156992</v>
      </c>
      <c r="C1339" s="2" t="s">
        <v>573</v>
      </c>
      <c r="D1339" s="2" t="str">
        <f t="shared" si="19"/>
        <v>Error?</v>
      </c>
    </row>
    <row r="1340" spans="1:4" x14ac:dyDescent="0.2">
      <c r="A1340" s="5">
        <v>1279</v>
      </c>
      <c r="B1340" s="138">
        <f>'Expenditures 15-22'!C210</f>
        <v>156992</v>
      </c>
      <c r="C1340" s="2" t="s">
        <v>573</v>
      </c>
      <c r="D1340" s="2" t="str">
        <f t="shared" si="19"/>
        <v>Error?</v>
      </c>
    </row>
    <row r="1341" spans="1:4" x14ac:dyDescent="0.2">
      <c r="A1341" s="5">
        <v>1280</v>
      </c>
      <c r="B1341" s="138">
        <f>'Expenditures 15-22'!D182</f>
        <v>18118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18118</v>
      </c>
      <c r="C1345" s="2" t="s">
        <v>573</v>
      </c>
      <c r="D1345" s="2" t="str">
        <f t="shared" si="20"/>
        <v>Error?</v>
      </c>
    </row>
    <row r="1346" spans="1:4" x14ac:dyDescent="0.2">
      <c r="A1346" s="5">
        <v>1285</v>
      </c>
      <c r="B1346" s="138">
        <f>'Expenditures 15-22'!D210</f>
        <v>18118</v>
      </c>
      <c r="C1346" s="2" t="s">
        <v>573</v>
      </c>
      <c r="D1346" s="2" t="str">
        <f t="shared" si="20"/>
        <v>Error?</v>
      </c>
    </row>
    <row r="1347" spans="1:4" x14ac:dyDescent="0.2">
      <c r="A1347" s="5">
        <v>1286</v>
      </c>
      <c r="B1347" s="138">
        <f>'Expenditures 15-22'!E182</f>
        <v>36957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36957</v>
      </c>
      <c r="C1351" s="2" t="s">
        <v>573</v>
      </c>
      <c r="D1351" s="2" t="str">
        <f t="shared" si="20"/>
        <v>Error?</v>
      </c>
    </row>
    <row r="1352" spans="1:4" x14ac:dyDescent="0.2">
      <c r="A1352" s="5">
        <v>1291</v>
      </c>
      <c r="B1352" s="138">
        <f>'Expenditures 15-22'!E196</f>
        <v>736</v>
      </c>
      <c r="C1352" s="2" t="s">
        <v>573</v>
      </c>
      <c r="D1352" s="2" t="str">
        <f t="shared" si="20"/>
        <v>Error?</v>
      </c>
    </row>
    <row r="1353" spans="1:4" x14ac:dyDescent="0.2">
      <c r="A1353" s="5">
        <v>1292</v>
      </c>
      <c r="B1353" s="138">
        <f>'Expenditures 15-22'!E210</f>
        <v>37693</v>
      </c>
      <c r="C1353" s="2" t="s">
        <v>573</v>
      </c>
      <c r="D1353" s="2" t="str">
        <f t="shared" si="20"/>
        <v>Error?</v>
      </c>
    </row>
    <row r="1354" spans="1:4" x14ac:dyDescent="0.2">
      <c r="A1354" s="5">
        <v>1293</v>
      </c>
      <c r="B1354" s="138">
        <f>'Expenditures 15-22'!F182</f>
        <v>16240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16240</v>
      </c>
      <c r="C1358" s="2" t="s">
        <v>573</v>
      </c>
      <c r="D1358" s="2" t="str">
        <f t="shared" si="20"/>
        <v>Error?</v>
      </c>
    </row>
    <row r="1359" spans="1:4" x14ac:dyDescent="0.2">
      <c r="A1359" s="5">
        <v>1298</v>
      </c>
      <c r="B1359" s="138">
        <f>'Expenditures 15-22'!F210</f>
        <v>16240</v>
      </c>
      <c r="C1359" s="2" t="s">
        <v>573</v>
      </c>
      <c r="D1359" s="2" t="str">
        <f t="shared" si="20"/>
        <v>Error?</v>
      </c>
    </row>
    <row r="1360" spans="1:4" x14ac:dyDescent="0.2">
      <c r="A1360" s="5">
        <v>1299</v>
      </c>
      <c r="B1360" s="138">
        <f>'Expenditures 15-22'!G182</f>
        <v>197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197</v>
      </c>
      <c r="C1364" s="2" t="s">
        <v>573</v>
      </c>
      <c r="D1364" s="2" t="str">
        <f t="shared" si="20"/>
        <v>Error?</v>
      </c>
    </row>
    <row r="1365" spans="1:4" x14ac:dyDescent="0.2">
      <c r="A1365" s="5">
        <v>1304</v>
      </c>
      <c r="B1365" s="138">
        <f>'Expenditures 15-22'!G210</f>
        <v>197</v>
      </c>
      <c r="C1365" s="2" t="s">
        <v>573</v>
      </c>
      <c r="D1365" s="2" t="str">
        <f t="shared" si="20"/>
        <v>Error?</v>
      </c>
    </row>
    <row r="1366" spans="1:4" x14ac:dyDescent="0.2">
      <c r="A1366" s="5">
        <v>1305</v>
      </c>
      <c r="B1366" s="138">
        <f>'Expenditures 15-22'!H182</f>
        <v>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60</v>
      </c>
      <c r="C1376" s="2" t="s">
        <v>573</v>
      </c>
      <c r="D1376" s="2" t="str">
        <f t="shared" si="20"/>
        <v>Error?</v>
      </c>
    </row>
    <row r="1377" spans="1:4" x14ac:dyDescent="0.2">
      <c r="A1377" s="5">
        <v>1316</v>
      </c>
      <c r="B1377" s="138">
        <f>'Expenditures 15-22'!K182</f>
        <v>228564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228564</v>
      </c>
      <c r="C1381" s="2" t="s">
        <v>573</v>
      </c>
      <c r="D1381" s="2" t="str">
        <f t="shared" si="20"/>
        <v>Error?</v>
      </c>
    </row>
    <row r="1382" spans="1:4" x14ac:dyDescent="0.2">
      <c r="A1382" s="5">
        <v>1321</v>
      </c>
      <c r="B1382" s="138">
        <f>'Expenditures 15-22'!K196</f>
        <v>736</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229300</v>
      </c>
      <c r="C1388" s="2" t="s">
        <v>573</v>
      </c>
      <c r="D1388" s="2" t="str">
        <f t="shared" si="20"/>
        <v>Error?</v>
      </c>
    </row>
    <row r="1389" spans="1:4" x14ac:dyDescent="0.2">
      <c r="A1389" s="5">
        <v>1328</v>
      </c>
      <c r="B1389" s="138">
        <f>'Expenditures 15-22'!K211</f>
        <v>40091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4716</v>
      </c>
      <c r="D1408" s="2" t="str">
        <f t="shared" si="21"/>
        <v>Error?</v>
      </c>
    </row>
    <row r="1409" spans="1:4" x14ac:dyDescent="0.2">
      <c r="A1409" s="5">
        <v>1348</v>
      </c>
      <c r="B1409" s="138">
        <f>'Expenditures 15-22'!D224</f>
        <v>780</v>
      </c>
      <c r="D1409" s="2" t="str">
        <f t="shared" si="21"/>
        <v>Error?</v>
      </c>
    </row>
    <row r="1410" spans="1:4" x14ac:dyDescent="0.2">
      <c r="A1410" s="5">
        <v>1349</v>
      </c>
      <c r="B1410" s="138">
        <f>'Expenditures 15-22'!D229</f>
        <v>84662</v>
      </c>
      <c r="C1410" s="2" t="s">
        <v>573</v>
      </c>
      <c r="D1410" s="2" t="str">
        <f t="shared" si="21"/>
        <v>Error?</v>
      </c>
    </row>
    <row r="1411" spans="1:4" x14ac:dyDescent="0.2">
      <c r="A1411" s="5">
        <v>1350</v>
      </c>
      <c r="B1411" s="138">
        <f>'Expenditures 15-22'!D232</f>
        <v>15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8635</v>
      </c>
      <c r="D1413" s="2" t="str">
        <f t="shared" si="21"/>
        <v>Error?</v>
      </c>
    </row>
    <row r="1414" spans="1:4" x14ac:dyDescent="0.2">
      <c r="A1414" s="5">
        <v>1353</v>
      </c>
      <c r="B1414" s="138">
        <f>'Expenditures 15-22'!D235</f>
        <v>2012</v>
      </c>
      <c r="D1414" s="2" t="str">
        <f t="shared" si="21"/>
        <v>Error?</v>
      </c>
    </row>
    <row r="1415" spans="1:4" x14ac:dyDescent="0.2">
      <c r="A1415" s="5">
        <v>1354</v>
      </c>
      <c r="B1415" s="138">
        <f>'Expenditures 15-22'!D236</f>
        <v>2038</v>
      </c>
      <c r="D1415" s="2" t="str">
        <f t="shared" si="21"/>
        <v>Error?</v>
      </c>
    </row>
    <row r="1416" spans="1:4" x14ac:dyDescent="0.2">
      <c r="A1416" s="5">
        <v>1355</v>
      </c>
      <c r="B1416" s="138">
        <f>'Expenditures 15-22'!D237</f>
        <v>6364</v>
      </c>
      <c r="D1416" s="2" t="str">
        <f t="shared" si="21"/>
        <v>Error?</v>
      </c>
    </row>
    <row r="1417" spans="1:4" x14ac:dyDescent="0.2">
      <c r="A1417" s="5">
        <v>1356</v>
      </c>
      <c r="B1417" s="138">
        <f>'Expenditures 15-22'!D238</f>
        <v>19064</v>
      </c>
      <c r="C1417" s="2" t="s">
        <v>573</v>
      </c>
      <c r="D1417" s="2" t="str">
        <f t="shared" si="21"/>
        <v>Error?</v>
      </c>
    </row>
    <row r="1418" spans="1:4" x14ac:dyDescent="0.2">
      <c r="A1418" s="5">
        <v>1357</v>
      </c>
      <c r="B1418" s="138">
        <f>'Expenditures 15-22'!D240</f>
        <v>2065</v>
      </c>
      <c r="D1418" s="2" t="str">
        <f t="shared" si="21"/>
        <v>Error?</v>
      </c>
    </row>
    <row r="1419" spans="1:4" x14ac:dyDescent="0.2">
      <c r="A1419" s="5">
        <v>1358</v>
      </c>
      <c r="B1419" s="138">
        <f>'Expenditures 15-22'!D241</f>
        <v>13294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15359</v>
      </c>
      <c r="C1421" s="2" t="s">
        <v>573</v>
      </c>
      <c r="D1421" s="2" t="str">
        <f t="shared" si="21"/>
        <v>Error?</v>
      </c>
    </row>
    <row r="1422" spans="1:4" x14ac:dyDescent="0.2">
      <c r="A1422" s="5">
        <v>1361</v>
      </c>
      <c r="B1422" s="138">
        <f>'Expenditures 15-22'!D245</f>
        <v>338</v>
      </c>
      <c r="D1422" s="2" t="str">
        <f t="shared" si="21"/>
        <v>Error?</v>
      </c>
    </row>
    <row r="1423" spans="1:4" x14ac:dyDescent="0.2">
      <c r="A1423" s="5">
        <v>1362</v>
      </c>
      <c r="B1423" s="138">
        <f>'Expenditures 15-22'!D246</f>
        <v>11200</v>
      </c>
      <c r="D1423" s="2" t="str">
        <f t="shared" si="21"/>
        <v>Error?</v>
      </c>
    </row>
    <row r="1424" spans="1:4" x14ac:dyDescent="0.2">
      <c r="A1424" s="5">
        <v>1363</v>
      </c>
      <c r="B1424" s="138">
        <f>'Expenditures 15-22'!D257</f>
        <v>26329</v>
      </c>
      <c r="C1424" s="2" t="s">
        <v>573</v>
      </c>
      <c r="D1424" s="2" t="str">
        <f t="shared" si="21"/>
        <v>Error?</v>
      </c>
    </row>
    <row r="1425" spans="1:4" x14ac:dyDescent="0.2">
      <c r="A1425" s="5">
        <v>1364</v>
      </c>
      <c r="B1425" s="138">
        <f>'Expenditures 15-22'!D259</f>
        <v>16210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16210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55079</v>
      </c>
      <c r="D1431" s="2" t="str">
        <f t="shared" si="21"/>
        <v>Error?</v>
      </c>
    </row>
    <row r="1432" spans="1:4" x14ac:dyDescent="0.2">
      <c r="A1432" s="5">
        <v>1371</v>
      </c>
      <c r="B1432" s="138">
        <f>'Expenditures 15-22'!D267</f>
        <v>29826</v>
      </c>
      <c r="D1432" s="2" t="str">
        <f t="shared" si="21"/>
        <v>Error?</v>
      </c>
    </row>
    <row r="1433" spans="1:4" x14ac:dyDescent="0.2">
      <c r="A1433" s="5">
        <v>1372</v>
      </c>
      <c r="B1433" s="138">
        <f>'Expenditures 15-22'!D268</f>
        <v>34364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129480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4375</v>
      </c>
      <c r="D1442" s="2" t="str">
        <f t="shared" si="21"/>
        <v>Error?</v>
      </c>
    </row>
    <row r="1443" spans="1:4" x14ac:dyDescent="0.2">
      <c r="A1443" s="10">
        <v>1382</v>
      </c>
      <c r="D1443" s="2" t="str">
        <f t="shared" si="21"/>
        <v>OK</v>
      </c>
    </row>
    <row r="1444" spans="1:4" x14ac:dyDescent="0.2">
      <c r="A1444" s="5">
        <v>1383</v>
      </c>
      <c r="B1444" s="138">
        <f>'Expenditures 15-22'!D277</f>
        <v>4375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210817</v>
      </c>
      <c r="C1446" s="2" t="s">
        <v>573</v>
      </c>
      <c r="D1446" s="2" t="str">
        <f t="shared" si="21"/>
        <v>Error?</v>
      </c>
    </row>
    <row r="1447" spans="1:4" x14ac:dyDescent="0.2">
      <c r="A1447" s="5">
        <v>1386</v>
      </c>
      <c r="B1447" s="138">
        <f>'Expenditures 15-22'!D280</f>
        <v>39558</v>
      </c>
      <c r="D1447" s="2" t="str">
        <f t="shared" si="21"/>
        <v>Error?</v>
      </c>
    </row>
    <row r="1448" spans="1:4" x14ac:dyDescent="0.2">
      <c r="A1448" s="5">
        <v>1387</v>
      </c>
      <c r="B1448" s="138">
        <f>'Expenditures 15-22'!D295</f>
        <v>335037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4716</v>
      </c>
      <c r="C1472" s="2" t="s">
        <v>573</v>
      </c>
      <c r="D1472" s="2" t="str">
        <f t="shared" si="22"/>
        <v>Error?</v>
      </c>
    </row>
    <row r="1473" spans="1:4" x14ac:dyDescent="0.2">
      <c r="A1473" s="5">
        <v>1412</v>
      </c>
      <c r="B1473" s="138">
        <f>'Expenditures 15-22'!K224</f>
        <v>780</v>
      </c>
      <c r="C1473" s="2" t="s">
        <v>573</v>
      </c>
      <c r="D1473" s="2" t="str">
        <f t="shared" si="22"/>
        <v>Error?</v>
      </c>
    </row>
    <row r="1474" spans="1:4" x14ac:dyDescent="0.2">
      <c r="A1474" s="5">
        <v>1413</v>
      </c>
      <c r="B1474" s="138">
        <f>'Expenditures 15-22'!K229</f>
        <v>84662</v>
      </c>
      <c r="C1474" s="2" t="s">
        <v>573</v>
      </c>
      <c r="D1474" s="2" t="str">
        <f t="shared" si="22"/>
        <v>Error?</v>
      </c>
    </row>
    <row r="1475" spans="1:4" x14ac:dyDescent="0.2">
      <c r="A1475" s="5">
        <v>1414</v>
      </c>
      <c r="B1475" s="138">
        <f>'Expenditures 15-22'!K232</f>
        <v>15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8635</v>
      </c>
      <c r="C1477" s="2" t="s">
        <v>573</v>
      </c>
      <c r="D1477" s="2" t="str">
        <f t="shared" si="22"/>
        <v>Error?</v>
      </c>
    </row>
    <row r="1478" spans="1:4" x14ac:dyDescent="0.2">
      <c r="A1478" s="5">
        <v>1417</v>
      </c>
      <c r="B1478" s="138">
        <f>'Expenditures 15-22'!K235</f>
        <v>2012</v>
      </c>
      <c r="C1478" s="2" t="s">
        <v>573</v>
      </c>
      <c r="D1478" s="2" t="str">
        <f t="shared" si="22"/>
        <v>Error?</v>
      </c>
    </row>
    <row r="1479" spans="1:4" x14ac:dyDescent="0.2">
      <c r="A1479" s="5">
        <v>1418</v>
      </c>
      <c r="B1479" s="138">
        <f>'Expenditures 15-22'!K236</f>
        <v>2038</v>
      </c>
      <c r="C1479" s="2" t="s">
        <v>573</v>
      </c>
      <c r="D1479" s="2" t="str">
        <f t="shared" si="22"/>
        <v>Error?</v>
      </c>
    </row>
    <row r="1480" spans="1:4" x14ac:dyDescent="0.2">
      <c r="A1480" s="5">
        <v>1419</v>
      </c>
      <c r="B1480" s="138">
        <f>'Expenditures 15-22'!K237</f>
        <v>6364</v>
      </c>
      <c r="C1480" s="2" t="s">
        <v>573</v>
      </c>
      <c r="D1480" s="2" t="str">
        <f t="shared" si="22"/>
        <v>Error?</v>
      </c>
    </row>
    <row r="1481" spans="1:4" x14ac:dyDescent="0.2">
      <c r="A1481" s="5">
        <v>1420</v>
      </c>
      <c r="B1481" s="138">
        <f>'Expenditures 15-22'!K238</f>
        <v>19064</v>
      </c>
      <c r="C1481" s="2" t="s">
        <v>573</v>
      </c>
      <c r="D1481" s="2" t="str">
        <f t="shared" si="22"/>
        <v>Error?</v>
      </c>
    </row>
    <row r="1482" spans="1:4" x14ac:dyDescent="0.2">
      <c r="A1482" s="5">
        <v>1421</v>
      </c>
      <c r="B1482" s="138">
        <f>'Expenditures 15-22'!K240</f>
        <v>2065</v>
      </c>
      <c r="C1482" s="2" t="s">
        <v>573</v>
      </c>
      <c r="D1482" s="2" t="str">
        <f t="shared" si="22"/>
        <v>Error?</v>
      </c>
    </row>
    <row r="1483" spans="1:4" x14ac:dyDescent="0.2">
      <c r="A1483" s="5">
        <v>1422</v>
      </c>
      <c r="B1483" s="138">
        <f>'Expenditures 15-22'!K241</f>
        <v>13294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15359</v>
      </c>
      <c r="C1485" s="2" t="s">
        <v>573</v>
      </c>
      <c r="D1485" s="2" t="str">
        <f t="shared" si="22"/>
        <v>Error?</v>
      </c>
    </row>
    <row r="1486" spans="1:4" x14ac:dyDescent="0.2">
      <c r="A1486" s="5">
        <v>1425</v>
      </c>
      <c r="B1486" s="138">
        <f>'Expenditures 15-22'!K245</f>
        <v>338</v>
      </c>
      <c r="C1486" s="2" t="s">
        <v>573</v>
      </c>
      <c r="D1486" s="2" t="str">
        <f t="shared" si="22"/>
        <v>Error?</v>
      </c>
    </row>
    <row r="1487" spans="1:4" x14ac:dyDescent="0.2">
      <c r="A1487" s="5">
        <v>1426</v>
      </c>
      <c r="B1487" s="138">
        <f>'Expenditures 15-22'!K246</f>
        <v>11200</v>
      </c>
      <c r="C1487" s="2" t="s">
        <v>573</v>
      </c>
      <c r="D1487" s="2" t="str">
        <f t="shared" si="22"/>
        <v>Error?</v>
      </c>
    </row>
    <row r="1488" spans="1:4" x14ac:dyDescent="0.2">
      <c r="A1488" s="5">
        <v>1427</v>
      </c>
      <c r="B1488" s="138">
        <f>'Expenditures 15-22'!K257</f>
        <v>26329</v>
      </c>
      <c r="C1488" s="2" t="s">
        <v>573</v>
      </c>
      <c r="D1488" s="2" t="str">
        <f t="shared" si="22"/>
        <v>Error?</v>
      </c>
    </row>
    <row r="1489" spans="1:4" x14ac:dyDescent="0.2">
      <c r="A1489" s="5">
        <v>1428</v>
      </c>
      <c r="B1489" s="138">
        <f>'Expenditures 15-22'!K259</f>
        <v>16210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16210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10211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55079</v>
      </c>
      <c r="C1495" s="2" t="s">
        <v>573</v>
      </c>
      <c r="D1495" s="2" t="str">
        <f t="shared" si="22"/>
        <v>Error?</v>
      </c>
    </row>
    <row r="1496" spans="1:4" x14ac:dyDescent="0.2">
      <c r="A1496" s="5">
        <v>1435</v>
      </c>
      <c r="B1496" s="138">
        <f>'Expenditures 15-22'!K267</f>
        <v>29826</v>
      </c>
      <c r="C1496" s="2" t="s">
        <v>573</v>
      </c>
      <c r="D1496" s="2" t="str">
        <f t="shared" si="22"/>
        <v>Error?</v>
      </c>
    </row>
    <row r="1497" spans="1:4" x14ac:dyDescent="0.2">
      <c r="A1497" s="5">
        <v>1436</v>
      </c>
      <c r="B1497" s="138">
        <f>'Expenditures 15-22'!K268</f>
        <v>34364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129480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4375</v>
      </c>
      <c r="C1506" s="2" t="s">
        <v>573</v>
      </c>
      <c r="D1506" s="2" t="str">
        <f t="shared" si="22"/>
        <v>Error?</v>
      </c>
    </row>
    <row r="1507" spans="1:4" x14ac:dyDescent="0.2">
      <c r="A1507" s="10">
        <v>1446</v>
      </c>
      <c r="D1507" s="2" t="str">
        <f t="shared" si="22"/>
        <v>OK</v>
      </c>
    </row>
    <row r="1508" spans="1:4" x14ac:dyDescent="0.2">
      <c r="A1508" s="5">
        <v>1447</v>
      </c>
      <c r="B1508" s="138">
        <f>'Expenditures 15-22'!K277</f>
        <v>4375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210817</v>
      </c>
      <c r="C1510" s="2" t="s">
        <v>573</v>
      </c>
      <c r="D1510" s="2" t="str">
        <f t="shared" si="22"/>
        <v>Error?</v>
      </c>
    </row>
    <row r="1511" spans="1:4" x14ac:dyDescent="0.2">
      <c r="A1511" s="5">
        <v>1450</v>
      </c>
      <c r="B1511" s="138">
        <f>'Expenditures 15-22'!K280</f>
        <v>39558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335037</v>
      </c>
      <c r="C1517" s="2" t="s">
        <v>573</v>
      </c>
      <c r="D1517" s="2" t="str">
        <f t="shared" si="22"/>
        <v>Error?</v>
      </c>
    </row>
    <row r="1518" spans="1:4" x14ac:dyDescent="0.2">
      <c r="A1518" s="5">
        <v>1457</v>
      </c>
      <c r="B1518" s="138">
        <f>'Expenditures 15-22'!K296</f>
        <v>61345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560685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833311</v>
      </c>
      <c r="C1630" s="2" t="s">
        <v>573</v>
      </c>
      <c r="D1630" s="2" t="str">
        <f t="shared" si="24"/>
        <v>Error?</v>
      </c>
    </row>
    <row r="1631" spans="1:4" x14ac:dyDescent="0.2">
      <c r="A1631" s="5">
        <v>1570</v>
      </c>
      <c r="B1631" s="138">
        <f>'Acct Summary 7-8'!D79</f>
        <v>157636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374148</v>
      </c>
      <c r="C1644" s="2" t="s">
        <v>573</v>
      </c>
      <c r="D1644" s="2" t="str">
        <f t="shared" si="24"/>
        <v>Error?</v>
      </c>
    </row>
    <row r="1645" spans="1:4" x14ac:dyDescent="0.2">
      <c r="A1645" s="5">
        <v>1584</v>
      </c>
      <c r="B1645" s="138">
        <f>'Acct Summary 7-8'!E79</f>
        <v>-66197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-51507</v>
      </c>
      <c r="C1658" s="2" t="s">
        <v>573</v>
      </c>
      <c r="D1658" s="2" t="str">
        <f t="shared" si="24"/>
        <v>Error?</v>
      </c>
    </row>
    <row r="1659" spans="1:4" x14ac:dyDescent="0.2">
      <c r="A1659" s="5">
        <v>1598</v>
      </c>
      <c r="B1659" s="138">
        <f>'Acct Summary 7-8'!F79</f>
        <v>44577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84668</v>
      </c>
      <c r="C1672" s="2" t="s">
        <v>573</v>
      </c>
      <c r="D1672" s="2" t="str">
        <f t="shared" si="25"/>
        <v>Error?</v>
      </c>
    </row>
    <row r="1673" spans="1:4" x14ac:dyDescent="0.2">
      <c r="A1673" s="5">
        <v>1612</v>
      </c>
      <c r="B1673" s="138">
        <f>'Acct Summary 7-8'!G79</f>
        <v>54091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115436</v>
      </c>
      <c r="C1686" s="2" t="s">
        <v>573</v>
      </c>
      <c r="D1686" s="2" t="str">
        <f t="shared" si="25"/>
        <v>Error?</v>
      </c>
    </row>
    <row r="1687" spans="1:4" x14ac:dyDescent="0.2">
      <c r="A1687" s="5">
        <v>1626</v>
      </c>
      <c r="B1687" s="138">
        <f>'Acct Summary 7-8'!H79</f>
        <v>888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990025</v>
      </c>
      <c r="C1744" s="2" t="s">
        <v>573</v>
      </c>
      <c r="D1744" s="2" t="str">
        <f t="shared" si="26"/>
        <v>Error?</v>
      </c>
    </row>
    <row r="1745" spans="1:5" x14ac:dyDescent="0.2">
      <c r="A1745" s="5">
        <v>1684</v>
      </c>
      <c r="B1745" s="138">
        <f>'Tax Sched 23'!B5</f>
        <v>300016</v>
      </c>
      <c r="C1745" s="2" t="s">
        <v>573</v>
      </c>
      <c r="D1745" s="2" t="str">
        <f t="shared" si="26"/>
        <v>Error?</v>
      </c>
    </row>
    <row r="1746" spans="1:5" x14ac:dyDescent="0.2">
      <c r="A1746" s="5">
        <v>1685</v>
      </c>
      <c r="B1746" s="138">
        <f>'Tax Sched 23'!B6</f>
        <v>532412</v>
      </c>
      <c r="C1746" s="2" t="s">
        <v>573</v>
      </c>
      <c r="D1746" s="2" t="str">
        <f t="shared" si="26"/>
        <v>Error?</v>
      </c>
    </row>
    <row r="1747" spans="1:5" x14ac:dyDescent="0.2">
      <c r="A1747" s="5">
        <v>1686</v>
      </c>
      <c r="B1747" s="138">
        <f>'Tax Sched 23'!B7</f>
        <v>72055</v>
      </c>
      <c r="C1747" s="2" t="s">
        <v>573</v>
      </c>
      <c r="D1747" s="2" t="str">
        <f t="shared" si="26"/>
        <v>Error?</v>
      </c>
    </row>
    <row r="1748" spans="1:5" x14ac:dyDescent="0.2">
      <c r="A1748" s="5">
        <v>1687</v>
      </c>
      <c r="B1748" s="138">
        <f>'Tax Sched 23'!B8</f>
        <v>172512</v>
      </c>
      <c r="C1748" s="2" t="s">
        <v>573</v>
      </c>
      <c r="D1748" s="2" t="str">
        <f t="shared" si="26"/>
        <v>Error?</v>
      </c>
    </row>
    <row r="1749" spans="1:5" x14ac:dyDescent="0.2">
      <c r="A1749" s="5">
        <v>1688</v>
      </c>
      <c r="B1749" s="138">
        <f>'Tax Sched 23'!B10</f>
        <v>30013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665303</v>
      </c>
      <c r="C1752" s="2" t="s">
        <v>573</v>
      </c>
      <c r="D1752" s="2" t="str">
        <f t="shared" si="26"/>
        <v>Error?</v>
      </c>
    </row>
    <row r="1753" spans="1:5" x14ac:dyDescent="0.2">
      <c r="A1753" s="5">
        <v>1692</v>
      </c>
      <c r="B1753" s="138">
        <f>'Tax Sched 23'!B12</f>
        <v>2100</v>
      </c>
      <c r="C1753" s="2" t="s">
        <v>573</v>
      </c>
      <c r="D1753" s="2" t="str">
        <f t="shared" si="26"/>
        <v>Error?</v>
      </c>
    </row>
    <row r="1754" spans="1:5" x14ac:dyDescent="0.2">
      <c r="A1754" s="5">
        <v>1693</v>
      </c>
      <c r="B1754" s="138">
        <f>'Tax Sched 23'!B14</f>
        <v>12030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2978337</v>
      </c>
      <c r="C1759" s="2" t="s">
        <v>573</v>
      </c>
      <c r="D1759" s="2" t="str">
        <f t="shared" si="26"/>
        <v>Error?</v>
      </c>
    </row>
    <row r="1760" spans="1:5" x14ac:dyDescent="0.2">
      <c r="A1760" s="5">
        <v>1699</v>
      </c>
      <c r="B1760" s="138">
        <f>'Tax Sched 23'!D4</f>
        <v>920733</v>
      </c>
      <c r="C1760" s="2" t="s">
        <v>573</v>
      </c>
      <c r="D1760" s="2" t="str">
        <f t="shared" si="26"/>
        <v>Error?</v>
      </c>
    </row>
    <row r="1761" spans="1:5" x14ac:dyDescent="0.2">
      <c r="A1761" s="5">
        <v>1700</v>
      </c>
      <c r="B1761" s="138">
        <f>'Tax Sched 23'!D5</f>
        <v>279019</v>
      </c>
      <c r="C1761" s="2" t="s">
        <v>573</v>
      </c>
      <c r="D1761" s="2" t="str">
        <f t="shared" si="26"/>
        <v>Error?</v>
      </c>
    </row>
    <row r="1762" spans="1:5" s="8" customFormat="1" x14ac:dyDescent="0.2">
      <c r="A1762" s="5">
        <v>1701</v>
      </c>
      <c r="B1762" s="138">
        <f>'Tax Sched 23'!D6</f>
        <v>495927</v>
      </c>
      <c r="C1762" s="2" t="s">
        <v>573</v>
      </c>
      <c r="D1762" s="2" t="str">
        <f t="shared" si="26"/>
        <v>Error?</v>
      </c>
      <c r="E1762" s="9"/>
    </row>
    <row r="1763" spans="1:5" x14ac:dyDescent="0.2">
      <c r="A1763" s="5">
        <v>1702</v>
      </c>
      <c r="B1763" s="138">
        <f>'Tax Sched 23'!D7</f>
        <v>67015</v>
      </c>
      <c r="C1763" s="2" t="s">
        <v>573</v>
      </c>
      <c r="D1763" s="2" t="str">
        <f t="shared" si="26"/>
        <v>Error?</v>
      </c>
    </row>
    <row r="1764" spans="1:5" x14ac:dyDescent="0.2">
      <c r="A1764" s="5">
        <v>1703</v>
      </c>
      <c r="B1764" s="138">
        <f>'Tax Sched 23'!D8</f>
        <v>161086</v>
      </c>
      <c r="C1764" s="2" t="s">
        <v>573</v>
      </c>
      <c r="D1764" s="2" t="str">
        <f t="shared" si="26"/>
        <v>Error?</v>
      </c>
    </row>
    <row r="1765" spans="1:5" x14ac:dyDescent="0.2">
      <c r="A1765" s="5">
        <v>1704</v>
      </c>
      <c r="B1765" s="138">
        <f>'Tax Sched 23'!D10</f>
        <v>27913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621683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11189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2772997</v>
      </c>
      <c r="C1775" s="2" t="s">
        <v>573</v>
      </c>
      <c r="D1775" s="2" t="str">
        <f t="shared" si="26"/>
        <v>Error?</v>
      </c>
    </row>
    <row r="1776" spans="1:5" x14ac:dyDescent="0.2">
      <c r="A1776" s="5">
        <v>1715</v>
      </c>
      <c r="B1776" s="138">
        <f>'Tax Sched 23'!C4</f>
        <v>69292</v>
      </c>
      <c r="D1776" s="2" t="str">
        <f t="shared" si="26"/>
        <v>Error?</v>
      </c>
    </row>
    <row r="1777" spans="1:4" x14ac:dyDescent="0.2">
      <c r="A1777" s="5">
        <v>1716</v>
      </c>
      <c r="B1777" s="138">
        <f>'Tax Sched 23'!C5</f>
        <v>20997</v>
      </c>
      <c r="D1777" s="2" t="str">
        <f t="shared" si="26"/>
        <v>Error?</v>
      </c>
    </row>
    <row r="1778" spans="1:4" x14ac:dyDescent="0.2">
      <c r="A1778" s="5">
        <v>1717</v>
      </c>
      <c r="B1778" s="138">
        <f>'Tax Sched 23'!C6</f>
        <v>36485</v>
      </c>
      <c r="D1778" s="2" t="str">
        <f t="shared" si="26"/>
        <v>Error?</v>
      </c>
    </row>
    <row r="1779" spans="1:4" x14ac:dyDescent="0.2">
      <c r="A1779" s="5">
        <v>1718</v>
      </c>
      <c r="B1779" s="138">
        <f>'Tax Sched 23'!C7</f>
        <v>5040</v>
      </c>
      <c r="D1779" s="2" t="str">
        <f t="shared" si="26"/>
        <v>Error?</v>
      </c>
    </row>
    <row r="1780" spans="1:4" x14ac:dyDescent="0.2">
      <c r="A1780" s="5">
        <v>1719</v>
      </c>
      <c r="B1780" s="138">
        <f>'Tax Sched 23'!C8</f>
        <v>11426</v>
      </c>
      <c r="D1780" s="2" t="str">
        <f t="shared" si="26"/>
        <v>Error?</v>
      </c>
    </row>
    <row r="1781" spans="1:4" x14ac:dyDescent="0.2">
      <c r="A1781" s="5">
        <v>1720</v>
      </c>
      <c r="B1781" s="138">
        <f>'Tax Sched 23'!C10</f>
        <v>2100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43620</v>
      </c>
      <c r="D1784" s="2" t="str">
        <f t="shared" si="26"/>
        <v>Error?</v>
      </c>
    </row>
    <row r="1785" spans="1:4" x14ac:dyDescent="0.2">
      <c r="A1785" s="5">
        <v>1724</v>
      </c>
      <c r="B1785" s="138">
        <f>'Tax Sched 23'!C12</f>
        <v>2100</v>
      </c>
      <c r="D1785" s="2" t="str">
        <f t="shared" si="26"/>
        <v>Error?</v>
      </c>
    </row>
    <row r="1786" spans="1:4" x14ac:dyDescent="0.2">
      <c r="A1786" s="5">
        <v>1725</v>
      </c>
      <c r="B1786" s="138">
        <f>'Tax Sched 23'!C14</f>
        <v>841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205340</v>
      </c>
      <c r="C1791" s="2" t="s">
        <v>573</v>
      </c>
      <c r="D1791" s="2" t="str">
        <f t="shared" ref="D1791:D1854" si="27">IF(ISBLANK(B1791),"OK",IF(A1791-B1791=0,"OK","Error?"))</f>
        <v>Error?</v>
      </c>
    </row>
    <row r="1792" spans="1:4" x14ac:dyDescent="0.2">
      <c r="A1792" s="5">
        <v>1731</v>
      </c>
      <c r="B1792" s="138">
        <f>'Tax Sched 23'!F4</f>
        <v>914538</v>
      </c>
      <c r="C1792" s="2" t="s">
        <v>573</v>
      </c>
      <c r="D1792" s="2" t="str">
        <f t="shared" si="27"/>
        <v>Error?</v>
      </c>
    </row>
    <row r="1793" spans="1:4" x14ac:dyDescent="0.2">
      <c r="A1793" s="5">
        <v>1732</v>
      </c>
      <c r="B1793" s="138">
        <f>'Tax Sched 23'!F5</f>
        <v>277133</v>
      </c>
      <c r="C1793" s="2" t="s">
        <v>573</v>
      </c>
      <c r="D1793" s="2" t="str">
        <f t="shared" si="27"/>
        <v>Error?</v>
      </c>
    </row>
    <row r="1794" spans="1:4" x14ac:dyDescent="0.2">
      <c r="A1794" s="5">
        <v>1733</v>
      </c>
      <c r="B1794" s="138">
        <f>'Tax Sched 23'!F6</f>
        <v>481539</v>
      </c>
      <c r="C1794" s="2" t="s">
        <v>573</v>
      </c>
      <c r="D1794" s="2" t="str">
        <f t="shared" si="27"/>
        <v>Error?</v>
      </c>
    </row>
    <row r="1795" spans="1:4" x14ac:dyDescent="0.2">
      <c r="A1795" s="5">
        <v>1734</v>
      </c>
      <c r="B1795" s="138">
        <f>'Tax Sched 23'!F7</f>
        <v>66523</v>
      </c>
      <c r="C1795" s="2" t="s">
        <v>573</v>
      </c>
      <c r="D1795" s="2" t="str">
        <f t="shared" si="27"/>
        <v>Error?</v>
      </c>
    </row>
    <row r="1796" spans="1:4" x14ac:dyDescent="0.2">
      <c r="A1796" s="5">
        <v>1735</v>
      </c>
      <c r="B1796" s="138">
        <f>'Tax Sched 23'!F8</f>
        <v>150801</v>
      </c>
      <c r="C1796" s="2" t="s">
        <v>573</v>
      </c>
      <c r="D1796" s="2" t="str">
        <f t="shared" si="27"/>
        <v>Error?</v>
      </c>
    </row>
    <row r="1797" spans="1:4" x14ac:dyDescent="0.2">
      <c r="A1797" s="5">
        <v>1736</v>
      </c>
      <c r="B1797" s="138">
        <f>'Tax Sched 23'!F10</f>
        <v>27713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575719</v>
      </c>
      <c r="C1800" s="2" t="s">
        <v>573</v>
      </c>
      <c r="D1800" s="2" t="str">
        <f t="shared" si="27"/>
        <v>Error?</v>
      </c>
    </row>
    <row r="1801" spans="1:4" x14ac:dyDescent="0.2">
      <c r="A1801" s="5">
        <v>1740</v>
      </c>
      <c r="B1801" s="138">
        <f>'Tax Sched 23'!F12</f>
        <v>27713</v>
      </c>
      <c r="C1801" s="2" t="s">
        <v>573</v>
      </c>
      <c r="D1801" s="2" t="str">
        <f t="shared" si="27"/>
        <v>Error?</v>
      </c>
    </row>
    <row r="1802" spans="1:4" x14ac:dyDescent="0.2">
      <c r="A1802" s="5">
        <v>1741</v>
      </c>
      <c r="B1802" s="138">
        <f>'Tax Sched 23'!F14</f>
        <v>11096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2710152</v>
      </c>
      <c r="C1807" s="2" t="s">
        <v>573</v>
      </c>
      <c r="D1807" s="2" t="str">
        <f t="shared" si="27"/>
        <v>Error?</v>
      </c>
    </row>
    <row r="1808" spans="1:4" x14ac:dyDescent="0.2">
      <c r="A1808" s="5">
        <v>1747</v>
      </c>
      <c r="B1808" s="138">
        <f>'Tax Sched 23'!E4</f>
        <v>983830</v>
      </c>
      <c r="D1808" s="2" t="str">
        <f t="shared" si="27"/>
        <v>Error?</v>
      </c>
    </row>
    <row r="1809" spans="1:4" x14ac:dyDescent="0.2">
      <c r="A1809" s="5">
        <v>1748</v>
      </c>
      <c r="B1809" s="138">
        <f>'Tax Sched 23'!E5</f>
        <v>298130</v>
      </c>
      <c r="D1809" s="2" t="str">
        <f t="shared" si="27"/>
        <v>Error?</v>
      </c>
    </row>
    <row r="1810" spans="1:4" x14ac:dyDescent="0.2">
      <c r="A1810" s="5">
        <v>1749</v>
      </c>
      <c r="B1810" s="138">
        <f>'Tax Sched 23'!E6</f>
        <v>518024</v>
      </c>
      <c r="D1810" s="2" t="str">
        <f t="shared" si="27"/>
        <v>Error?</v>
      </c>
    </row>
    <row r="1811" spans="1:4" x14ac:dyDescent="0.2">
      <c r="A1811" s="5">
        <v>1750</v>
      </c>
      <c r="B1811" s="138">
        <f>'Tax Sched 23'!E7</f>
        <v>71563</v>
      </c>
      <c r="D1811" s="2" t="str">
        <f t="shared" si="27"/>
        <v>Error?</v>
      </c>
    </row>
    <row r="1812" spans="1:4" x14ac:dyDescent="0.2">
      <c r="A1812" s="5">
        <v>1751</v>
      </c>
      <c r="B1812" s="138">
        <f>'Tax Sched 23'!E8</f>
        <v>162227</v>
      </c>
      <c r="D1812" s="2" t="str">
        <f t="shared" si="27"/>
        <v>Error?</v>
      </c>
    </row>
    <row r="1813" spans="1:4" x14ac:dyDescent="0.2">
      <c r="A1813" s="5">
        <v>1752</v>
      </c>
      <c r="B1813" s="138">
        <f>'Tax Sched 23'!E10</f>
        <v>29813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619339</v>
      </c>
      <c r="D1816" s="2" t="str">
        <f t="shared" si="27"/>
        <v>Error?</v>
      </c>
    </row>
    <row r="1817" spans="1:4" x14ac:dyDescent="0.2">
      <c r="A1817" s="5">
        <v>1756</v>
      </c>
      <c r="B1817" s="138">
        <f>'Tax Sched 23'!E12</f>
        <v>29813</v>
      </c>
      <c r="D1817" s="2" t="str">
        <f t="shared" si="27"/>
        <v>Error?</v>
      </c>
    </row>
    <row r="1818" spans="1:4" x14ac:dyDescent="0.2">
      <c r="A1818" s="5">
        <v>1757</v>
      </c>
      <c r="B1818" s="138">
        <f>'Tax Sched 23'!E14</f>
        <v>11937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2915492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4832549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12030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12030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12030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100686</v>
      </c>
      <c r="D2008" s="2" t="str">
        <f t="shared" si="30"/>
        <v>Error?</v>
      </c>
    </row>
    <row r="2009" spans="1:4" x14ac:dyDescent="0.2">
      <c r="A2009" s="5">
        <v>1948</v>
      </c>
      <c r="B2009" s="138">
        <f>'Cap Outlay Deprec 26'!C8</f>
        <v>11690654</v>
      </c>
      <c r="D2009" s="2" t="str">
        <f t="shared" si="30"/>
        <v>Error?</v>
      </c>
    </row>
    <row r="2010" spans="1:4" x14ac:dyDescent="0.2">
      <c r="A2010" s="5">
        <v>1949</v>
      </c>
      <c r="B2010" s="138">
        <f>'Cap Outlay Deprec 26'!C10</f>
        <v>3295725</v>
      </c>
      <c r="D2010" s="2" t="str">
        <f t="shared" si="30"/>
        <v>Error?</v>
      </c>
    </row>
    <row r="2011" spans="1:4" x14ac:dyDescent="0.2">
      <c r="A2011" s="5">
        <v>1950</v>
      </c>
      <c r="B2011" s="138">
        <f>'Cap Outlay Deprec 26'!C12</f>
        <v>3672882</v>
      </c>
      <c r="D2011" s="2" t="str">
        <f t="shared" si="30"/>
        <v>Error?</v>
      </c>
    </row>
    <row r="2012" spans="1:4" x14ac:dyDescent="0.2">
      <c r="A2012" s="5">
        <v>1951</v>
      </c>
      <c r="B2012" s="138">
        <f>'Cap Outlay Deprec 26'!C13</f>
        <v>899332</v>
      </c>
      <c r="D2012" s="2" t="str">
        <f t="shared" si="30"/>
        <v>Error?</v>
      </c>
    </row>
    <row r="2013" spans="1:4" x14ac:dyDescent="0.2">
      <c r="A2013" s="5">
        <v>1952</v>
      </c>
      <c r="B2013" s="138">
        <f>'Cap Outlay Deprec 26'!C16</f>
        <v>20040235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111550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111550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100686</v>
      </c>
      <c r="C2026" s="2" t="s">
        <v>573</v>
      </c>
      <c r="D2026" s="2" t="str">
        <f t="shared" si="30"/>
        <v>Error?</v>
      </c>
    </row>
    <row r="2027" spans="1:4" x14ac:dyDescent="0.2">
      <c r="A2027" s="5">
        <v>1966</v>
      </c>
      <c r="B2027" s="138">
        <f>'Cap Outlay Deprec 26'!F8</f>
        <v>11690654</v>
      </c>
      <c r="C2027" s="2" t="s">
        <v>573</v>
      </c>
      <c r="D2027" s="2" t="str">
        <f t="shared" si="30"/>
        <v>Error?</v>
      </c>
    </row>
    <row r="2028" spans="1:4" x14ac:dyDescent="0.2">
      <c r="A2028" s="5">
        <v>1967</v>
      </c>
      <c r="B2028" s="138">
        <f>'Cap Outlay Deprec 26'!F10</f>
        <v>3295725</v>
      </c>
      <c r="C2028" s="2" t="s">
        <v>573</v>
      </c>
      <c r="D2028" s="2" t="str">
        <f t="shared" si="30"/>
        <v>Error?</v>
      </c>
    </row>
    <row r="2029" spans="1:4" x14ac:dyDescent="0.2">
      <c r="A2029" s="5">
        <v>1968</v>
      </c>
      <c r="B2029" s="138">
        <f>'Cap Outlay Deprec 26'!F12</f>
        <v>3784432</v>
      </c>
      <c r="C2029" s="2" t="s">
        <v>573</v>
      </c>
      <c r="D2029" s="2" t="str">
        <f t="shared" si="30"/>
        <v>Error?</v>
      </c>
    </row>
    <row r="2030" spans="1:4" x14ac:dyDescent="0.2">
      <c r="A2030" s="5">
        <v>1969</v>
      </c>
      <c r="B2030" s="138">
        <f>'Cap Outlay Deprec 26'!F13</f>
        <v>899332</v>
      </c>
      <c r="C2030" s="2" t="s">
        <v>573</v>
      </c>
      <c r="D2030" s="2" t="str">
        <f t="shared" si="30"/>
        <v>Error?</v>
      </c>
    </row>
    <row r="2031" spans="1:4" x14ac:dyDescent="0.2">
      <c r="A2031" s="5">
        <v>1970</v>
      </c>
      <c r="B2031" s="138">
        <f>'Cap Outlay Deprec 26'!F16</f>
        <v>20151785</v>
      </c>
      <c r="C2031" s="2" t="s">
        <v>573</v>
      </c>
      <c r="D2031" s="2" t="str">
        <f t="shared" si="30"/>
        <v>Error?</v>
      </c>
    </row>
    <row r="2032" spans="1:4" x14ac:dyDescent="0.2">
      <c r="A2032" s="10">
        <v>1971</v>
      </c>
      <c r="D2032" s="2" t="str">
        <f t="shared" si="30"/>
        <v>OK</v>
      </c>
    </row>
    <row r="2033" spans="1:4" x14ac:dyDescent="0.2">
      <c r="A2033" s="5">
        <v>1972</v>
      </c>
      <c r="B2033" s="138">
        <f>'Cap Outlay Deprec 26'!H8</f>
        <v>7561657</v>
      </c>
      <c r="D2033" s="2" t="str">
        <f t="shared" si="30"/>
        <v>Error?</v>
      </c>
    </row>
    <row r="2034" spans="1:4" x14ac:dyDescent="0.2">
      <c r="A2034" s="5">
        <v>1973</v>
      </c>
      <c r="B2034" s="138">
        <f>'Cap Outlay Deprec 26'!H10</f>
        <v>1309342</v>
      </c>
      <c r="D2034" s="2" t="str">
        <f t="shared" si="30"/>
        <v>Error?</v>
      </c>
    </row>
    <row r="2035" spans="1:4" x14ac:dyDescent="0.2">
      <c r="A2035" s="5">
        <v>1974</v>
      </c>
      <c r="B2035" s="138">
        <f>'Cap Outlay Deprec 26'!H12</f>
        <v>3348055</v>
      </c>
      <c r="D2035" s="2" t="str">
        <f t="shared" si="30"/>
        <v>Error?</v>
      </c>
    </row>
    <row r="2036" spans="1:4" x14ac:dyDescent="0.2">
      <c r="A2036" s="5">
        <v>1975</v>
      </c>
      <c r="B2036" s="138">
        <f>'Cap Outlay Deprec 26'!H13</f>
        <v>719239</v>
      </c>
      <c r="D2036" s="2" t="str">
        <f t="shared" si="30"/>
        <v>Error?</v>
      </c>
    </row>
    <row r="2037" spans="1:4" x14ac:dyDescent="0.2">
      <c r="A2037" s="5">
        <v>1976</v>
      </c>
      <c r="B2037" s="138">
        <f>'Cap Outlay Deprec 26'!H16</f>
        <v>13319249</v>
      </c>
      <c r="C2037" s="2" t="s">
        <v>573</v>
      </c>
      <c r="D2037" s="2" t="str">
        <f t="shared" si="30"/>
        <v>Error?</v>
      </c>
    </row>
    <row r="2038" spans="1:4" x14ac:dyDescent="0.2">
      <c r="A2038" s="10">
        <v>1977</v>
      </c>
      <c r="D2038" s="2" t="str">
        <f t="shared" si="30"/>
        <v>OK</v>
      </c>
    </row>
    <row r="2039" spans="1:4" x14ac:dyDescent="0.2">
      <c r="A2039" s="5">
        <v>1978</v>
      </c>
      <c r="B2039" s="138">
        <f>'Cap Outlay Deprec 26'!I8</f>
        <v>233813</v>
      </c>
      <c r="D2039" s="2" t="str">
        <f t="shared" si="30"/>
        <v>Error?</v>
      </c>
    </row>
    <row r="2040" spans="1:4" x14ac:dyDescent="0.2">
      <c r="A2040" s="5">
        <v>1979</v>
      </c>
      <c r="B2040" s="138">
        <f>'Cap Outlay Deprec 26'!I10</f>
        <v>135146</v>
      </c>
      <c r="D2040" s="2" t="str">
        <f t="shared" si="30"/>
        <v>Error?</v>
      </c>
    </row>
    <row r="2041" spans="1:4" x14ac:dyDescent="0.2">
      <c r="A2041" s="5">
        <v>1980</v>
      </c>
      <c r="B2041" s="138">
        <f>'Cap Outlay Deprec 26'!I12</f>
        <v>39482</v>
      </c>
      <c r="D2041" s="2" t="str">
        <f t="shared" si="30"/>
        <v>Error?</v>
      </c>
    </row>
    <row r="2042" spans="1:4" x14ac:dyDescent="0.2">
      <c r="A2042" s="5">
        <v>1981</v>
      </c>
      <c r="B2042" s="138">
        <f>'Cap Outlay Deprec 26'!I13</f>
        <v>122734</v>
      </c>
      <c r="D2042" s="2" t="str">
        <f t="shared" si="30"/>
        <v>Error?</v>
      </c>
    </row>
    <row r="2043" spans="1:4" x14ac:dyDescent="0.2">
      <c r="A2043" s="5">
        <v>1982</v>
      </c>
      <c r="B2043" s="138">
        <f>'Cap Outlay Deprec 26'!I16</f>
        <v>531175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7795470</v>
      </c>
      <c r="C2051" s="2" t="s">
        <v>573</v>
      </c>
      <c r="D2051" s="2" t="str">
        <f t="shared" si="31"/>
        <v>Error?</v>
      </c>
    </row>
    <row r="2052" spans="1:4" x14ac:dyDescent="0.2">
      <c r="A2052" s="5">
        <v>1991</v>
      </c>
      <c r="B2052" s="138">
        <f>'Cap Outlay Deprec 26'!K10</f>
        <v>1444488</v>
      </c>
      <c r="C2052" s="2" t="s">
        <v>573</v>
      </c>
      <c r="D2052" s="2" t="str">
        <f t="shared" si="31"/>
        <v>Error?</v>
      </c>
    </row>
    <row r="2053" spans="1:4" x14ac:dyDescent="0.2">
      <c r="A2053" s="5">
        <v>1992</v>
      </c>
      <c r="B2053" s="138">
        <f>'Cap Outlay Deprec 26'!K12</f>
        <v>3387537</v>
      </c>
      <c r="C2053" s="2" t="s">
        <v>573</v>
      </c>
      <c r="D2053" s="2" t="str">
        <f t="shared" si="31"/>
        <v>Error?</v>
      </c>
    </row>
    <row r="2054" spans="1:4" x14ac:dyDescent="0.2">
      <c r="A2054" s="5">
        <v>1993</v>
      </c>
      <c r="B2054" s="138">
        <f>'Cap Outlay Deprec 26'!K13</f>
        <v>841973</v>
      </c>
      <c r="C2054" s="2" t="s">
        <v>573</v>
      </c>
      <c r="D2054" s="2" t="str">
        <f t="shared" si="31"/>
        <v>Error?</v>
      </c>
    </row>
    <row r="2055" spans="1:4" x14ac:dyDescent="0.2">
      <c r="A2055" s="5">
        <v>1994</v>
      </c>
      <c r="B2055" s="138">
        <f>'Cap Outlay Deprec 26'!K16</f>
        <v>13850424</v>
      </c>
      <c r="C2055" s="2" t="s">
        <v>573</v>
      </c>
      <c r="D2055" s="2" t="str">
        <f t="shared" si="31"/>
        <v>Error?</v>
      </c>
    </row>
    <row r="2056" spans="1:4" x14ac:dyDescent="0.2">
      <c r="A2056" s="5">
        <v>1995</v>
      </c>
      <c r="B2056" s="138">
        <f>'Cap Outlay Deprec 26'!L5</f>
        <v>100686</v>
      </c>
      <c r="C2056" s="2" t="s">
        <v>573</v>
      </c>
      <c r="D2056" s="2" t="str">
        <f t="shared" si="31"/>
        <v>Error?</v>
      </c>
    </row>
    <row r="2057" spans="1:4" x14ac:dyDescent="0.2">
      <c r="A2057" s="5">
        <v>1996</v>
      </c>
      <c r="B2057" s="138">
        <f>'Cap Outlay Deprec 26'!L8</f>
        <v>3895184</v>
      </c>
      <c r="C2057" s="2" t="s">
        <v>573</v>
      </c>
      <c r="D2057" s="2" t="str">
        <f t="shared" si="31"/>
        <v>Error?</v>
      </c>
    </row>
    <row r="2058" spans="1:4" x14ac:dyDescent="0.2">
      <c r="A2058" s="5">
        <v>1997</v>
      </c>
      <c r="B2058" s="138">
        <f>'Cap Outlay Deprec 26'!L10</f>
        <v>1851237</v>
      </c>
      <c r="C2058" s="2" t="s">
        <v>573</v>
      </c>
      <c r="D2058" s="2" t="str">
        <f t="shared" si="31"/>
        <v>Error?</v>
      </c>
    </row>
    <row r="2059" spans="1:4" x14ac:dyDescent="0.2">
      <c r="A2059" s="5">
        <v>1998</v>
      </c>
      <c r="B2059" s="138">
        <f>'Cap Outlay Deprec 26'!L12</f>
        <v>396895</v>
      </c>
      <c r="C2059" s="2" t="s">
        <v>573</v>
      </c>
      <c r="D2059" s="2" t="str">
        <f t="shared" si="31"/>
        <v>Error?</v>
      </c>
    </row>
    <row r="2060" spans="1:4" x14ac:dyDescent="0.2">
      <c r="A2060" s="5">
        <v>1999</v>
      </c>
      <c r="B2060" s="138">
        <f>'Cap Outlay Deprec 26'!L13</f>
        <v>57359</v>
      </c>
      <c r="C2060" s="2" t="s">
        <v>573</v>
      </c>
      <c r="D2060" s="2" t="str">
        <f t="shared" si="31"/>
        <v>Error?</v>
      </c>
    </row>
    <row r="2061" spans="1:4" x14ac:dyDescent="0.2">
      <c r="A2061" s="5">
        <v>2000</v>
      </c>
      <c r="B2061" s="138">
        <f>'Cap Outlay Deprec 26'!L16</f>
        <v>6301361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258740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285111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1578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50799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1418292</v>
      </c>
      <c r="C2551" s="2" t="s">
        <v>573</v>
      </c>
      <c r="D2551" s="2" t="str">
        <f t="shared" si="38"/>
        <v>Error?</v>
      </c>
    </row>
    <row r="2552" spans="1:4" x14ac:dyDescent="0.2">
      <c r="A2552" s="10">
        <v>2491</v>
      </c>
      <c r="D2552" s="2" t="str">
        <f t="shared" si="38"/>
        <v>OK</v>
      </c>
    </row>
    <row r="2553" spans="1:4" x14ac:dyDescent="0.2">
      <c r="A2553" s="5">
        <v>2492</v>
      </c>
      <c r="B2553" s="138">
        <f>'Acct Summary 7-8'!C6</f>
        <v>5349093</v>
      </c>
      <c r="C2553" s="2" t="s">
        <v>573</v>
      </c>
      <c r="D2553" s="2" t="str">
        <f t="shared" si="38"/>
        <v>Error?</v>
      </c>
    </row>
    <row r="2554" spans="1:4" x14ac:dyDescent="0.2">
      <c r="A2554" s="5">
        <v>2493</v>
      </c>
      <c r="B2554" s="138">
        <f>'Acct Summary 7-8'!C7</f>
        <v>1186706</v>
      </c>
      <c r="C2554" s="2" t="s">
        <v>573</v>
      </c>
      <c r="D2554" s="2" t="str">
        <f t="shared" si="38"/>
        <v>Error?</v>
      </c>
    </row>
    <row r="2555" spans="1:4" x14ac:dyDescent="0.2">
      <c r="A2555" s="5">
        <v>2494</v>
      </c>
      <c r="B2555" s="138">
        <f>'Acct Summary 7-8'!C8</f>
        <v>7954091</v>
      </c>
      <c r="C2555" s="2" t="s">
        <v>573</v>
      </c>
      <c r="D2555" s="2" t="str">
        <f t="shared" si="38"/>
        <v>Error?</v>
      </c>
    </row>
    <row r="2556" spans="1:4" x14ac:dyDescent="0.2">
      <c r="A2556" s="5">
        <v>2495</v>
      </c>
      <c r="B2556" s="138">
        <f>'Acct Summary 7-8'!C12</f>
        <v>4554147</v>
      </c>
      <c r="C2556" s="2" t="s">
        <v>573</v>
      </c>
      <c r="D2556" s="2" t="str">
        <f t="shared" si="38"/>
        <v>Error?</v>
      </c>
    </row>
    <row r="2557" spans="1:4" x14ac:dyDescent="0.2">
      <c r="A2557" s="5">
        <v>2496</v>
      </c>
      <c r="B2557" s="138">
        <f>'Acct Summary 7-8'!C13</f>
        <v>2426539</v>
      </c>
      <c r="C2557" s="2" t="s">
        <v>573</v>
      </c>
      <c r="D2557" s="2" t="str">
        <f t="shared" si="38"/>
        <v>Error?</v>
      </c>
    </row>
    <row r="2558" spans="1:4" x14ac:dyDescent="0.2">
      <c r="A2558" s="5">
        <v>2497</v>
      </c>
      <c r="B2558" s="138">
        <f>'Acct Summary 7-8'!C14</f>
        <v>393246</v>
      </c>
      <c r="C2558" s="2" t="s">
        <v>573</v>
      </c>
      <c r="D2558" s="2" t="str">
        <f t="shared" si="38"/>
        <v>Error?</v>
      </c>
    </row>
    <row r="2559" spans="1:4" x14ac:dyDescent="0.2">
      <c r="A2559" s="5">
        <v>2498</v>
      </c>
      <c r="B2559" s="138">
        <f>'Acct Summary 7-8'!C15</f>
        <v>285111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7659043</v>
      </c>
      <c r="C2561" s="2" t="s">
        <v>573</v>
      </c>
      <c r="D2561" s="2" t="str">
        <f t="shared" si="39"/>
        <v>Error?</v>
      </c>
    </row>
    <row r="2562" spans="1:4" x14ac:dyDescent="0.2">
      <c r="A2562" s="5">
        <v>2501</v>
      </c>
      <c r="B2562" s="138">
        <f>'Acct Summary 7-8'!C20</f>
        <v>295048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755690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33456</v>
      </c>
      <c r="C2567" s="2" t="s">
        <v>573</v>
      </c>
      <c r="D2567" s="2" t="str">
        <f t="shared" si="39"/>
        <v>Error?</v>
      </c>
    </row>
    <row r="2568" spans="1:4" x14ac:dyDescent="0.2">
      <c r="A2568" s="5">
        <v>2507</v>
      </c>
      <c r="B2568" s="138">
        <f>'Acct Summary 7-8'!D8</f>
        <v>789146</v>
      </c>
      <c r="C2568" s="2" t="s">
        <v>573</v>
      </c>
      <c r="D2568" s="2" t="str">
        <f t="shared" si="39"/>
        <v>Error?</v>
      </c>
    </row>
    <row r="2569" spans="1:4" x14ac:dyDescent="0.2">
      <c r="A2569" s="5">
        <v>2508</v>
      </c>
      <c r="B2569" s="138">
        <f>'Acct Summary 7-8'!D13</f>
        <v>572634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572634</v>
      </c>
      <c r="C2573" s="2" t="s">
        <v>573</v>
      </c>
      <c r="D2573" s="2" t="str">
        <f t="shared" si="39"/>
        <v>Error?</v>
      </c>
    </row>
    <row r="2574" spans="1:4" x14ac:dyDescent="0.2">
      <c r="A2574" s="5">
        <v>2513</v>
      </c>
      <c r="B2574" s="138">
        <f>'Acct Summary 7-8'!D20</f>
        <v>216512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98000</v>
      </c>
      <c r="C2591" s="2" t="s">
        <v>573</v>
      </c>
      <c r="D2591" s="2" t="str">
        <f t="shared" si="39"/>
        <v>Error?</v>
      </c>
    </row>
    <row r="2592" spans="1:4" x14ac:dyDescent="0.2">
      <c r="A2592" s="10">
        <v>2531</v>
      </c>
      <c r="D2592" s="2" t="str">
        <f t="shared" si="39"/>
        <v>OK</v>
      </c>
    </row>
    <row r="2593" spans="1:4" x14ac:dyDescent="0.2">
      <c r="A2593" s="5">
        <v>2532</v>
      </c>
      <c r="B2593" s="138">
        <f>'Acct Summary 7-8'!F6</f>
        <v>171391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269391</v>
      </c>
      <c r="C2595" s="2" t="s">
        <v>573</v>
      </c>
      <c r="D2595" s="2" t="str">
        <f t="shared" si="39"/>
        <v>Error?</v>
      </c>
    </row>
    <row r="2596" spans="1:4" x14ac:dyDescent="0.2">
      <c r="A2596" s="5">
        <v>2535</v>
      </c>
      <c r="B2596" s="138">
        <f>'Acct Summary 7-8'!F13</f>
        <v>228564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736</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229300</v>
      </c>
      <c r="C2600" s="2" t="s">
        <v>573</v>
      </c>
      <c r="D2600" s="2" t="str">
        <f t="shared" si="39"/>
        <v>Error?</v>
      </c>
    </row>
    <row r="2601" spans="1:4" x14ac:dyDescent="0.2">
      <c r="A2601" s="5">
        <v>2540</v>
      </c>
      <c r="B2601" s="138">
        <f>'Acct Summary 7-8'!F20</f>
        <v>40091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396382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396382</v>
      </c>
      <c r="C2606" s="2" t="s">
        <v>573</v>
      </c>
      <c r="D2606" s="2" t="str">
        <f t="shared" si="39"/>
        <v>Error?</v>
      </c>
    </row>
    <row r="2607" spans="1:4" x14ac:dyDescent="0.2">
      <c r="A2607" s="5">
        <v>2546</v>
      </c>
      <c r="B2607" s="138">
        <f>'Acct Summary 7-8'!G12</f>
        <v>84662</v>
      </c>
      <c r="C2607" s="2" t="s">
        <v>573</v>
      </c>
      <c r="D2607" s="2" t="str">
        <f t="shared" si="39"/>
        <v>Error?</v>
      </c>
    </row>
    <row r="2608" spans="1:4" x14ac:dyDescent="0.2">
      <c r="A2608" s="5">
        <v>2547</v>
      </c>
      <c r="B2608" s="138">
        <f>'Acct Summary 7-8'!G13</f>
        <v>210817</v>
      </c>
      <c r="C2608" s="2" t="s">
        <v>573</v>
      </c>
      <c r="D2608" s="2" t="str">
        <f t="shared" si="39"/>
        <v>Error?</v>
      </c>
    </row>
    <row r="2609" spans="1:4" x14ac:dyDescent="0.2">
      <c r="A2609" s="5">
        <v>2548</v>
      </c>
      <c r="B2609" s="138">
        <f>'Acct Summary 7-8'!G14</f>
        <v>39558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335037</v>
      </c>
      <c r="C2612" s="2" t="s">
        <v>573</v>
      </c>
      <c r="D2612" s="2" t="str">
        <f t="shared" si="39"/>
        <v>Error?</v>
      </c>
    </row>
    <row r="2613" spans="1:4" x14ac:dyDescent="0.2">
      <c r="A2613" s="5">
        <v>2552</v>
      </c>
      <c r="B2613" s="138">
        <f>'Acct Summary 7-8'!G20</f>
        <v>61345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532656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532656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541966</v>
      </c>
      <c r="C2634" s="2" t="s">
        <v>573</v>
      </c>
      <c r="D2634" s="2" t="str">
        <f t="shared" si="40"/>
        <v>Error?</v>
      </c>
    </row>
    <row r="2635" spans="1:4" x14ac:dyDescent="0.2">
      <c r="A2635" s="5">
        <v>2574</v>
      </c>
      <c r="B2635" s="138">
        <f>'Acct Summary 7-8'!E17</f>
        <v>541966</v>
      </c>
      <c r="C2635" s="2" t="s">
        <v>573</v>
      </c>
      <c r="D2635" s="2" t="str">
        <f t="shared" si="40"/>
        <v>Error?</v>
      </c>
    </row>
    <row r="2636" spans="1:4" x14ac:dyDescent="0.2">
      <c r="A2636" s="5">
        <v>2575</v>
      </c>
      <c r="B2636" s="138">
        <f>'Acct Summary 7-8'!E20</f>
        <v>-9310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130705</v>
      </c>
      <c r="D2718" s="2" t="str">
        <f t="shared" si="41"/>
        <v>Error?</v>
      </c>
    </row>
    <row r="2719" spans="1:4" x14ac:dyDescent="0.2">
      <c r="A2719" s="5">
        <v>2658</v>
      </c>
      <c r="B2719" s="138">
        <f>'Expenditures 15-22'!D51</f>
        <v>22145</v>
      </c>
      <c r="D2719" s="2" t="str">
        <f t="shared" si="41"/>
        <v>Error?</v>
      </c>
    </row>
    <row r="2720" spans="1:4" x14ac:dyDescent="0.2">
      <c r="A2720" s="5">
        <v>2659</v>
      </c>
      <c r="B2720" s="138">
        <f>'Expenditures 15-22'!E51</f>
        <v>6829</v>
      </c>
      <c r="D2720" s="2" t="str">
        <f t="shared" si="41"/>
        <v>Error?</v>
      </c>
    </row>
    <row r="2721" spans="1:4" x14ac:dyDescent="0.2">
      <c r="A2721" s="5">
        <v>2660</v>
      </c>
      <c r="B2721" s="138">
        <f>'Expenditures 15-22'!F51</f>
        <v>3643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163322</v>
      </c>
      <c r="C2724" s="2" t="s">
        <v>573</v>
      </c>
      <c r="D2724" s="2" t="str">
        <f t="shared" si="41"/>
        <v>Error?</v>
      </c>
    </row>
    <row r="2725" spans="1:4" x14ac:dyDescent="0.2">
      <c r="A2725" s="5">
        <v>2664</v>
      </c>
      <c r="B2725" s="138">
        <f>'Expenditures 15-22'!D247</f>
        <v>14791</v>
      </c>
      <c r="D2725" s="2" t="str">
        <f t="shared" si="41"/>
        <v>Error?</v>
      </c>
    </row>
    <row r="2726" spans="1:4" x14ac:dyDescent="0.2">
      <c r="A2726" s="5">
        <v>2665</v>
      </c>
      <c r="B2726" s="138">
        <f>'Expenditures 15-22'!K247</f>
        <v>14791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26371</v>
      </c>
      <c r="C2789" s="2" t="s">
        <v>573</v>
      </c>
      <c r="D2789" s="2" t="str">
        <f t="shared" si="42"/>
        <v>Error?</v>
      </c>
    </row>
    <row r="2790" spans="1:4" x14ac:dyDescent="0.2">
      <c r="A2790" s="5">
        <v>2729</v>
      </c>
      <c r="B2790" s="138">
        <f>'Expenditures 15-22'!E102</f>
        <v>26371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736</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736</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1444420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42320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1444420</v>
      </c>
      <c r="D2912" s="2" t="str">
        <f t="shared" si="44"/>
        <v>Error?</v>
      </c>
    </row>
    <row r="2913" spans="1:4" x14ac:dyDescent="0.2">
      <c r="A2913" s="5">
        <v>2852</v>
      </c>
      <c r="B2913" s="138">
        <f>'Assets-Liab 5-6'!I41</f>
        <v>1444420</v>
      </c>
      <c r="C2913" s="2" t="s">
        <v>573</v>
      </c>
      <c r="D2913" s="2" t="str">
        <f t="shared" si="44"/>
        <v>Error?</v>
      </c>
    </row>
    <row r="2914" spans="1:4" x14ac:dyDescent="0.2">
      <c r="A2914" s="5">
        <v>2853</v>
      </c>
      <c r="B2914" s="138">
        <f>'Assets-Liab 5-6'!L33</f>
        <v>42320</v>
      </c>
      <c r="D2914" s="2" t="str">
        <f t="shared" si="44"/>
        <v>Error?</v>
      </c>
    </row>
    <row r="2915" spans="1:4" x14ac:dyDescent="0.2">
      <c r="A2915" s="10">
        <v>2854</v>
      </c>
      <c r="D2915" s="2" t="str">
        <f t="shared" si="44"/>
        <v>OK</v>
      </c>
    </row>
    <row r="2916" spans="1:4" x14ac:dyDescent="0.2">
      <c r="A2916" s="5">
        <v>2855</v>
      </c>
      <c r="B2916" s="138">
        <f>'Assets-Liab 5-6'!L34</f>
        <v>42320</v>
      </c>
      <c r="C2916" s="2" t="s">
        <v>573</v>
      </c>
      <c r="D2916" s="2" t="str">
        <f t="shared" si="44"/>
        <v>Error?</v>
      </c>
    </row>
    <row r="2917" spans="1:4" x14ac:dyDescent="0.2">
      <c r="A2917" s="5">
        <v>2856</v>
      </c>
      <c r="B2917" s="138">
        <f>'Assets-Liab 5-6'!L41</f>
        <v>42320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26371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258740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285111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736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736</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142664</v>
      </c>
      <c r="D3055" s="2" t="str">
        <f t="shared" si="46"/>
        <v>Error?</v>
      </c>
    </row>
    <row r="3056" spans="1:4" x14ac:dyDescent="0.2">
      <c r="A3056" s="5">
        <v>2995</v>
      </c>
      <c r="B3056" s="138">
        <f>'Expenditures 15-22'!D10</f>
        <v>8694</v>
      </c>
      <c r="D3056" s="2" t="str">
        <f t="shared" si="46"/>
        <v>Error?</v>
      </c>
    </row>
    <row r="3057" spans="1:4" x14ac:dyDescent="0.2">
      <c r="A3057" s="5">
        <v>2996</v>
      </c>
      <c r="B3057" s="138">
        <f>'Expenditures 15-22'!E10</f>
        <v>104849</v>
      </c>
      <c r="D3057" s="2" t="str">
        <f t="shared" si="46"/>
        <v>Error?</v>
      </c>
    </row>
    <row r="3058" spans="1:4" x14ac:dyDescent="0.2">
      <c r="A3058" s="5">
        <v>2997</v>
      </c>
      <c r="B3058" s="138">
        <f>'Expenditures 15-22'!F10</f>
        <v>55145</v>
      </c>
      <c r="D3058" s="2" t="str">
        <f t="shared" si="46"/>
        <v>Error?</v>
      </c>
    </row>
    <row r="3059" spans="1:4" x14ac:dyDescent="0.2">
      <c r="A3059" s="5">
        <v>2998</v>
      </c>
      <c r="B3059" s="138">
        <f>'Expenditures 15-22'!G10</f>
        <v>4022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315374</v>
      </c>
      <c r="C3062" s="2" t="s">
        <v>573</v>
      </c>
      <c r="D3062" s="2" t="str">
        <f t="shared" si="46"/>
        <v>Error?</v>
      </c>
    </row>
    <row r="3063" spans="1:4" x14ac:dyDescent="0.2">
      <c r="A3063" s="10">
        <v>3002</v>
      </c>
      <c r="D3063" s="2" t="str">
        <f t="shared" si="46"/>
        <v>OK</v>
      </c>
    </row>
    <row r="3064" spans="1:4" x14ac:dyDescent="0.2">
      <c r="A3064" s="5">
        <v>3003</v>
      </c>
      <c r="B3064" s="138">
        <f>'Expenditures 15-22'!D219</f>
        <v>20839</v>
      </c>
      <c r="D3064" s="2" t="str">
        <f t="shared" si="46"/>
        <v>Error?</v>
      </c>
    </row>
    <row r="3065" spans="1:4" x14ac:dyDescent="0.2">
      <c r="A3065" s="5">
        <v>3004</v>
      </c>
      <c r="B3065" s="138">
        <f>'Expenditures 15-22'!K219</f>
        <v>20839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51338</v>
      </c>
      <c r="C3225" s="2" t="s">
        <v>573</v>
      </c>
      <c r="D3225" s="2" t="str">
        <f t="shared" si="49"/>
        <v>Error?</v>
      </c>
    </row>
    <row r="3226" spans="1:4" x14ac:dyDescent="0.2">
      <c r="A3226" s="5">
        <v>3165</v>
      </c>
      <c r="B3226" s="138">
        <f>'Acct Summary 7-8'!I8</f>
        <v>51338</v>
      </c>
      <c r="C3226" s="2" t="s">
        <v>573</v>
      </c>
      <c r="D3226" s="2" t="str">
        <f t="shared" si="49"/>
        <v>Error?</v>
      </c>
    </row>
    <row r="3227" spans="1:4" x14ac:dyDescent="0.2">
      <c r="A3227" s="5">
        <v>3166</v>
      </c>
      <c r="B3227" s="138">
        <f>'Acct Summary 7-8'!I20</f>
        <v>51338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1578</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24000</v>
      </c>
      <c r="C3231" s="2" t="s">
        <v>573</v>
      </c>
      <c r="D3231" s="2" t="str">
        <f t="shared" si="49"/>
        <v>Error?</v>
      </c>
    </row>
    <row r="3232" spans="1:4" x14ac:dyDescent="0.2">
      <c r="A3232" s="5">
        <v>3171</v>
      </c>
      <c r="B3232" s="138">
        <f>'Acct Summary 7-8'!C77</f>
        <v>-22422</v>
      </c>
      <c r="C3232" s="2" t="s">
        <v>573</v>
      </c>
      <c r="D3232" s="2" t="str">
        <f t="shared" si="49"/>
        <v>Error?</v>
      </c>
    </row>
    <row r="3233" spans="1:4" x14ac:dyDescent="0.2">
      <c r="A3233" s="5">
        <v>3172</v>
      </c>
      <c r="B3233" s="138">
        <f>'Acct Summary 7-8'!C78</f>
        <v>272626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216512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40091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61345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24000</v>
      </c>
      <c r="C3277" s="2" t="s">
        <v>573</v>
      </c>
      <c r="D3277" s="2" t="str">
        <f t="shared" si="50"/>
        <v>Error?</v>
      </c>
    </row>
    <row r="3278" spans="1:4" x14ac:dyDescent="0.2">
      <c r="A3278" s="5">
        <v>3217</v>
      </c>
      <c r="B3278" s="138">
        <f>'Acct Summary 7-8'!E78</f>
        <v>14690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1578</v>
      </c>
      <c r="C3318" s="2" t="s">
        <v>573</v>
      </c>
      <c r="D3318" s="2" t="str">
        <f t="shared" si="50"/>
        <v>Error?</v>
      </c>
    </row>
    <row r="3319" spans="1:4" x14ac:dyDescent="0.2">
      <c r="A3319" s="5">
        <v>3258</v>
      </c>
      <c r="B3319" s="138">
        <f>'Acct Summary 7-8'!I77</f>
        <v>-1578</v>
      </c>
      <c r="C3319" s="2" t="s">
        <v>573</v>
      </c>
      <c r="D3319" s="2" t="str">
        <f t="shared" si="50"/>
        <v>Error?</v>
      </c>
    </row>
    <row r="3320" spans="1:4" x14ac:dyDescent="0.2">
      <c r="A3320" s="5">
        <v>3259</v>
      </c>
      <c r="B3320" s="138">
        <f>'Acct Summary 7-8'!I78</f>
        <v>49760</v>
      </c>
      <c r="C3320" s="2" t="s">
        <v>573</v>
      </c>
      <c r="D3320" s="2" t="str">
        <f t="shared" si="50"/>
        <v>Error?</v>
      </c>
    </row>
    <row r="3321" spans="1:4" x14ac:dyDescent="0.2">
      <c r="A3321" s="5">
        <v>3260</v>
      </c>
      <c r="B3321" s="138">
        <f>'Acct Summary 7-8'!I79</f>
        <v>1394660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1444420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789383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237661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1032554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24274</v>
      </c>
      <c r="D3387" s="2" t="str">
        <f t="shared" si="51"/>
        <v>Error?</v>
      </c>
    </row>
    <row r="3388" spans="1:4" x14ac:dyDescent="0.2">
      <c r="A3388" s="5">
        <v>3327</v>
      </c>
      <c r="B3388" s="138">
        <f>'Expenditures 15-22'!D217</f>
        <v>18353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24274</v>
      </c>
      <c r="C3390" s="2" t="s">
        <v>573</v>
      </c>
      <c r="D3390" s="2" t="str">
        <f t="shared" si="51"/>
        <v>Error?</v>
      </c>
    </row>
    <row r="3391" spans="1:4" x14ac:dyDescent="0.2">
      <c r="A3391" s="5">
        <v>3330</v>
      </c>
      <c r="B3391" s="138">
        <f>'Expenditures 15-22'!K217</f>
        <v>18353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833311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374148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93</v>
      </c>
      <c r="D3417" s="2" t="str">
        <f t="shared" si="52"/>
        <v>Error?</v>
      </c>
    </row>
    <row r="3418" spans="1:4" x14ac:dyDescent="0.2">
      <c r="A3418" s="10">
        <v>3357</v>
      </c>
      <c r="D3418" s="2" t="str">
        <f t="shared" si="52"/>
        <v>OK</v>
      </c>
    </row>
    <row r="3419" spans="1:4" x14ac:dyDescent="0.2">
      <c r="A3419" s="5">
        <v>3358</v>
      </c>
      <c r="B3419" s="138">
        <f>'Assets-Liab 5-6'!F4</f>
        <v>84668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115436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888</v>
      </c>
      <c r="D3425" s="2" t="str">
        <f t="shared" si="52"/>
        <v>Error?</v>
      </c>
    </row>
    <row r="3426" spans="1:4" x14ac:dyDescent="0.2">
      <c r="A3426" s="10">
        <v>3365</v>
      </c>
      <c r="D3426" s="2" t="str">
        <f t="shared" si="52"/>
        <v>OK</v>
      </c>
    </row>
    <row r="3427" spans="1:4" x14ac:dyDescent="0.2">
      <c r="A3427" s="5">
        <v>3366</v>
      </c>
      <c r="B3427" s="138">
        <f>'Assets-Liab 5-6'!I4</f>
        <v>1174420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42320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171854</v>
      </c>
      <c r="C3446" s="2" t="s">
        <v>573</v>
      </c>
      <c r="D3446" s="2" t="str">
        <f t="shared" si="52"/>
        <v>Error?</v>
      </c>
    </row>
    <row r="3447" spans="1:4" x14ac:dyDescent="0.2">
      <c r="A3447" s="5">
        <v>3386</v>
      </c>
      <c r="B3447" s="138">
        <f>'Tax Sched 23'!D16</f>
        <v>160515</v>
      </c>
      <c r="C3447" s="2" t="s">
        <v>573</v>
      </c>
      <c r="D3447" s="2" t="str">
        <f t="shared" si="52"/>
        <v>Error?</v>
      </c>
    </row>
    <row r="3448" spans="1:4" x14ac:dyDescent="0.2">
      <c r="A3448" s="5">
        <v>3387</v>
      </c>
      <c r="B3448" s="138">
        <f>'Tax Sched 23'!C16</f>
        <v>11339</v>
      </c>
      <c r="D3448" s="2" t="str">
        <f t="shared" si="52"/>
        <v>Error?</v>
      </c>
    </row>
    <row r="3449" spans="1:4" x14ac:dyDescent="0.2">
      <c r="A3449" s="5">
        <v>3388</v>
      </c>
      <c r="B3449" s="138">
        <f>'Tax Sched 23'!F16</f>
        <v>149664</v>
      </c>
      <c r="C3449" s="2" t="s">
        <v>573</v>
      </c>
      <c r="D3449" s="2" t="str">
        <f t="shared" si="52"/>
        <v>Error?</v>
      </c>
    </row>
    <row r="3450" spans="1:4" x14ac:dyDescent="0.2">
      <c r="A3450" s="5">
        <v>3389</v>
      </c>
      <c r="B3450" s="138">
        <f>'Tax Sched 23'!E16</f>
        <v>161003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218400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-218388</v>
      </c>
      <c r="D3567" s="2" t="str">
        <f t="shared" si="54"/>
        <v>Error?</v>
      </c>
    </row>
    <row r="3568" spans="1:4" x14ac:dyDescent="0.2">
      <c r="A3568" s="5">
        <v>3507</v>
      </c>
      <c r="B3568" s="138">
        <f>'Assets-Liab 5-6'!K41</f>
        <v>12</v>
      </c>
      <c r="C3568" s="2" t="s">
        <v>573</v>
      </c>
      <c r="D3568" s="2" t="str">
        <f t="shared" si="54"/>
        <v>Error?</v>
      </c>
    </row>
    <row r="3569" spans="1:4" x14ac:dyDescent="0.2">
      <c r="A3569" s="5">
        <v>3508</v>
      </c>
      <c r="B3569" s="138">
        <f>'Acct Summary 7-8'!K4</f>
        <v>2100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2100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2100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2100</v>
      </c>
      <c r="C3588" s="2" t="s">
        <v>573</v>
      </c>
      <c r="D3588" s="2" t="str">
        <f t="shared" si="55"/>
        <v>Error?</v>
      </c>
    </row>
    <row r="3589" spans="1:4" x14ac:dyDescent="0.2">
      <c r="A3589" s="5">
        <v>3528</v>
      </c>
      <c r="B3589" s="138">
        <f>'Acct Summary 7-8'!K79</f>
        <v>-220488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-218388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2100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30017</v>
      </c>
      <c r="C3725" s="2" t="s">
        <v>573</v>
      </c>
      <c r="D3725" s="2" t="str">
        <f t="shared" si="57"/>
        <v>Error?</v>
      </c>
    </row>
    <row r="3726" spans="1:4" x14ac:dyDescent="0.2">
      <c r="A3726" s="5">
        <v>3665</v>
      </c>
      <c r="B3726" s="138">
        <f>'Tax Sched 23'!D13</f>
        <v>27917</v>
      </c>
      <c r="C3726" s="2" t="s">
        <v>573</v>
      </c>
      <c r="D3726" s="2" t="str">
        <f t="shared" si="57"/>
        <v>Error?</v>
      </c>
    </row>
    <row r="3727" spans="1:4" x14ac:dyDescent="0.2">
      <c r="A3727" s="5">
        <v>3666</v>
      </c>
      <c r="B3727" s="138">
        <f>'Tax Sched 23'!C13</f>
        <v>2100</v>
      </c>
      <c r="D3727" s="2" t="str">
        <f t="shared" si="57"/>
        <v>Error?</v>
      </c>
    </row>
    <row r="3728" spans="1:4" x14ac:dyDescent="0.2">
      <c r="A3728" s="5">
        <v>3667</v>
      </c>
      <c r="B3728" s="138">
        <f>'Tax Sched 23'!F13</f>
        <v>27713</v>
      </c>
      <c r="C3728" s="2" t="s">
        <v>573</v>
      </c>
      <c r="D3728" s="2" t="str">
        <f t="shared" si="57"/>
        <v>Error?</v>
      </c>
    </row>
    <row r="3729" spans="1:4" x14ac:dyDescent="0.2">
      <c r="A3729" s="5">
        <v>3668</v>
      </c>
      <c r="B3729" s="138">
        <f>'Tax Sched 23'!E13</f>
        <v>29813</v>
      </c>
      <c r="D3729" s="2" t="str">
        <f t="shared" si="57"/>
        <v>Error?</v>
      </c>
    </row>
    <row r="3730" spans="1:4" x14ac:dyDescent="0.2">
      <c r="A3730" s="5">
        <v>3669</v>
      </c>
      <c r="B3730" s="138">
        <f>'ICR Computation 30'!E10</f>
        <v>258802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3226448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11180539</v>
      </c>
      <c r="C4122" s="2" t="s">
        <v>573</v>
      </c>
      <c r="D4122" s="2" t="str">
        <f t="shared" si="63"/>
        <v>Error?</v>
      </c>
    </row>
    <row r="4123" spans="1:4" x14ac:dyDescent="0.2">
      <c r="A4123" s="5">
        <v>4062</v>
      </c>
      <c r="B4123" s="138">
        <f>'Acct Summary 7-8'!D10</f>
        <v>789146</v>
      </c>
      <c r="C4123" s="2" t="s">
        <v>573</v>
      </c>
      <c r="D4123" s="2" t="str">
        <f t="shared" si="63"/>
        <v>Error?</v>
      </c>
    </row>
    <row r="4124" spans="1:4" x14ac:dyDescent="0.2">
      <c r="A4124" s="5">
        <v>4063</v>
      </c>
      <c r="B4124" s="138">
        <f>'Acct Summary 7-8'!E10</f>
        <v>532656</v>
      </c>
      <c r="C4124" s="2" t="s">
        <v>573</v>
      </c>
      <c r="D4124" s="2" t="str">
        <f t="shared" si="63"/>
        <v>Error?</v>
      </c>
    </row>
    <row r="4125" spans="1:4" x14ac:dyDescent="0.2">
      <c r="A4125" s="5">
        <v>4064</v>
      </c>
      <c r="B4125" s="138">
        <f>'Acct Summary 7-8'!F10</f>
        <v>269391</v>
      </c>
      <c r="C4125" s="2" t="s">
        <v>573</v>
      </c>
      <c r="D4125" s="2" t="str">
        <f t="shared" si="63"/>
        <v>Error?</v>
      </c>
    </row>
    <row r="4126" spans="1:4" x14ac:dyDescent="0.2">
      <c r="A4126" s="5">
        <v>4065</v>
      </c>
      <c r="B4126" s="138">
        <f>'Acct Summary 7-8'!G10</f>
        <v>396382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51338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2100</v>
      </c>
      <c r="C4130" s="2" t="s">
        <v>573</v>
      </c>
      <c r="D4130" s="2" t="str">
        <f t="shared" si="63"/>
        <v>Error?</v>
      </c>
    </row>
    <row r="4131" spans="1:4" x14ac:dyDescent="0.2">
      <c r="A4131" s="5">
        <v>4070</v>
      </c>
      <c r="B4131" s="138">
        <f>'Acct Summary 7-8'!C18</f>
        <v>3226448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10885491</v>
      </c>
      <c r="C4136" s="2" t="s">
        <v>573</v>
      </c>
      <c r="D4136" s="2" t="str">
        <f t="shared" si="63"/>
        <v>Error?</v>
      </c>
    </row>
    <row r="4137" spans="1:4" x14ac:dyDescent="0.2">
      <c r="A4137" s="5">
        <v>4076</v>
      </c>
      <c r="B4137" s="138">
        <f>'Acct Summary 7-8'!D19</f>
        <v>572634</v>
      </c>
      <c r="C4137" s="2" t="s">
        <v>573</v>
      </c>
      <c r="D4137" s="2" t="str">
        <f t="shared" si="63"/>
        <v>Error?</v>
      </c>
    </row>
    <row r="4138" spans="1:4" x14ac:dyDescent="0.2">
      <c r="A4138" s="5">
        <v>4077</v>
      </c>
      <c r="B4138" s="138">
        <f>'Acct Summary 7-8'!E19</f>
        <v>541966</v>
      </c>
      <c r="C4138" s="2" t="s">
        <v>573</v>
      </c>
      <c r="D4138" s="2" t="str">
        <f t="shared" si="63"/>
        <v>Error?</v>
      </c>
    </row>
    <row r="4139" spans="1:4" x14ac:dyDescent="0.2">
      <c r="A4139" s="5">
        <v>4078</v>
      </c>
      <c r="B4139" s="138">
        <f>'Acct Summary 7-8'!F19</f>
        <v>229300</v>
      </c>
      <c r="C4139" s="2" t="s">
        <v>573</v>
      </c>
      <c r="D4139" s="2" t="str">
        <f t="shared" si="63"/>
        <v>Error?</v>
      </c>
    </row>
    <row r="4140" spans="1:4" x14ac:dyDescent="0.2">
      <c r="A4140" s="5">
        <v>4079</v>
      </c>
      <c r="B4140" s="138">
        <f>'Acct Summary 7-8'!G19</f>
        <v>335037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4367583</v>
      </c>
      <c r="C4171" s="2" t="s">
        <v>573</v>
      </c>
      <c r="D4171" s="2" t="str">
        <f t="shared" si="64"/>
        <v>Error?</v>
      </c>
    </row>
    <row r="4172" spans="1:4" x14ac:dyDescent="0.2">
      <c r="A4172" s="5">
        <v>4111</v>
      </c>
      <c r="B4172" s="138">
        <f>'Short-Term Long-Term Debt 24'!J49</f>
        <v>4367583</v>
      </c>
      <c r="C4172" s="2" t="s">
        <v>573</v>
      </c>
      <c r="D4172" s="2" t="str">
        <f t="shared" si="64"/>
        <v>Error?</v>
      </c>
    </row>
    <row r="4173" spans="1:4" x14ac:dyDescent="0.2">
      <c r="A4173" s="5">
        <v>4112</v>
      </c>
      <c r="B4173" s="138">
        <f>'Short-Term Long-Term Debt 24'!H49</f>
        <v>464966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1607.1</v>
      </c>
      <c r="C4265" s="2" t="s">
        <v>573</v>
      </c>
      <c r="D4265" s="2" t="str">
        <f t="shared" si="65"/>
        <v>Error?</v>
      </c>
      <c r="E4265" s="128"/>
    </row>
    <row r="4266" spans="1:5" x14ac:dyDescent="0.2">
      <c r="A4266" s="12">
        <v>4205</v>
      </c>
      <c r="B4266" s="138">
        <f>('FP Info 3'!F10)*100000</f>
        <v>487</v>
      </c>
      <c r="C4266" s="2" t="s">
        <v>573</v>
      </c>
      <c r="D4266" s="2" t="str">
        <f t="shared" si="65"/>
        <v>Error?</v>
      </c>
      <c r="E4266" s="128"/>
    </row>
    <row r="4267" spans="1:5" x14ac:dyDescent="0.2">
      <c r="A4267" s="12">
        <v>4206</v>
      </c>
      <c r="B4267" s="138">
        <f>('FP Info 3'!H10)*100000</f>
        <v>116.89999999999999</v>
      </c>
      <c r="C4267" s="2" t="s">
        <v>573</v>
      </c>
      <c r="D4267" s="2" t="str">
        <f t="shared" si="65"/>
        <v>Error?</v>
      </c>
      <c r="E4267" s="128"/>
    </row>
    <row r="4268" spans="1:5" x14ac:dyDescent="0.2">
      <c r="A4268" s="12">
        <v>4207</v>
      </c>
      <c r="B4268" s="138">
        <f>('FP Info 3'!J10)*100000</f>
        <v>2211</v>
      </c>
      <c r="C4268" s="2" t="s">
        <v>573</v>
      </c>
      <c r="D4268" s="2" t="str">
        <f t="shared" si="65"/>
        <v>Error?</v>
      </c>
    </row>
    <row r="4269" spans="1:5" x14ac:dyDescent="0.2">
      <c r="A4269" s="12">
        <v>4208</v>
      </c>
      <c r="B4269" s="138">
        <f>'FP Info 3'!J16</f>
        <v>2736547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32509</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19455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76266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9828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34190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61217692</v>
      </c>
      <c r="D4995" s="2" t="str">
        <f t="shared" si="77"/>
        <v>Error?</v>
      </c>
    </row>
    <row r="4996" spans="1:4" x14ac:dyDescent="0.2">
      <c r="A4996" s="12">
        <v>4935</v>
      </c>
      <c r="B4996" s="138">
        <f>'FP Info 3'!H31</f>
        <v>4224020.7480000006</v>
      </c>
      <c r="D4996" s="2" t="str">
        <f t="shared" si="77"/>
        <v>Error?</v>
      </c>
    </row>
    <row r="4997" spans="1:4" x14ac:dyDescent="0.2">
      <c r="A4997" s="12">
        <v>4936</v>
      </c>
      <c r="B4997" s="138">
        <f>'FP Info 3'!H37</f>
        <v>4367583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30017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990025</v>
      </c>
      <c r="D5061" s="2" t="str">
        <f t="shared" si="78"/>
        <v>Error?</v>
      </c>
    </row>
    <row r="5062" spans="1:4" x14ac:dyDescent="0.2">
      <c r="A5062" s="10">
        <v>5001</v>
      </c>
      <c r="D5062" s="2" t="str">
        <f t="shared" si="78"/>
        <v>OK</v>
      </c>
    </row>
    <row r="5063" spans="1:4" x14ac:dyDescent="0.2">
      <c r="A5063" s="5">
        <v>5002</v>
      </c>
      <c r="B5063" s="138">
        <f>'Revenues 9-14'!C7</f>
        <v>12030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1032072</v>
      </c>
      <c r="C5066" s="2" t="s">
        <v>573</v>
      </c>
      <c r="D5066" s="2" t="str">
        <f t="shared" si="78"/>
        <v>Error?</v>
      </c>
    </row>
    <row r="5067" spans="1:4" x14ac:dyDescent="0.2">
      <c r="A5067" s="5">
        <v>5006</v>
      </c>
      <c r="B5067" s="138">
        <f>'Revenues 9-14'!C14</f>
        <v>155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228224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228379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5226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5226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2342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341</v>
      </c>
      <c r="D5094" s="2" t="str">
        <f t="shared" si="78"/>
        <v>Error?</v>
      </c>
    </row>
    <row r="5095" spans="1:4" x14ac:dyDescent="0.2">
      <c r="A5095" s="5">
        <v>5034</v>
      </c>
      <c r="B5095" s="138">
        <f>'Revenues 9-14'!C74</f>
        <v>17</v>
      </c>
      <c r="D5095" s="2" t="str">
        <f t="shared" si="78"/>
        <v>Error?</v>
      </c>
    </row>
    <row r="5096" spans="1:4" x14ac:dyDescent="0.2">
      <c r="A5096" s="5">
        <v>5035</v>
      </c>
      <c r="B5096" s="138">
        <f>'Revenues 9-14'!C75</f>
        <v>2700</v>
      </c>
      <c r="C5096" s="2" t="s">
        <v>573</v>
      </c>
      <c r="D5096" s="2" t="str">
        <f t="shared" si="78"/>
        <v>Error?</v>
      </c>
    </row>
    <row r="5097" spans="1:4" x14ac:dyDescent="0.2">
      <c r="A5097" s="5">
        <v>5036</v>
      </c>
      <c r="B5097" s="138">
        <f>'Revenues 9-14'!C77</f>
        <v>3711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65517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69228</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29750</v>
      </c>
      <c r="D5113" s="2" t="str">
        <f t="shared" si="78"/>
        <v>Error?</v>
      </c>
    </row>
    <row r="5114" spans="1:4" x14ac:dyDescent="0.2">
      <c r="A5114" s="5">
        <v>5053</v>
      </c>
      <c r="B5114" s="138">
        <f>'Revenues 9-14'!C96</f>
        <v>2012</v>
      </c>
      <c r="D5114" s="2" t="str">
        <f t="shared" si="78"/>
        <v>Error?</v>
      </c>
    </row>
    <row r="5115" spans="1:4" x14ac:dyDescent="0.2">
      <c r="A5115" s="5">
        <v>5054</v>
      </c>
      <c r="B5115" s="138">
        <f>'Revenues 9-14'!C98</f>
        <v>34898</v>
      </c>
      <c r="D5115" s="2" t="str">
        <f t="shared" si="78"/>
        <v>Error?</v>
      </c>
    </row>
    <row r="5116" spans="1:4" x14ac:dyDescent="0.2">
      <c r="A5116" s="5">
        <v>5055</v>
      </c>
      <c r="B5116" s="138">
        <f>'Revenues 9-14'!C99</f>
        <v>3615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10412</v>
      </c>
      <c r="D5119" s="2" t="str">
        <f t="shared" ref="D5119:D5182" si="79">IF(ISBLANK(B5119),"OK",IF(A5119-B5119=0,"OK","Error?"))</f>
        <v>Error?</v>
      </c>
    </row>
    <row r="5120" spans="1:4" x14ac:dyDescent="0.2">
      <c r="A5120" s="5">
        <v>5059</v>
      </c>
      <c r="B5120" s="138">
        <f>'Revenues 9-14'!C108</f>
        <v>80687</v>
      </c>
      <c r="C5120" s="2" t="s">
        <v>573</v>
      </c>
      <c r="D5120" s="2" t="str">
        <f t="shared" si="79"/>
        <v>Error?</v>
      </c>
    </row>
    <row r="5121" spans="1:4" x14ac:dyDescent="0.2">
      <c r="A5121" s="5">
        <v>5060</v>
      </c>
      <c r="B5121" s="138">
        <f>'Revenues 9-14'!C109</f>
        <v>1418292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3918246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3918246</v>
      </c>
      <c r="C5132" s="2" t="s">
        <v>573</v>
      </c>
      <c r="D5132" s="2" t="str">
        <f t="shared" si="79"/>
        <v>Error?</v>
      </c>
    </row>
    <row r="5133" spans="1:4" x14ac:dyDescent="0.2">
      <c r="A5133" s="5">
        <v>5072</v>
      </c>
      <c r="B5133" s="138">
        <f>'Revenues 9-14'!C125</f>
        <v>55097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71033</v>
      </c>
      <c r="D5137" s="2" t="str">
        <f t="shared" si="79"/>
        <v>Error?</v>
      </c>
    </row>
    <row r="5138" spans="1:4" x14ac:dyDescent="0.2">
      <c r="A5138" s="10">
        <v>5077</v>
      </c>
      <c r="D5138" s="2" t="str">
        <f t="shared" si="79"/>
        <v>OK</v>
      </c>
    </row>
    <row r="5139" spans="1:4" x14ac:dyDescent="0.2">
      <c r="A5139" s="5">
        <v>5078</v>
      </c>
      <c r="B5139" s="138">
        <f>'Revenues 9-14'!C129</f>
        <v>4851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130981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9705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1255971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1430847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5349093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318557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138638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510923</v>
      </c>
      <c r="C5246" s="2" t="s">
        <v>573</v>
      </c>
      <c r="D5246" s="2" t="str">
        <f t="shared" si="80"/>
        <v>Error?</v>
      </c>
    </row>
    <row r="5247" spans="1:4" x14ac:dyDescent="0.2">
      <c r="A5247" s="5">
        <v>5186</v>
      </c>
      <c r="B5247" s="138">
        <f>'Revenues 9-14'!C200</f>
        <v>360685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9828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360685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25359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165967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191326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18223</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1186706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1186706</v>
      </c>
      <c r="C5326" s="2" t="s">
        <v>573</v>
      </c>
      <c r="D5326" s="2" t="str">
        <f t="shared" si="82"/>
        <v>Error?</v>
      </c>
    </row>
    <row r="5327" spans="1:5" x14ac:dyDescent="0.2">
      <c r="A5327" s="5">
        <v>5266</v>
      </c>
      <c r="B5327" s="138">
        <f>'Revenues 9-14'!C268</f>
        <v>7954091</v>
      </c>
      <c r="C5327" s="2" t="s">
        <v>573</v>
      </c>
      <c r="D5327" s="2" t="str">
        <f t="shared" si="82"/>
        <v>Error?</v>
      </c>
    </row>
    <row r="5328" spans="1:5" x14ac:dyDescent="0.2">
      <c r="A5328" s="5">
        <v>5267</v>
      </c>
      <c r="B5328" s="138">
        <f>'Revenues 9-14'!D5</f>
        <v>300016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300016</v>
      </c>
      <c r="C5334" s="2" t="s">
        <v>573</v>
      </c>
      <c r="D5334" s="2" t="str">
        <f t="shared" si="82"/>
        <v>Error?</v>
      </c>
    </row>
    <row r="5335" spans="1:4" x14ac:dyDescent="0.2">
      <c r="A5335" s="5">
        <v>5274</v>
      </c>
      <c r="B5335" s="138">
        <f>'Revenues 9-14'!D14</f>
        <v>46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441992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442038</v>
      </c>
      <c r="C5339" s="2" t="s">
        <v>573</v>
      </c>
      <c r="D5339" s="2" t="str">
        <f t="shared" si="82"/>
        <v>Error?</v>
      </c>
    </row>
    <row r="5340" spans="1:4" x14ac:dyDescent="0.2">
      <c r="A5340" s="5">
        <v>5279</v>
      </c>
      <c r="B5340" s="138">
        <f>'Revenues 9-14'!D65</f>
        <v>1874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1874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11737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v>
      </c>
      <c r="D5354" s="2" t="str">
        <f t="shared" si="82"/>
        <v>Error?</v>
      </c>
    </row>
    <row r="5355" spans="1:4" x14ac:dyDescent="0.2">
      <c r="A5355" s="5">
        <v>5294</v>
      </c>
      <c r="B5355" s="138">
        <f>'Revenues 9-14'!D108</f>
        <v>11762</v>
      </c>
      <c r="C5355" s="2" t="s">
        <v>573</v>
      </c>
      <c r="D5355" s="2" t="str">
        <f t="shared" si="82"/>
        <v>Error?</v>
      </c>
    </row>
    <row r="5356" spans="1:4" x14ac:dyDescent="0.2">
      <c r="A5356" s="5">
        <v>5295</v>
      </c>
      <c r="B5356" s="138">
        <f>'Revenues 9-14'!D109</f>
        <v>755690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33456</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33456</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33456</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33456</v>
      </c>
      <c r="C5507" s="2" t="s">
        <v>573</v>
      </c>
      <c r="D5507" s="2" t="str">
        <f t="shared" si="85"/>
        <v>Error?</v>
      </c>
    </row>
    <row r="5508" spans="1:4" x14ac:dyDescent="0.2">
      <c r="A5508" s="5">
        <v>5447</v>
      </c>
      <c r="B5508" s="138">
        <f>'Revenues 9-14'!D268</f>
        <v>789146</v>
      </c>
      <c r="C5508" s="2" t="s">
        <v>573</v>
      </c>
      <c r="D5508" s="2" t="str">
        <f t="shared" si="85"/>
        <v>Error?</v>
      </c>
    </row>
    <row r="5509" spans="1:4" x14ac:dyDescent="0.2">
      <c r="A5509" s="5">
        <v>5448</v>
      </c>
      <c r="B5509" s="138">
        <f>'Revenues 9-14'!E5</f>
        <v>532412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532412</v>
      </c>
      <c r="C5513" s="2" t="s">
        <v>573</v>
      </c>
      <c r="D5513" s="2" t="str">
        <f t="shared" si="85"/>
        <v>Error?</v>
      </c>
    </row>
    <row r="5514" spans="1:4" x14ac:dyDescent="0.2">
      <c r="A5514" s="5">
        <v>5453</v>
      </c>
      <c r="B5514" s="138">
        <f>'Revenues 9-14'!E14</f>
        <v>83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83</v>
      </c>
      <c r="C5518" s="2" t="s">
        <v>573</v>
      </c>
      <c r="D5518" s="2" t="str">
        <f t="shared" si="85"/>
        <v>Error?</v>
      </c>
    </row>
    <row r="5519" spans="1:4" x14ac:dyDescent="0.2">
      <c r="A5519" s="5">
        <v>5458</v>
      </c>
      <c r="B5519" s="138">
        <f>'Revenues 9-14'!E65</f>
        <v>161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532656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532656</v>
      </c>
      <c r="C5552" s="2" t="s">
        <v>573</v>
      </c>
      <c r="D5552" s="2" t="str">
        <f t="shared" si="85"/>
        <v>Error?</v>
      </c>
    </row>
    <row r="5553" spans="1:4" x14ac:dyDescent="0.2">
      <c r="A5553" s="5">
        <v>5492</v>
      </c>
      <c r="B5553" s="138">
        <f>'Revenues 9-14'!F5</f>
        <v>72055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72055</v>
      </c>
      <c r="C5557" s="2" t="s">
        <v>573</v>
      </c>
      <c r="D5557" s="2" t="str">
        <f t="shared" si="85"/>
        <v>Error?</v>
      </c>
    </row>
    <row r="5558" spans="1:4" x14ac:dyDescent="0.2">
      <c r="A5558" s="5">
        <v>5497</v>
      </c>
      <c r="B5558" s="138">
        <f>'Revenues 9-14'!F14</f>
        <v>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25521</v>
      </c>
      <c r="D5586" s="2" t="str">
        <f t="shared" si="86"/>
        <v>Error?</v>
      </c>
    </row>
    <row r="5587" spans="1:4" x14ac:dyDescent="0.2">
      <c r="A5587" s="5">
        <v>5526</v>
      </c>
      <c r="B5587" s="138">
        <f>'Revenues 9-14'!F108</f>
        <v>25521</v>
      </c>
      <c r="C5587" s="2" t="s">
        <v>573</v>
      </c>
      <c r="D5587" s="2" t="str">
        <f t="shared" si="86"/>
        <v>Error?</v>
      </c>
    </row>
    <row r="5588" spans="1:4" x14ac:dyDescent="0.2">
      <c r="A5588" s="5">
        <v>5527</v>
      </c>
      <c r="B5588" s="138">
        <f>'Revenues 9-14'!F109</f>
        <v>98000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13578</v>
      </c>
      <c r="D5615" s="2" t="str">
        <f t="shared" si="86"/>
        <v>Error?</v>
      </c>
    </row>
    <row r="5616" spans="1:4" x14ac:dyDescent="0.2">
      <c r="A5616" s="10">
        <v>5555</v>
      </c>
      <c r="D5616" s="2" t="str">
        <f t="shared" si="86"/>
        <v>OK</v>
      </c>
    </row>
    <row r="5617" spans="1:5" x14ac:dyDescent="0.2">
      <c r="A5617" s="5">
        <v>5556</v>
      </c>
      <c r="B5617" s="138">
        <f>'Revenues 9-14'!F153</f>
        <v>157813</v>
      </c>
      <c r="D5617" s="2" t="str">
        <f t="shared" si="86"/>
        <v>Error?</v>
      </c>
    </row>
    <row r="5618" spans="1:5" x14ac:dyDescent="0.2">
      <c r="A5618" s="5">
        <v>5557</v>
      </c>
      <c r="B5618" s="138">
        <f>'Revenues 9-14'!F155</f>
        <v>171391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171391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171391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269391</v>
      </c>
      <c r="C5720" s="2" t="s">
        <v>573</v>
      </c>
      <c r="D5720" s="2" t="str">
        <f t="shared" si="88"/>
        <v>Error?</v>
      </c>
    </row>
    <row r="5721" spans="1:4" x14ac:dyDescent="0.2">
      <c r="A5721" s="5">
        <v>5660</v>
      </c>
      <c r="B5721" s="138">
        <f>'Revenues 9-14'!G5</f>
        <v>172512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171854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344366</v>
      </c>
      <c r="C5725" s="2" t="s">
        <v>573</v>
      </c>
      <c r="D5725" s="2" t="str">
        <f t="shared" si="88"/>
        <v>Error?</v>
      </c>
    </row>
    <row r="5726" spans="1:4" x14ac:dyDescent="0.2">
      <c r="A5726" s="5">
        <v>5665</v>
      </c>
      <c r="B5726" s="138">
        <f>'Revenues 9-14'!G14</f>
        <v>54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46167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46221</v>
      </c>
      <c r="C5730" s="2" t="s">
        <v>573</v>
      </c>
      <c r="D5730" s="2" t="str">
        <f t="shared" si="88"/>
        <v>Error?</v>
      </c>
    </row>
    <row r="5731" spans="1:4" x14ac:dyDescent="0.2">
      <c r="A5731" s="5">
        <v>5670</v>
      </c>
      <c r="B5731" s="138">
        <f>'Revenues 9-14'!G65</f>
        <v>888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4907</v>
      </c>
      <c r="D5736" s="2" t="str">
        <f t="shared" si="88"/>
        <v>Error?</v>
      </c>
    </row>
    <row r="5737" spans="1:4" x14ac:dyDescent="0.2">
      <c r="A5737" s="5">
        <v>5676</v>
      </c>
      <c r="B5737" s="138">
        <f>'Revenues 9-14'!G108</f>
        <v>4907</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396382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30013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30013</v>
      </c>
      <c r="C5918" s="2" t="s">
        <v>573</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573</v>
      </c>
      <c r="D5923" s="2" t="str">
        <f t="shared" si="91"/>
        <v>Error?</v>
      </c>
    </row>
    <row r="5924" spans="1:4" x14ac:dyDescent="0.2">
      <c r="A5924" s="5">
        <v>5863</v>
      </c>
      <c r="B5924" s="138">
        <f>'Revenues 9-14'!I65</f>
        <v>21320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21320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51338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2100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2100</v>
      </c>
      <c r="C6023" s="2" t="s">
        <v>573</v>
      </c>
      <c r="D6023" s="2" t="str">
        <f t="shared" si="93"/>
        <v>Error?</v>
      </c>
    </row>
    <row r="6024" spans="1:5" x14ac:dyDescent="0.2">
      <c r="A6024" s="5">
        <v>5963</v>
      </c>
      <c r="B6024" s="138">
        <f>'Revenues 9-14'!G109</f>
        <v>396382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51338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2100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32509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697.47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270000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43620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51600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218400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43620</v>
      </c>
      <c r="D6215" s="2" t="str">
        <f t="shared" si="96"/>
        <v>Error?</v>
      </c>
      <c r="E6215" s="2" t="s">
        <v>190</v>
      </c>
    </row>
    <row r="6216" spans="1:5" x14ac:dyDescent="0.2">
      <c r="A6216">
        <v>6155</v>
      </c>
      <c r="B6216" s="138">
        <f>'Assets-Liab 5-6'!J41</f>
        <v>43620</v>
      </c>
      <c r="D6216" s="2" t="str">
        <f t="shared" si="96"/>
        <v>Error?</v>
      </c>
      <c r="E6216" s="2" t="s">
        <v>190</v>
      </c>
    </row>
    <row r="6217" spans="1:5" x14ac:dyDescent="0.2">
      <c r="A6217">
        <v>6156</v>
      </c>
      <c r="B6217" s="138">
        <f>'Assets-Liab 5-6'!J4</f>
        <v>43620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666678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666678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666678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644963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644963</v>
      </c>
      <c r="D6229" s="2" t="str">
        <f t="shared" si="96"/>
        <v>Error?</v>
      </c>
      <c r="E6229" s="2" t="s">
        <v>190</v>
      </c>
    </row>
    <row r="6230" spans="1:5" x14ac:dyDescent="0.2">
      <c r="A6230">
        <v>6169</v>
      </c>
      <c r="B6230" s="138">
        <f>'Acct Summary 7-8'!J20</f>
        <v>21715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20866</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3134</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21715</v>
      </c>
      <c r="D6263" s="2" t="str">
        <f t="shared" si="96"/>
        <v>Error?</v>
      </c>
      <c r="E6263" s="2" t="s">
        <v>190</v>
      </c>
    </row>
    <row r="6264" spans="1:5" x14ac:dyDescent="0.2">
      <c r="A6264">
        <v>6203</v>
      </c>
      <c r="B6264" s="138">
        <f>'Acct Summary 7-8'!J79</f>
        <v>21905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43620</v>
      </c>
      <c r="D6266" s="2" t="str">
        <f t="shared" si="96"/>
        <v>Error?</v>
      </c>
      <c r="E6266" s="2" t="s">
        <v>190</v>
      </c>
    </row>
    <row r="6267" spans="1:5" x14ac:dyDescent="0.2">
      <c r="A6267">
        <v>6206</v>
      </c>
      <c r="B6267" s="138">
        <f>'Acct Summary 7-8'!C82</f>
        <v>272626</v>
      </c>
      <c r="D6267" s="2" t="str">
        <f t="shared" si="96"/>
        <v>Error?</v>
      </c>
      <c r="E6267" s="2" t="s">
        <v>190</v>
      </c>
    </row>
    <row r="6268" spans="1:5" x14ac:dyDescent="0.2">
      <c r="A6268">
        <v>6207</v>
      </c>
      <c r="B6268" s="138">
        <f>'Acct Summary 7-8'!D82</f>
        <v>216512</v>
      </c>
      <c r="D6268" s="2" t="str">
        <f t="shared" si="96"/>
        <v>Error?</v>
      </c>
      <c r="E6268" s="2" t="s">
        <v>190</v>
      </c>
    </row>
    <row r="6269" spans="1:5" x14ac:dyDescent="0.2">
      <c r="A6269">
        <v>6208</v>
      </c>
      <c r="B6269" s="138">
        <f>'Acct Summary 7-8'!E82</f>
        <v>14690</v>
      </c>
      <c r="D6269" s="2" t="str">
        <f t="shared" si="96"/>
        <v>Error?</v>
      </c>
      <c r="E6269" s="2" t="s">
        <v>190</v>
      </c>
    </row>
    <row r="6270" spans="1:5" x14ac:dyDescent="0.2">
      <c r="A6270">
        <v>6209</v>
      </c>
      <c r="B6270" s="138">
        <f>'Acct Summary 7-8'!F82</f>
        <v>40091</v>
      </c>
      <c r="D6270" s="2" t="str">
        <f t="shared" si="96"/>
        <v>Error?</v>
      </c>
      <c r="E6270" s="2" t="s">
        <v>190</v>
      </c>
    </row>
    <row r="6271" spans="1:5" x14ac:dyDescent="0.2">
      <c r="A6271">
        <v>6210</v>
      </c>
      <c r="B6271" s="138">
        <f>'Acct Summary 7-8'!G82</f>
        <v>61345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49760</v>
      </c>
      <c r="D6273" s="2" t="str">
        <f t="shared" si="97"/>
        <v>Error?</v>
      </c>
      <c r="E6273" s="2" t="s">
        <v>190</v>
      </c>
    </row>
    <row r="6274" spans="1:5" x14ac:dyDescent="0.2">
      <c r="A6274">
        <v>6213</v>
      </c>
      <c r="B6274" s="138">
        <f>'Acct Summary 7-8'!J82</f>
        <v>21715</v>
      </c>
      <c r="D6274" s="2" t="str">
        <f t="shared" si="97"/>
        <v>Error?</v>
      </c>
      <c r="E6274" s="2" t="s">
        <v>190</v>
      </c>
    </row>
    <row r="6275" spans="1:5" x14ac:dyDescent="0.2">
      <c r="A6275">
        <v>6214</v>
      </c>
      <c r="B6275" s="138">
        <f>'Acct Summary 7-8'!K82</f>
        <v>2100</v>
      </c>
      <c r="D6275" s="2" t="str">
        <f t="shared" si="97"/>
        <v>Error?</v>
      </c>
      <c r="E6275" s="2" t="s">
        <v>190</v>
      </c>
    </row>
    <row r="6276" spans="1:5" x14ac:dyDescent="0.2">
      <c r="A6276">
        <v>6215</v>
      </c>
      <c r="B6276" s="138">
        <f>'Acct Summary 7-8'!C83</f>
        <v>0.32715996788713936</v>
      </c>
      <c r="D6276" s="2" t="str">
        <f t="shared" si="97"/>
        <v>Error?</v>
      </c>
      <c r="E6276" s="2" t="s">
        <v>190</v>
      </c>
    </row>
    <row r="6277" spans="1:5" x14ac:dyDescent="0.2">
      <c r="A6277">
        <v>6216</v>
      </c>
      <c r="B6277" s="138">
        <f>'Acct Summary 7-8'!D83</f>
        <v>0.57868009450805569</v>
      </c>
      <c r="D6277" s="2" t="str">
        <f t="shared" si="97"/>
        <v>Error?</v>
      </c>
      <c r="E6277" s="2" t="s">
        <v>190</v>
      </c>
    </row>
    <row r="6278" spans="1:5" x14ac:dyDescent="0.2">
      <c r="A6278">
        <v>6217</v>
      </c>
      <c r="B6278" s="138">
        <f>'Acct Summary 7-8'!E83</f>
        <v>-0.28520395286077621</v>
      </c>
      <c r="D6278" s="2" t="str">
        <f t="shared" si="97"/>
        <v>Error?</v>
      </c>
      <c r="E6278" s="2" t="s">
        <v>190</v>
      </c>
    </row>
    <row r="6279" spans="1:5" x14ac:dyDescent="0.2">
      <c r="A6279">
        <v>6218</v>
      </c>
      <c r="B6279" s="138">
        <f>'Acct Summary 7-8'!F83</f>
        <v>0.47350829120801247</v>
      </c>
      <c r="D6279" s="2" t="str">
        <f t="shared" si="97"/>
        <v>Error?</v>
      </c>
      <c r="E6279" s="2" t="s">
        <v>190</v>
      </c>
    </row>
    <row r="6280" spans="1:5" x14ac:dyDescent="0.2">
      <c r="A6280">
        <v>6219</v>
      </c>
      <c r="B6280" s="138">
        <f>'Acct Summary 7-8'!G83</f>
        <v>0.5314200076232718</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3.444981376607912E-2</v>
      </c>
      <c r="D6282" s="2" t="str">
        <f t="shared" si="97"/>
        <v>Error?</v>
      </c>
      <c r="E6282" s="2" t="s">
        <v>190</v>
      </c>
    </row>
    <row r="6283" spans="1:5" x14ac:dyDescent="0.2">
      <c r="A6283">
        <v>6222</v>
      </c>
      <c r="B6283" s="138">
        <f>'Acct Summary 7-8'!J83</f>
        <v>0.4978220999541495</v>
      </c>
      <c r="D6283" s="2" t="str">
        <f t="shared" si="97"/>
        <v>Error?</v>
      </c>
      <c r="E6283" s="2" t="s">
        <v>190</v>
      </c>
    </row>
    <row r="6284" spans="1:5" x14ac:dyDescent="0.2">
      <c r="A6284">
        <v>6223</v>
      </c>
      <c r="B6284" s="138">
        <f>'Acct Summary 7-8'!K83</f>
        <v>-9.6159129622506723E-3</v>
      </c>
      <c r="D6284" s="2" t="str">
        <f t="shared" si="97"/>
        <v>Error?</v>
      </c>
      <c r="E6284" s="2" t="s">
        <v>190</v>
      </c>
    </row>
    <row r="6285" spans="1:5" x14ac:dyDescent="0.2">
      <c r="A6285">
        <v>6224</v>
      </c>
      <c r="B6285" s="138">
        <f>'Acct Summary 7-8'!E37</f>
        <v>20866</v>
      </c>
      <c r="D6285" s="2" t="str">
        <f t="shared" si="97"/>
        <v>Error?</v>
      </c>
      <c r="E6285" s="2" t="s">
        <v>190</v>
      </c>
    </row>
    <row r="6286" spans="1:5" x14ac:dyDescent="0.2">
      <c r="A6286">
        <v>6225</v>
      </c>
      <c r="B6286" s="138">
        <f>'Acct Summary 7-8'!E38</f>
        <v>3134</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665303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665303</v>
      </c>
      <c r="D6301" s="2" t="str">
        <f t="shared" si="97"/>
        <v>Error?</v>
      </c>
      <c r="E6301" s="2" t="s">
        <v>190</v>
      </c>
    </row>
    <row r="6302" spans="1:5" x14ac:dyDescent="0.2">
      <c r="A6302">
        <v>6241</v>
      </c>
      <c r="B6302" s="138">
        <f>'Revenues 9-14'!J14</f>
        <v>103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1272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666678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200315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351758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30648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109489</v>
      </c>
      <c r="D6880" s="2" t="str">
        <f t="shared" si="106"/>
        <v>Error?</v>
      </c>
    </row>
    <row r="6881" spans="1:4" x14ac:dyDescent="0.2">
      <c r="A6881">
        <v>6820</v>
      </c>
      <c r="B6881" s="138">
        <f>'Expenditures 15-22'!K22</f>
        <v>109489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644963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666678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15431</v>
      </c>
      <c r="D7073" s="2" t="str">
        <f t="shared" si="109"/>
        <v>Error?</v>
      </c>
    </row>
    <row r="7074" spans="1:4" x14ac:dyDescent="0.2">
      <c r="A7074">
        <v>7013</v>
      </c>
      <c r="B7074" s="138">
        <f>'Expenditures 15-22'!K216</f>
        <v>15431</v>
      </c>
      <c r="D7074" s="2" t="str">
        <f t="shared" si="109"/>
        <v>Error?</v>
      </c>
    </row>
    <row r="7075" spans="1:4" x14ac:dyDescent="0.2">
      <c r="A7075">
        <v>7014</v>
      </c>
      <c r="B7075" s="138">
        <f>'Expenditures 15-22'!D218</f>
        <v>269</v>
      </c>
      <c r="D7075" s="2" t="str">
        <f t="shared" si="109"/>
        <v>Error?</v>
      </c>
    </row>
    <row r="7076" spans="1:4" x14ac:dyDescent="0.2">
      <c r="A7076">
        <v>7015</v>
      </c>
      <c r="B7076" s="138">
        <f>'Expenditures 15-22'!K218</f>
        <v>269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46928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46928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828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828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3367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3367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124401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124401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373178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373178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21193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21193</v>
      </c>
      <c r="D7198" s="2" t="str">
        <f t="shared" si="111"/>
        <v>Error?</v>
      </c>
    </row>
    <row r="7199" spans="1:4" x14ac:dyDescent="0.2">
      <c r="A7199">
        <v>7138</v>
      </c>
      <c r="B7199" s="138">
        <f>'Expenditures 15-22'!C330</f>
        <v>373178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271785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644963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373178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271785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644963</v>
      </c>
      <c r="D7224" s="2" t="str">
        <f t="shared" si="111"/>
        <v>Error?</v>
      </c>
    </row>
    <row r="7225" spans="1:4" x14ac:dyDescent="0.2">
      <c r="A7225">
        <v>7164</v>
      </c>
      <c r="B7225" s="138">
        <f>'Expenditures 15-22'!K343</f>
        <v>21715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130293</v>
      </c>
      <c r="D7246" s="2" t="str">
        <f t="shared" si="112"/>
        <v>Error?</v>
      </c>
    </row>
    <row r="7247" spans="1:4" x14ac:dyDescent="0.2">
      <c r="A7247">
        <f t="shared" si="113"/>
        <v>7186</v>
      </c>
      <c r="B7247" s="138">
        <f>'Expenditures 15-22'!E7</f>
        <v>1739</v>
      </c>
      <c r="D7247" s="2" t="str">
        <f t="shared" si="112"/>
        <v>Error?</v>
      </c>
    </row>
    <row r="7248" spans="1:4" x14ac:dyDescent="0.2">
      <c r="A7248">
        <f t="shared" si="113"/>
        <v>7187</v>
      </c>
      <c r="B7248" s="138">
        <f>'Expenditures 15-22'!F7</f>
        <v>17313</v>
      </c>
      <c r="D7248" s="2" t="str">
        <f t="shared" si="112"/>
        <v>Error?</v>
      </c>
    </row>
    <row r="7249" spans="1:4" x14ac:dyDescent="0.2">
      <c r="A7249">
        <f t="shared" si="113"/>
        <v>7188</v>
      </c>
      <c r="B7249" s="138">
        <f>'Expenditures 15-22'!G7</f>
        <v>2098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21333</v>
      </c>
      <c r="D7251" s="2" t="str">
        <f t="shared" si="112"/>
        <v>Error?</v>
      </c>
    </row>
    <row r="7252" spans="1:4" x14ac:dyDescent="0.2">
      <c r="A7252">
        <f t="shared" si="113"/>
        <v>7191</v>
      </c>
      <c r="B7252" s="138">
        <f>'Expenditures 15-22'!D9</f>
        <v>9315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380956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380956</v>
      </c>
      <c r="D7618" s="2" t="str">
        <f t="shared" si="124"/>
        <v>Error?</v>
      </c>
      <c r="E7618" s="2" t="s">
        <v>19</v>
      </c>
    </row>
    <row r="7619" spans="1:5" x14ac:dyDescent="0.2">
      <c r="A7619">
        <f t="shared" si="123"/>
        <v>7558</v>
      </c>
      <c r="B7619" s="138">
        <f>'Cap Outlay Deprec 26'!H14</f>
        <v>380956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380956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531175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21219</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59640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59640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15428</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15428</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12030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customSheetViews>
    <customSheetView guid="{58008B32-E4E8-4E32-8B1E-F6CE50059F4A}" state="hidden">
      <pane ySplit="1" topLeftCell="A2" activePane="bottomLeft" state="frozen"/>
      <selection pane="bottomLeft" activeCell="B4" sqref="B4"/>
      <pageMargins left="0.75" right="0.75" top="1" bottom="1" header="0.5" footer="0.5"/>
      <pageSetup scale="75" orientation="portrait" r:id="rId1"/>
      <headerFooter alignWithMargins="0">
        <oddHeader>&amp;A</oddHeader>
        <oddFooter>Page &amp;P</oddFooter>
      </headerFooter>
    </customSheetView>
    <customSheetView guid="{D43C6297-AC1B-41E2-A8C4-03E94593B8FB}" state="hidden">
      <pane ySplit="1" topLeftCell="A2" activePane="bottomLeft" state="frozen"/>
      <selection pane="bottomLeft" activeCell="B4" sqref="B4"/>
      <pageMargins left="0.75" right="0.75" top="1" bottom="1" header="0.5" footer="0.5"/>
      <pageSetup scale="75" orientation="portrait" r:id="rId2"/>
      <headerFooter alignWithMargins="0">
        <oddHeader>&amp;A</oddHeader>
        <oddFooter>Page &amp;P</oddFooter>
      </headerFooter>
    </customSheetView>
    <customSheetView guid="{1CEE81F4-A6A8-4CF6-96C8-1AACCC28872D}" state="hidden">
      <pane ySplit="1" topLeftCell="A2" activePane="bottomLeft" state="frozen"/>
      <selection pane="bottomLeft" activeCell="B4" sqref="B4"/>
      <pageMargins left="0.75" right="0.75" top="1" bottom="1" header="0.5" footer="0.5"/>
      <pageSetup scale="75" orientation="portrait" r:id="rId3"/>
      <headerFooter alignWithMargins="0">
        <oddHeader>&amp;A</oddHeader>
        <oddFooter>Page &amp;P</oddFooter>
      </headerFooter>
    </customSheetView>
  </customSheetViews>
  <phoneticPr fontId="14" type="noConversion"/>
  <pageMargins left="0.75" right="0.75" top="1" bottom="1" header="0.5" footer="0.5"/>
  <pageSetup scale="75" orientation="portrait" r:id="rId4"/>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O42" sqref="O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0" t="s">
        <v>1191</v>
      </c>
      <c r="B2" s="2400"/>
      <c r="C2" s="2400"/>
      <c r="D2" s="2400"/>
      <c r="E2" s="2400"/>
      <c r="F2" s="2400"/>
      <c r="G2" s="2400"/>
      <c r="H2" s="2400"/>
      <c r="I2" s="2400"/>
      <c r="J2" s="2400"/>
      <c r="K2" s="2400"/>
      <c r="L2" s="2400"/>
    </row>
    <row r="3" spans="1:29" ht="13.5" customHeight="1" x14ac:dyDescent="0.2">
      <c r="A3" s="2386" t="s">
        <v>1190</v>
      </c>
      <c r="B3" s="2386"/>
      <c r="C3" s="2386"/>
      <c r="D3" s="2386"/>
      <c r="E3" s="2386"/>
      <c r="F3" s="2386"/>
      <c r="G3" s="2386"/>
      <c r="H3" s="2386"/>
      <c r="I3" s="2386"/>
      <c r="J3" s="2386"/>
      <c r="K3" s="2386"/>
      <c r="L3" s="2386"/>
    </row>
    <row r="4" spans="1:29" ht="13.5" customHeight="1" x14ac:dyDescent="0.2">
      <c r="A4" s="2400" t="s">
        <v>1986</v>
      </c>
      <c r="B4" s="2417"/>
      <c r="C4" s="2417"/>
      <c r="D4" s="2417"/>
      <c r="E4" s="2417"/>
      <c r="F4" s="2417"/>
      <c r="G4" s="2417"/>
      <c r="H4" s="2417"/>
      <c r="I4" s="2417"/>
      <c r="J4" s="2417"/>
      <c r="K4" s="2417"/>
      <c r="L4" s="241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0" t="str">
        <f>COVER!A17</f>
        <v>East Alton SD 13</v>
      </c>
      <c r="B7" s="2381"/>
      <c r="C7" s="2381"/>
      <c r="D7" s="2418"/>
      <c r="E7" s="2419">
        <f>COVER!A13</f>
        <v>41057013002</v>
      </c>
      <c r="F7" s="2420"/>
      <c r="G7" s="2387" t="str">
        <f>COVER!T23</f>
        <v>066-005060</v>
      </c>
      <c r="H7" s="2388"/>
      <c r="I7" s="2388"/>
      <c r="J7" s="2388"/>
      <c r="K7" s="2388"/>
      <c r="L7" s="238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0"/>
      <c r="B9" s="2391"/>
      <c r="C9" s="2391"/>
      <c r="D9" s="2391"/>
      <c r="E9" s="2391"/>
      <c r="F9" s="2392"/>
      <c r="G9" s="2393" t="str">
        <f>COVER!T13</f>
        <v>DENNIS ROSE &amp; ASSOCIATES, P.C.</v>
      </c>
      <c r="H9" s="2394"/>
      <c r="I9" s="2394"/>
      <c r="J9" s="2394"/>
      <c r="K9" s="2394"/>
      <c r="L9" s="2395"/>
    </row>
    <row r="10" spans="1:29" ht="13.5" customHeight="1" x14ac:dyDescent="0.2">
      <c r="A10" s="2377">
        <f>COVER!A38</f>
        <v>0</v>
      </c>
      <c r="B10" s="2378"/>
      <c r="C10" s="2378"/>
      <c r="D10" s="2378"/>
      <c r="E10" s="2378"/>
      <c r="F10" s="2379"/>
      <c r="G10" s="2393" t="str">
        <f>COVER!T17</f>
        <v>1904 STATE STREET</v>
      </c>
      <c r="H10" s="2406"/>
      <c r="I10" s="2406"/>
      <c r="J10" s="2406"/>
      <c r="K10" s="2406"/>
      <c r="L10" s="2407"/>
    </row>
    <row r="11" spans="1:29" ht="13.5" customHeight="1" x14ac:dyDescent="0.2">
      <c r="A11" s="1184" t="s">
        <v>1519</v>
      </c>
      <c r="B11" s="1185"/>
      <c r="C11" s="1186"/>
      <c r="D11" s="1191"/>
      <c r="E11" s="1186"/>
      <c r="F11" s="1190"/>
      <c r="G11" s="2393" t="str">
        <f>COVER!T19</f>
        <v>ALTON</v>
      </c>
      <c r="H11" s="2406"/>
      <c r="I11" s="2406"/>
      <c r="J11" s="2406"/>
      <c r="K11" s="2406"/>
      <c r="L11" s="2407"/>
    </row>
    <row r="12" spans="1:29" ht="13.5" customHeight="1" x14ac:dyDescent="0.2">
      <c r="A12" s="2411" t="s">
        <v>1518</v>
      </c>
      <c r="B12" s="2412"/>
      <c r="C12" s="2412"/>
      <c r="D12" s="2412"/>
      <c r="E12" s="2412"/>
      <c r="F12" s="2413"/>
      <c r="G12" s="2408"/>
      <c r="H12" s="2409"/>
      <c r="I12" s="2409"/>
      <c r="J12" s="2409"/>
      <c r="K12" s="2409"/>
      <c r="L12" s="2410"/>
    </row>
    <row r="13" spans="1:29" ht="13.5" customHeight="1" x14ac:dyDescent="0.2">
      <c r="A13" s="2393"/>
      <c r="B13" s="2406"/>
      <c r="C13" s="2406"/>
      <c r="D13" s="2406"/>
      <c r="E13" s="2406"/>
      <c r="F13" s="2407"/>
      <c r="G13" s="2401" t="s">
        <v>1520</v>
      </c>
      <c r="H13" s="2402"/>
      <c r="I13" s="2414" t="str">
        <f>COVER!T25</f>
        <v>DROSECPA@DRA-CPA.COM</v>
      </c>
      <c r="J13" s="2415"/>
      <c r="K13" s="2415"/>
      <c r="L13" s="2416"/>
    </row>
    <row r="14" spans="1:29" ht="13.5" customHeight="1" x14ac:dyDescent="0.2">
      <c r="A14" s="2393" t="str">
        <f>COVER!A19</f>
        <v>210 EAST ST. LOUIS AVENUE</v>
      </c>
      <c r="B14" s="2406"/>
      <c r="C14" s="2406"/>
      <c r="D14" s="2406"/>
      <c r="E14" s="2406"/>
      <c r="F14" s="2407"/>
      <c r="G14" s="1195" t="s">
        <v>1185</v>
      </c>
      <c r="H14" s="1193"/>
      <c r="I14" s="1193"/>
      <c r="J14" s="1193"/>
      <c r="K14" s="1193"/>
      <c r="L14" s="1194"/>
    </row>
    <row r="15" spans="1:29" ht="13.5" customHeight="1" x14ac:dyDescent="0.2">
      <c r="A15" s="2393" t="str">
        <f>COVER!A21</f>
        <v>EAST ALTON</v>
      </c>
      <c r="B15" s="2406"/>
      <c r="C15" s="2406"/>
      <c r="D15" s="2406"/>
      <c r="E15" s="2406"/>
      <c r="F15" s="2407"/>
      <c r="G15" s="2403" t="str">
        <f>COVER!T15</f>
        <v>DENNIS ROSE</v>
      </c>
      <c r="H15" s="2404"/>
      <c r="I15" s="2404"/>
      <c r="J15" s="2404"/>
      <c r="K15" s="2404"/>
      <c r="L15" s="2405"/>
    </row>
    <row r="16" spans="1:29" ht="12.2" customHeight="1" x14ac:dyDescent="0.2">
      <c r="A16" s="2383">
        <f>COVER!A25</f>
        <v>62024</v>
      </c>
      <c r="B16" s="2384"/>
      <c r="C16" s="2384"/>
      <c r="D16" s="2384"/>
      <c r="E16" s="2384"/>
      <c r="F16" s="2385"/>
      <c r="G16" s="2396"/>
      <c r="H16" s="2397"/>
      <c r="I16" s="2397"/>
      <c r="J16" s="2397"/>
      <c r="K16" s="2397"/>
      <c r="L16" s="2398"/>
    </row>
    <row r="17" spans="1:13" ht="12.2" customHeight="1" x14ac:dyDescent="0.2">
      <c r="A17" s="2399"/>
      <c r="B17" s="2384"/>
      <c r="C17" s="2384"/>
      <c r="D17" s="2384"/>
      <c r="E17" s="2384"/>
      <c r="F17" s="2385"/>
      <c r="G17" s="1195" t="s">
        <v>1184</v>
      </c>
      <c r="H17" s="1193"/>
      <c r="I17" s="1193"/>
      <c r="J17" s="1193"/>
      <c r="K17" s="1197" t="s">
        <v>1183</v>
      </c>
      <c r="L17" s="1190"/>
      <c r="M17" s="1183"/>
    </row>
    <row r="18" spans="1:13" ht="12.2" customHeight="1" x14ac:dyDescent="0.2">
      <c r="A18" s="2377"/>
      <c r="B18" s="2378"/>
      <c r="C18" s="2378"/>
      <c r="D18" s="2378"/>
      <c r="E18" s="2378"/>
      <c r="F18" s="2379"/>
      <c r="G18" s="2380" t="str">
        <f>COVER!T21</f>
        <v>618-465-4999</v>
      </c>
      <c r="H18" s="2381"/>
      <c r="I18" s="2381"/>
      <c r="J18" s="2381"/>
      <c r="K18" s="2380" t="str">
        <f>COVER!X21</f>
        <v>618-465-5050</v>
      </c>
      <c r="L18" s="238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customSheetViews>
    <customSheetView guid="{58008B32-E4E8-4E32-8B1E-F6CE50059F4A}" scale="110" showGridLines="0" zeroValues="0">
      <selection activeCell="O42" sqref="O42"/>
      <pageMargins left="0.75" right="0.75" top="1" bottom="0.5" header="0.5" footer="0.5"/>
      <printOptions horizontalCentered="1"/>
      <pageSetup scale="89" firstPageNumber="35" fitToHeight="0"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PageBreaks="1" showGridLines="0" zeroValues="0" printArea="1">
      <selection activeCell="O42" sqref="O42"/>
      <pageMargins left="0.75" right="0.75" top="1" bottom="0.5" header="0.5" footer="0.5"/>
      <printOptions horizontalCentered="1"/>
      <pageSetup scale="89" firstPageNumber="52" fitToHeight="0"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zeroValues="0">
      <selection activeCell="O42" sqref="O42"/>
      <pageMargins left="0.75" right="0.75" top="1" bottom="0.5" header="0.5" footer="0.5"/>
      <printOptions horizontalCentered="1"/>
      <pageSetup scale="89" firstPageNumber="52" fitToHeight="0" orientation="portrait" r:id="rId3"/>
      <headerFooter>
        <oddHeader xml:space="preserve">&amp;C&amp;"Times New Roman,Regular"
</oddHead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52" fitToHeight="0" orientation="portrait" r:id="rId4"/>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K42" sqref="K4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1" t="str">
        <f>'Single Audit Cover'!A7</f>
        <v>East Alton SD 13</v>
      </c>
      <c r="B1" s="2417"/>
      <c r="C1" s="2417"/>
      <c r="D1" s="2417"/>
    </row>
    <row r="2" spans="1:11" s="1212" customFormat="1" ht="12.75" x14ac:dyDescent="0.2">
      <c r="A2" s="2422">
        <f>'Single Audit Cover'!E7</f>
        <v>41057013002</v>
      </c>
      <c r="B2" s="2423"/>
      <c r="C2" s="2423"/>
      <c r="D2" s="2423"/>
    </row>
    <row r="3" spans="1:11" s="1212" customFormat="1" ht="12.75" x14ac:dyDescent="0.2">
      <c r="A3" s="2421" t="s">
        <v>1513</v>
      </c>
      <c r="B3" s="2417"/>
      <c r="C3" s="2417"/>
      <c r="D3" s="241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customSheetViews>
    <customSheetView guid="{58008B32-E4E8-4E32-8B1E-F6CE50059F4A}" scale="125" showGridLines="0">
      <selection activeCell="V29" sqref="V29"/>
      <pageMargins left="0.75" right="0.75" top="1" bottom="0.5" header="0.5" footer="0.5"/>
      <printOptions horizontalCentered="1"/>
      <pageSetup scale="75" firstPageNumber="36" fitToHeight="0" orientation="landscape" r:id="rId1"/>
      <headerFooter>
        <oddHeader xml:space="preserve">&amp;C&amp;"Times New Roman,Regular"
</oddHeader>
        <oddFooter>&amp;C&amp;"Times New Roman,Regular"See Independent Auditor's Reports
&amp;P</oddFooter>
      </headerFooter>
    </customSheetView>
    <customSheetView guid="{D43C6297-AC1B-41E2-A8C4-03E94593B8FB}" scale="125" showGridLines="0" printArea="1">
      <selection activeCell="K42" sqref="K42"/>
      <pageMargins left="0.75" right="0.75" top="1" bottom="0.5" header="0.5" footer="0.5"/>
      <printOptions horizontalCentered="1"/>
      <pageSetup scale="75" firstPageNumber="36" fitToHeight="0" orientation="landscape" r:id="rId2"/>
      <headerFooter>
        <oddHeader xml:space="preserve">&amp;C&amp;"Times New Roman,Regular"
</oddHeader>
        <oddFooter>&amp;C&amp;"Times New Roman,Regular"See Independent Auditor's Reports
&amp;P</oddFooter>
      </headerFooter>
    </customSheetView>
    <customSheetView guid="{1CEE81F4-A6A8-4CF6-96C8-1AACCC28872D}" scale="125" showGridLines="0">
      <selection activeCell="K42" sqref="K42"/>
      <pageMargins left="0.75" right="0.75" top="1" bottom="0.5" header="0.5" footer="0.5"/>
      <printOptions horizontalCentered="1"/>
      <pageSetup scale="75" firstPageNumber="36" fitToHeight="0" orientation="landscape" r:id="rId3"/>
      <headerFooter>
        <oddHeader xml:space="preserve">&amp;C&amp;"Times New Roman,Regular"
</oddHeader>
        <oddFooter>&amp;C&amp;"Times New Roman,Regular"See Independent Auditor's Reports
&amp;P</oddFooter>
      </headerFooter>
    </customSheetView>
  </customSheetViews>
  <mergeCells count="3">
    <mergeCell ref="A1:D1"/>
    <mergeCell ref="A2:D2"/>
    <mergeCell ref="A3:D3"/>
  </mergeCells>
  <hyperlinks>
    <hyperlink ref="D29" r:id="rId4" xr:uid="{00000000-0004-0000-1900-000000000000}"/>
    <hyperlink ref="D60" r:id="rId5" display="        Verify Non-Cash Commodities amount on ISBE web site: https://www.isbe.net/Pages/School-Nutrition-Programs-Food-Distribution.aspx" xr:uid="{00000000-0004-0000-1900-000001000000}"/>
    <hyperlink ref="D64" r:id="rId6" xr:uid="{00000000-0004-0000-1900-000002000000}"/>
    <hyperlink ref="D68" r:id="rId7" xr:uid="{00000000-0004-0000-1900-000003000000}"/>
  </hyperlinks>
  <printOptions horizontalCentered="1"/>
  <pageMargins left="0.75" right="0.75" top="1" bottom="0.5" header="0.5" footer="0.5"/>
  <pageSetup scale="75" firstPageNumber="36" fitToHeight="0" orientation="landscape" r:id="rId8"/>
  <headerFooter>
    <oddHeader xml:space="preserve">&amp;C&amp;"Times New Roman,Regular"
</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5" t="str">
        <f>'Single Audit Cover'!A7</f>
        <v>East Alton SD 13</v>
      </c>
      <c r="B1" s="2425"/>
      <c r="C1" s="2425"/>
      <c r="D1" s="2425"/>
      <c r="E1" s="2425"/>
    </row>
    <row r="2" spans="1:5" x14ac:dyDescent="0.2">
      <c r="A2" s="2426">
        <f>'Single Audit Cover'!E7</f>
        <v>41057013002</v>
      </c>
      <c r="B2" s="2426"/>
      <c r="C2" s="2426"/>
      <c r="D2" s="2426"/>
      <c r="E2" s="2426"/>
    </row>
    <row r="3" spans="1:5" ht="4.5" customHeight="1" x14ac:dyDescent="0.2"/>
    <row r="4" spans="1:5" x14ac:dyDescent="0.2">
      <c r="A4" s="2425" t="s">
        <v>1245</v>
      </c>
      <c r="B4" s="2425"/>
      <c r="C4" s="2425"/>
      <c r="D4" s="2425"/>
      <c r="E4" s="2425"/>
    </row>
    <row r="5" spans="1:5" x14ac:dyDescent="0.2">
      <c r="A5" s="2428" t="str">
        <f>'Single Audit Cover'!A4</f>
        <v>Year Ending June 30, 2019</v>
      </c>
      <c r="B5" s="2428"/>
      <c r="C5" s="2428"/>
      <c r="D5" s="2428"/>
      <c r="E5" s="2428"/>
    </row>
    <row r="6" spans="1:5" x14ac:dyDescent="0.2">
      <c r="A6" s="2425" t="s">
        <v>1244</v>
      </c>
      <c r="B6" s="2425"/>
      <c r="C6" s="2425"/>
      <c r="D6" s="2425"/>
      <c r="E6" s="2425"/>
    </row>
    <row r="8" spans="1:5" x14ac:dyDescent="0.2">
      <c r="A8" s="1257" t="s">
        <v>1243</v>
      </c>
    </row>
    <row r="10" spans="1:5" x14ac:dyDescent="0.2">
      <c r="A10" s="1258" t="s">
        <v>1242</v>
      </c>
      <c r="B10" s="1259" t="s">
        <v>1241</v>
      </c>
      <c r="C10" s="1259"/>
      <c r="D10" s="1260">
        <f>SUM('Acct Summary 7-8'!C7:K7)</f>
        <v>1220162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32509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-76266</v>
      </c>
    </row>
    <row r="19" spans="1:4" ht="13.5" thickBot="1" x14ac:dyDescent="0.25">
      <c r="A19" s="1262" t="s">
        <v>1235</v>
      </c>
      <c r="D19" s="1263">
        <f>SUM(D10:D17)</f>
        <v>1176405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7" t="s">
        <v>2155</v>
      </c>
      <c r="B24" s="2427"/>
      <c r="D24" s="1265">
        <v>-32509</v>
      </c>
    </row>
    <row r="25" spans="1:4" x14ac:dyDescent="0.2">
      <c r="A25" s="2424"/>
      <c r="B25" s="2424"/>
      <c r="D25" s="1265"/>
    </row>
    <row r="26" spans="1:4" x14ac:dyDescent="0.2">
      <c r="A26" s="2424"/>
      <c r="B26" s="2424"/>
      <c r="D26" s="1265"/>
    </row>
    <row r="27" spans="1:4" x14ac:dyDescent="0.2">
      <c r="A27" s="2424"/>
      <c r="B27" s="2424"/>
      <c r="D27" s="1265"/>
    </row>
    <row r="28" spans="1:4" x14ac:dyDescent="0.2">
      <c r="A28" s="2424"/>
      <c r="B28" s="2424"/>
      <c r="D28" s="1265"/>
    </row>
    <row r="29" spans="1:4" x14ac:dyDescent="0.2">
      <c r="A29" s="2424"/>
      <c r="B29" s="2424"/>
      <c r="D29" s="1265"/>
    </row>
    <row r="30" spans="1:4" x14ac:dyDescent="0.2">
      <c r="A30" s="2424"/>
      <c r="B30" s="2424"/>
      <c r="D30" s="1265"/>
    </row>
    <row r="32" spans="1:4" x14ac:dyDescent="0.2">
      <c r="A32" s="1257" t="s">
        <v>1233</v>
      </c>
      <c r="D32" s="1260">
        <f>SUM(D19:D30)</f>
        <v>1143896</v>
      </c>
    </row>
    <row r="33" spans="1:4" x14ac:dyDescent="0.2">
      <c r="D33" s="1266"/>
    </row>
    <row r="34" spans="1:4" x14ac:dyDescent="0.2">
      <c r="A34" s="317" t="s">
        <v>1232</v>
      </c>
    </row>
    <row r="35" spans="1:4" x14ac:dyDescent="0.2">
      <c r="A35" s="317" t="s">
        <v>1231</v>
      </c>
      <c r="B35" s="1255" t="s">
        <v>1230</v>
      </c>
      <c r="D35" s="1267">
        <v>1143896</v>
      </c>
    </row>
    <row r="37" spans="1:4" x14ac:dyDescent="0.2">
      <c r="A37" s="1257" t="s">
        <v>1229</v>
      </c>
    </row>
    <row r="39" spans="1:4" ht="13.35" customHeight="1" x14ac:dyDescent="0.2">
      <c r="A39" s="1264" t="s">
        <v>1228</v>
      </c>
    </row>
    <row r="40" spans="1:4" x14ac:dyDescent="0.2">
      <c r="A40" s="2424"/>
      <c r="B40" s="2424"/>
      <c r="D40" s="1265"/>
    </row>
    <row r="41" spans="1:4" x14ac:dyDescent="0.2">
      <c r="A41" s="2424"/>
      <c r="B41" s="2424"/>
      <c r="D41" s="1268"/>
    </row>
    <row r="42" spans="1:4" x14ac:dyDescent="0.2">
      <c r="A42" s="2424"/>
      <c r="B42" s="2424"/>
      <c r="D42" s="1268"/>
    </row>
    <row r="43" spans="1:4" x14ac:dyDescent="0.2">
      <c r="A43" s="2424"/>
      <c r="B43" s="2424"/>
      <c r="D43" s="1268"/>
    </row>
    <row r="44" spans="1:4" x14ac:dyDescent="0.2">
      <c r="A44" s="2424"/>
      <c r="B44" s="2424"/>
      <c r="D44" s="1268"/>
    </row>
    <row r="45" spans="1:4" x14ac:dyDescent="0.2">
      <c r="A45" s="2424"/>
      <c r="B45" s="2424"/>
      <c r="D45" s="1268"/>
    </row>
    <row r="47" spans="1:4" x14ac:dyDescent="0.2">
      <c r="B47" s="1269" t="s">
        <v>1227</v>
      </c>
      <c r="C47" s="1269"/>
      <c r="D47" s="1270">
        <f>SUM(D35:D45)</f>
        <v>1143896</v>
      </c>
    </row>
    <row r="49" spans="2:4" x14ac:dyDescent="0.2">
      <c r="B49" s="1269" t="s">
        <v>1226</v>
      </c>
      <c r="C49" s="1269"/>
      <c r="D49" s="1270">
        <f>D32-D47</f>
        <v>0</v>
      </c>
    </row>
  </sheetData>
  <sheetProtection sheet="1" objects="1" scenarios="1"/>
  <customSheetViews>
    <customSheetView guid="{58008B32-E4E8-4E32-8B1E-F6CE50059F4A}" scale="110" showGridLines="0">
      <selection activeCell="A25" sqref="A25:B25"/>
      <pageMargins left="0.75" right="0.75" top="1" bottom="0.5" header="0.5" footer="0.5"/>
      <printOptions horizontalCentered="1"/>
      <pageSetup scale="95" firstPageNumber="37"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GridLines="0" printArea="1">
      <selection activeCell="A25" sqref="A25:B25"/>
      <pageMargins left="0.75" right="0.75" top="1" bottom="0.5" header="0.5" footer="0.5"/>
      <printOptions horizontalCentered="1"/>
      <pageSetup scale="95" firstPageNumber="37"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selection activeCell="A25" sqref="A25:B25"/>
      <pageMargins left="0.75" right="0.75" top="1" bottom="0.5" header="0.5" footer="0.5"/>
      <printOptions horizontalCentered="1"/>
      <pageSetup scale="95" firstPageNumber="37" orientation="portrait" r:id="rId3"/>
      <headerFooter>
        <oddHeader xml:space="preserve">&amp;C&amp;"Times New Roman,Regular"
</oddHead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4"/>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K15" sqref="K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6" t="str">
        <f>'Single Audit Cover'!A7</f>
        <v>East Alton SD 13</v>
      </c>
      <c r="C1" s="2429"/>
      <c r="D1" s="2429"/>
      <c r="E1" s="2429"/>
      <c r="F1" s="2429"/>
      <c r="G1" s="2429"/>
      <c r="H1" s="2429"/>
      <c r="I1" s="2429"/>
      <c r="J1" s="2429"/>
      <c r="K1" s="2429"/>
      <c r="L1" s="2429"/>
      <c r="M1" s="2429"/>
    </row>
    <row r="2" spans="2:14" ht="15" x14ac:dyDescent="0.2">
      <c r="B2" s="2430">
        <f>'Single Audit Cover'!E7</f>
        <v>41057013002</v>
      </c>
      <c r="C2" s="2430"/>
      <c r="D2" s="2430"/>
      <c r="E2" s="2430"/>
      <c r="F2" s="2430"/>
      <c r="G2" s="2430"/>
      <c r="H2" s="2430"/>
      <c r="I2" s="2430"/>
      <c r="J2" s="2430"/>
      <c r="K2" s="2430"/>
      <c r="L2" s="2430"/>
      <c r="M2" s="2430"/>
      <c r="N2" s="1299"/>
    </row>
    <row r="3" spans="2:14" ht="15" x14ac:dyDescent="0.2">
      <c r="B3" s="2431" t="s">
        <v>1219</v>
      </c>
      <c r="C3" s="2431"/>
      <c r="D3" s="2431"/>
      <c r="E3" s="2431"/>
      <c r="F3" s="2431"/>
      <c r="G3" s="2431"/>
      <c r="H3" s="2431"/>
      <c r="I3" s="2431"/>
      <c r="J3" s="2431"/>
      <c r="K3" s="2431"/>
      <c r="L3" s="2431"/>
      <c r="M3" s="2431"/>
      <c r="N3" s="1299"/>
    </row>
    <row r="4" spans="2:14" ht="15" x14ac:dyDescent="0.2">
      <c r="B4" s="2432" t="str">
        <f>'Single Audit Cover'!A4</f>
        <v>Year Ending June 30, 2019</v>
      </c>
      <c r="C4" s="2432"/>
      <c r="D4" s="2432"/>
      <c r="E4" s="2432"/>
      <c r="F4" s="2432"/>
      <c r="G4" s="2432"/>
      <c r="H4" s="2432"/>
      <c r="I4" s="2432"/>
      <c r="J4" s="2432"/>
      <c r="K4" s="2432"/>
      <c r="L4" s="2432"/>
      <c r="M4" s="243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2101</v>
      </c>
      <c r="C11" s="1335"/>
      <c r="D11" s="1336"/>
      <c r="E11" s="1337"/>
      <c r="F11" s="1337"/>
      <c r="G11" s="1337"/>
      <c r="H11" s="1337"/>
      <c r="I11" s="1337"/>
      <c r="J11" s="1337"/>
      <c r="K11" s="1337"/>
      <c r="L11" s="1337"/>
      <c r="M11" s="1337"/>
    </row>
    <row r="12" spans="2:14" ht="20.100000000000001" customHeight="1" x14ac:dyDescent="0.2">
      <c r="B12" s="1334" t="s">
        <v>2102</v>
      </c>
      <c r="C12" s="1338"/>
      <c r="D12" s="1339"/>
      <c r="E12" s="1340"/>
      <c r="F12" s="1340"/>
      <c r="G12" s="1340"/>
      <c r="H12" s="1340"/>
      <c r="I12" s="1340"/>
      <c r="J12" s="1340"/>
      <c r="K12" s="1340"/>
      <c r="L12" s="1337"/>
      <c r="M12" s="1340"/>
    </row>
    <row r="13" spans="2:14" ht="20.100000000000001" customHeight="1" x14ac:dyDescent="0.2">
      <c r="B13" s="1334" t="s">
        <v>2103</v>
      </c>
      <c r="C13" s="1338" t="s">
        <v>2104</v>
      </c>
      <c r="D13" s="1339" t="s">
        <v>2105</v>
      </c>
      <c r="E13" s="1340">
        <v>363475</v>
      </c>
      <c r="F13" s="1340">
        <v>54343</v>
      </c>
      <c r="G13" s="1340">
        <v>402783</v>
      </c>
      <c r="H13" s="1340"/>
      <c r="I13" s="1340">
        <v>15035</v>
      </c>
      <c r="J13" s="1340"/>
      <c r="K13" s="1340"/>
      <c r="L13" s="1337">
        <f t="shared" ref="L13:L27" si="0">+G13+I13+K13</f>
        <v>417818</v>
      </c>
      <c r="M13" s="1340">
        <v>426793</v>
      </c>
    </row>
    <row r="14" spans="2:14" ht="20.100000000000001" customHeight="1" x14ac:dyDescent="0.2">
      <c r="B14" s="1334" t="s">
        <v>2103</v>
      </c>
      <c r="C14" s="1338" t="s">
        <v>2104</v>
      </c>
      <c r="D14" s="1339" t="s">
        <v>2106</v>
      </c>
      <c r="E14" s="1340"/>
      <c r="F14" s="1340">
        <v>281149</v>
      </c>
      <c r="G14" s="1340"/>
      <c r="H14" s="1340"/>
      <c r="I14" s="1340">
        <v>357816</v>
      </c>
      <c r="J14" s="1340"/>
      <c r="K14" s="1340"/>
      <c r="L14" s="1337">
        <f t="shared" si="0"/>
        <v>357816</v>
      </c>
      <c r="M14" s="1340">
        <v>405065</v>
      </c>
    </row>
    <row r="15" spans="2:14" ht="20.100000000000001" customHeight="1" x14ac:dyDescent="0.2">
      <c r="B15" s="1334" t="s">
        <v>2111</v>
      </c>
      <c r="C15" s="1338" t="s">
        <v>2104</v>
      </c>
      <c r="D15" s="1339" t="s">
        <v>2112</v>
      </c>
      <c r="E15" s="1340"/>
      <c r="F15" s="1340">
        <v>25193</v>
      </c>
      <c r="G15" s="1340"/>
      <c r="H15" s="1340"/>
      <c r="I15" s="1340">
        <v>67642</v>
      </c>
      <c r="J15" s="1340"/>
      <c r="K15" s="1340"/>
      <c r="L15" s="1337">
        <f t="shared" si="0"/>
        <v>67642</v>
      </c>
      <c r="M15" s="1340">
        <v>68799</v>
      </c>
    </row>
    <row r="16" spans="2:14" ht="20.100000000000001" customHeight="1" x14ac:dyDescent="0.2">
      <c r="B16" s="1334" t="s">
        <v>2113</v>
      </c>
      <c r="C16" s="1338" t="s">
        <v>2114</v>
      </c>
      <c r="D16" s="1339" t="s">
        <v>2115</v>
      </c>
      <c r="E16" s="1340"/>
      <c r="F16" s="1340">
        <v>9828</v>
      </c>
      <c r="G16" s="1340"/>
      <c r="H16" s="1340"/>
      <c r="I16" s="1340">
        <v>10460</v>
      </c>
      <c r="J16" s="1340"/>
      <c r="K16" s="1340">
        <v>100</v>
      </c>
      <c r="L16" s="1337">
        <f t="shared" si="0"/>
        <v>10560</v>
      </c>
      <c r="M16" s="1340">
        <v>12699</v>
      </c>
    </row>
    <row r="17" spans="2:14" ht="20.100000000000001" customHeight="1" x14ac:dyDescent="0.2">
      <c r="B17" s="1334" t="s">
        <v>2107</v>
      </c>
      <c r="C17" s="1338" t="s">
        <v>2108</v>
      </c>
      <c r="D17" s="1339" t="s">
        <v>2109</v>
      </c>
      <c r="E17" s="1340"/>
      <c r="F17" s="1340">
        <v>440</v>
      </c>
      <c r="G17" s="1340">
        <v>440</v>
      </c>
      <c r="H17" s="1340"/>
      <c r="I17" s="1340"/>
      <c r="J17" s="1340"/>
      <c r="K17" s="1340"/>
      <c r="L17" s="1337">
        <f t="shared" si="0"/>
        <v>440</v>
      </c>
      <c r="M17" s="1340">
        <v>525</v>
      </c>
    </row>
    <row r="18" spans="2:14" ht="20.100000000000001" customHeight="1" x14ac:dyDescent="0.2">
      <c r="B18" s="1334" t="s">
        <v>2107</v>
      </c>
      <c r="C18" s="1338" t="s">
        <v>2108</v>
      </c>
      <c r="D18" s="1339" t="s">
        <v>2110</v>
      </c>
      <c r="E18" s="1340"/>
      <c r="F18" s="1340">
        <v>17783</v>
      </c>
      <c r="G18" s="1340"/>
      <c r="H18" s="1340"/>
      <c r="I18" s="1340">
        <v>25794</v>
      </c>
      <c r="J18" s="1340"/>
      <c r="K18" s="1340">
        <v>3876</v>
      </c>
      <c r="L18" s="1337">
        <f t="shared" si="0"/>
        <v>29670</v>
      </c>
      <c r="M18" s="1340">
        <v>32130</v>
      </c>
    </row>
    <row r="19" spans="2:14" ht="20.100000000000001" customHeight="1" x14ac:dyDescent="0.2">
      <c r="B19" s="1334" t="s">
        <v>2116</v>
      </c>
      <c r="C19" s="1338"/>
      <c r="D19" s="1339"/>
      <c r="E19" s="1340">
        <f>SUM(E13:E18)</f>
        <v>363475</v>
      </c>
      <c r="F19" s="1340">
        <f>SUM(F13:F18)</f>
        <v>388736</v>
      </c>
      <c r="G19" s="1340">
        <f>SUM(G13:G18)</f>
        <v>403223</v>
      </c>
      <c r="H19" s="1340"/>
      <c r="I19" s="1340">
        <f>SUM(I13:I18)</f>
        <v>476747</v>
      </c>
      <c r="J19" s="1340"/>
      <c r="K19" s="1340">
        <f>SUM(K13:K18)</f>
        <v>3976</v>
      </c>
      <c r="L19" s="1337">
        <f t="shared" si="0"/>
        <v>883946</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2117</v>
      </c>
      <c r="C22" s="1338"/>
      <c r="D22" s="1339"/>
      <c r="E22" s="1340"/>
      <c r="F22" s="1340"/>
      <c r="G22" s="1340"/>
      <c r="H22" s="1340"/>
      <c r="I22" s="1340"/>
      <c r="J22" s="1340"/>
      <c r="K22" s="1340"/>
      <c r="L22" s="1337"/>
      <c r="M22" s="1340"/>
    </row>
    <row r="23" spans="2:14" ht="20.100000000000001" customHeight="1" x14ac:dyDescent="0.2">
      <c r="B23" s="1334" t="s">
        <v>2118</v>
      </c>
      <c r="C23" s="1338" t="s">
        <v>2121</v>
      </c>
      <c r="D23" s="1339" t="s">
        <v>2122</v>
      </c>
      <c r="E23" s="1340"/>
      <c r="F23" s="1340">
        <v>25359</v>
      </c>
      <c r="G23" s="1340"/>
      <c r="H23" s="1340"/>
      <c r="I23" s="1340">
        <v>25359</v>
      </c>
      <c r="J23" s="1340"/>
      <c r="K23" s="1340"/>
      <c r="L23" s="1337">
        <f t="shared" si="0"/>
        <v>25359</v>
      </c>
      <c r="M23" s="1340">
        <v>36848</v>
      </c>
    </row>
    <row r="24" spans="2:14" ht="20.100000000000001" customHeight="1" x14ac:dyDescent="0.2">
      <c r="B24" s="1334" t="s">
        <v>2119</v>
      </c>
      <c r="C24" s="1338" t="s">
        <v>2121</v>
      </c>
      <c r="D24" s="1339" t="s">
        <v>2123</v>
      </c>
      <c r="E24" s="1340"/>
      <c r="F24" s="1340">
        <v>199423</v>
      </c>
      <c r="G24" s="1340"/>
      <c r="H24" s="1340"/>
      <c r="I24" s="1340">
        <v>199423</v>
      </c>
      <c r="J24" s="1340"/>
      <c r="K24" s="1340"/>
      <c r="L24" s="1337">
        <f t="shared" si="0"/>
        <v>199423</v>
      </c>
      <c r="M24" s="1340">
        <v>249321</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2120</v>
      </c>
      <c r="C26" s="1338"/>
      <c r="D26" s="1339"/>
      <c r="E26" s="1340"/>
      <c r="F26" s="1340">
        <f>SUM(F23:F25)</f>
        <v>224782</v>
      </c>
      <c r="G26" s="1340"/>
      <c r="H26" s="1340"/>
      <c r="I26" s="1340">
        <f>SUM(I23:I25)</f>
        <v>224782</v>
      </c>
      <c r="J26" s="1340"/>
      <c r="K26" s="1340"/>
      <c r="L26" s="1337">
        <f t="shared" si="0"/>
        <v>224782</v>
      </c>
      <c r="M26" s="1340"/>
    </row>
    <row r="27" spans="2:14" ht="20.100000000000001" customHeight="1" x14ac:dyDescent="0.2">
      <c r="B27" s="1334" t="s">
        <v>2124</v>
      </c>
      <c r="C27" s="1338"/>
      <c r="D27" s="1339"/>
      <c r="E27" s="1340">
        <f>E19+E26</f>
        <v>363475</v>
      </c>
      <c r="F27" s="1340">
        <f>F19+F26</f>
        <v>613518</v>
      </c>
      <c r="G27" s="1340">
        <f>G19+G26</f>
        <v>403223</v>
      </c>
      <c r="H27" s="1340"/>
      <c r="I27" s="1340">
        <f>I19+I26</f>
        <v>701529</v>
      </c>
      <c r="J27" s="1340"/>
      <c r="K27" s="1340">
        <f>K19+K26</f>
        <v>3976</v>
      </c>
      <c r="L27" s="1337">
        <f t="shared" si="0"/>
        <v>1108728</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8008B32-E4E8-4E32-8B1E-F6CE50059F4A}" showGridLines="0">
      <selection activeCell="K15" sqref="K15"/>
      <pageMargins left="0.75" right="0.75" top="0.75" bottom="0.5" header="0.5" footer="0.5"/>
      <printOptions horizontalCentered="1"/>
      <pageSetup scale="74" firstPageNumber="38" orientation="landscape" r:id="rId1"/>
      <headerFooter>
        <oddHeader xml:space="preserve">&amp;C&amp;"Times New Roman,Regular"
</oddHeader>
        <oddFooter>&amp;C&amp;"Times New Roman,Regular"See Independent Auditor's Reports
&amp;P</oddFooter>
      </headerFooter>
    </customSheetView>
    <customSheetView guid="{D43C6297-AC1B-41E2-A8C4-03E94593B8FB}" showGridLines="0" printArea="1">
      <selection activeCell="K15" sqref="K15"/>
      <pageMargins left="0.75" right="0.75" top="0.75" bottom="0.5" header="0.5" footer="0.5"/>
      <printOptions horizontalCentered="1"/>
      <pageSetup scale="74" firstPageNumber="38" orientation="landscape" r:id="rId2"/>
      <headerFooter>
        <oddHeader xml:space="preserve">&amp;C&amp;"Times New Roman,Regular"
</oddHeader>
        <oddFooter>&amp;C&amp;"Times New Roman,Regular"See Independent Auditor's Reports
&amp;P</oddFooter>
      </headerFooter>
    </customSheetView>
    <customSheetView guid="{1CEE81F4-A6A8-4CF6-96C8-1AACCC28872D}" showGridLines="0">
      <selection activeCell="K15" sqref="K15"/>
      <pageMargins left="0.75" right="0.75" top="0.75" bottom="0.5" header="0.5" footer="0.5"/>
      <printOptions horizontalCentered="1"/>
      <pageSetup scale="74" firstPageNumber="38" orientation="landscape" r:id="rId3"/>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4"/>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6CE5-88D0-4EC4-801D-F5E7F7C0F0D2}">
  <dimension ref="B1:N152"/>
  <sheetViews>
    <sheetView showGridLines="0" zoomScaleNormal="100" workbookViewId="0">
      <selection activeCell="D24" sqref="D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6" t="str">
        <f>'Single Audit Cover'!A7</f>
        <v>East Alton SD 13</v>
      </c>
      <c r="C1" s="2429"/>
      <c r="D1" s="2429"/>
      <c r="E1" s="2429"/>
      <c r="F1" s="2429"/>
      <c r="G1" s="2429"/>
      <c r="H1" s="2429"/>
      <c r="I1" s="2429"/>
      <c r="J1" s="2429"/>
      <c r="K1" s="2429"/>
      <c r="L1" s="2429"/>
      <c r="M1" s="2429"/>
    </row>
    <row r="2" spans="2:14" ht="15" x14ac:dyDescent="0.2">
      <c r="B2" s="2430">
        <f>'Single Audit Cover'!E7</f>
        <v>41057013002</v>
      </c>
      <c r="C2" s="2430"/>
      <c r="D2" s="2430"/>
      <c r="E2" s="2430"/>
      <c r="F2" s="2430"/>
      <c r="G2" s="2430"/>
      <c r="H2" s="2430"/>
      <c r="I2" s="2430"/>
      <c r="J2" s="2430"/>
      <c r="K2" s="2430"/>
      <c r="L2" s="2430"/>
      <c r="M2" s="2430"/>
      <c r="N2" s="1299"/>
    </row>
    <row r="3" spans="2:14" ht="15" x14ac:dyDescent="0.2">
      <c r="B3" s="2431" t="s">
        <v>1219</v>
      </c>
      <c r="C3" s="2431"/>
      <c r="D3" s="2431"/>
      <c r="E3" s="2431"/>
      <c r="F3" s="2431"/>
      <c r="G3" s="2431"/>
      <c r="H3" s="2431"/>
      <c r="I3" s="2431"/>
      <c r="J3" s="2431"/>
      <c r="K3" s="2431"/>
      <c r="L3" s="2431"/>
      <c r="M3" s="2431"/>
      <c r="N3" s="1299"/>
    </row>
    <row r="4" spans="2:14" ht="15" x14ac:dyDescent="0.2">
      <c r="B4" s="2432" t="str">
        <f>'Single Audit Cover'!A4</f>
        <v>Year Ending June 30, 2019</v>
      </c>
      <c r="C4" s="2432"/>
      <c r="D4" s="2432"/>
      <c r="E4" s="2432"/>
      <c r="F4" s="2432"/>
      <c r="G4" s="2432"/>
      <c r="H4" s="2432"/>
      <c r="I4" s="2432"/>
      <c r="J4" s="2432"/>
      <c r="K4" s="2432"/>
      <c r="L4" s="2432"/>
      <c r="M4" s="243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2125</v>
      </c>
      <c r="C11" s="1335"/>
      <c r="D11" s="1336"/>
      <c r="E11" s="1337"/>
      <c r="F11" s="1337"/>
      <c r="G11" s="1337"/>
      <c r="H11" s="1337"/>
      <c r="I11" s="1337"/>
      <c r="J11" s="1337"/>
      <c r="K11" s="1337"/>
      <c r="L11" s="1337"/>
      <c r="M11" s="1337"/>
    </row>
    <row r="12" spans="2:14" ht="20.100000000000001" customHeight="1" x14ac:dyDescent="0.2">
      <c r="B12" s="1334" t="s">
        <v>2102</v>
      </c>
      <c r="C12" s="1338"/>
      <c r="D12" s="1339"/>
      <c r="E12" s="1340"/>
      <c r="F12" s="1340"/>
      <c r="G12" s="1340"/>
      <c r="H12" s="1340"/>
      <c r="I12" s="1340"/>
      <c r="J12" s="1340"/>
      <c r="K12" s="1340"/>
      <c r="L12" s="1337"/>
      <c r="M12" s="1340"/>
    </row>
    <row r="13" spans="2:14" ht="20.100000000000001" customHeight="1" x14ac:dyDescent="0.2">
      <c r="B13" s="1334" t="s">
        <v>2132</v>
      </c>
      <c r="C13" s="1338">
        <v>10.555</v>
      </c>
      <c r="D13" s="1339" t="s">
        <v>2127</v>
      </c>
      <c r="E13" s="1340">
        <v>286544</v>
      </c>
      <c r="F13" s="1340">
        <v>49933</v>
      </c>
      <c r="G13" s="1340">
        <v>286544</v>
      </c>
      <c r="H13" s="1340"/>
      <c r="I13" s="1340">
        <v>49933</v>
      </c>
      <c r="J13" s="1340"/>
      <c r="K13" s="1340"/>
      <c r="L13" s="1337">
        <f t="shared" ref="L13:L23" si="0">+G13+I13+K13</f>
        <v>336477</v>
      </c>
      <c r="M13" s="1340"/>
    </row>
    <row r="14" spans="2:14" ht="20.100000000000001" customHeight="1" x14ac:dyDescent="0.2">
      <c r="B14" s="1334" t="s">
        <v>2132</v>
      </c>
      <c r="C14" s="1338">
        <v>10.555</v>
      </c>
      <c r="D14" s="1339" t="s">
        <v>2128</v>
      </c>
      <c r="E14" s="1340"/>
      <c r="F14" s="1340">
        <v>268624</v>
      </c>
      <c r="G14" s="1340"/>
      <c r="H14" s="1340"/>
      <c r="I14" s="1340">
        <v>268624</v>
      </c>
      <c r="J14" s="1340"/>
      <c r="K14" s="1340"/>
      <c r="L14" s="1337">
        <f t="shared" si="0"/>
        <v>268624</v>
      </c>
      <c r="M14" s="1340"/>
    </row>
    <row r="15" spans="2:14" ht="20.100000000000001" customHeight="1" x14ac:dyDescent="0.2">
      <c r="B15" s="1334" t="s">
        <v>2126</v>
      </c>
      <c r="C15" s="1338">
        <v>10.553000000000001</v>
      </c>
      <c r="D15" s="1339" t="s">
        <v>2129</v>
      </c>
      <c r="E15" s="1340">
        <v>126623</v>
      </c>
      <c r="F15" s="1340">
        <v>23930</v>
      </c>
      <c r="G15" s="1340">
        <v>126623</v>
      </c>
      <c r="H15" s="1340"/>
      <c r="I15" s="1340">
        <v>23930</v>
      </c>
      <c r="J15" s="1340"/>
      <c r="K15" s="1340"/>
      <c r="L15" s="1337">
        <f t="shared" si="0"/>
        <v>150553</v>
      </c>
      <c r="M15" s="1340"/>
    </row>
    <row r="16" spans="2:14" ht="20.100000000000001" customHeight="1" x14ac:dyDescent="0.2">
      <c r="B16" s="1334" t="s">
        <v>2126</v>
      </c>
      <c r="C16" s="1338">
        <v>10.553000000000001</v>
      </c>
      <c r="D16" s="1339" t="s">
        <v>2130</v>
      </c>
      <c r="E16" s="1340"/>
      <c r="F16" s="1340">
        <v>114708</v>
      </c>
      <c r="G16" s="1340"/>
      <c r="H16" s="1340"/>
      <c r="I16" s="1340">
        <v>114708</v>
      </c>
      <c r="J16" s="1340"/>
      <c r="K16" s="1340"/>
      <c r="L16" s="1337">
        <f t="shared" si="0"/>
        <v>114708</v>
      </c>
      <c r="M16" s="1340"/>
    </row>
    <row r="17" spans="2:14" ht="20.100000000000001" customHeight="1" x14ac:dyDescent="0.2">
      <c r="B17" s="1334" t="s">
        <v>2131</v>
      </c>
      <c r="C17" s="1338">
        <v>10.582000000000001</v>
      </c>
      <c r="D17" s="1339" t="s">
        <v>2134</v>
      </c>
      <c r="E17" s="1340"/>
      <c r="F17" s="1340">
        <v>21219</v>
      </c>
      <c r="G17" s="1340"/>
      <c r="H17" s="1340"/>
      <c r="I17" s="1340">
        <v>21219</v>
      </c>
      <c r="J17" s="1340"/>
      <c r="K17" s="1340"/>
      <c r="L17" s="1337">
        <f t="shared" si="0"/>
        <v>21219</v>
      </c>
      <c r="M17" s="1340"/>
    </row>
    <row r="18" spans="2:14" ht="20.100000000000001" customHeight="1" x14ac:dyDescent="0.2">
      <c r="B18" s="1334" t="s">
        <v>2133</v>
      </c>
      <c r="C18" s="1338">
        <v>10.555</v>
      </c>
      <c r="D18" s="1339">
        <v>2019</v>
      </c>
      <c r="E18" s="1340"/>
      <c r="F18" s="1340">
        <v>15502</v>
      </c>
      <c r="G18" s="1340"/>
      <c r="H18" s="1340"/>
      <c r="I18" s="1340">
        <v>15502</v>
      </c>
      <c r="J18" s="1340"/>
      <c r="K18" s="1340"/>
      <c r="L18" s="1337">
        <f t="shared" si="0"/>
        <v>15502</v>
      </c>
      <c r="M18" s="1340"/>
    </row>
    <row r="19" spans="2:14" ht="20.100000000000001" customHeight="1" x14ac:dyDescent="0.2">
      <c r="B19" s="1334" t="s">
        <v>2135</v>
      </c>
      <c r="C19" s="1338"/>
      <c r="D19" s="1339"/>
      <c r="E19" s="1340">
        <f>SUM(E13:E17)</f>
        <v>413167</v>
      </c>
      <c r="F19" s="1340">
        <f>SUM(F13:F18)</f>
        <v>493916</v>
      </c>
      <c r="G19" s="1340">
        <f>SUM(G13:G18)</f>
        <v>413167</v>
      </c>
      <c r="H19" s="1340"/>
      <c r="I19" s="1340">
        <f>SUM(I13:I18)</f>
        <v>493916</v>
      </c>
      <c r="J19" s="1340"/>
      <c r="K19" s="1340"/>
      <c r="L19" s="1337">
        <f t="shared" si="0"/>
        <v>907083</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2136</v>
      </c>
      <c r="C22" s="1338"/>
      <c r="D22" s="1339"/>
      <c r="E22" s="1340"/>
      <c r="F22" s="1340"/>
      <c r="G22" s="1340"/>
      <c r="H22" s="1340"/>
      <c r="I22" s="1340"/>
      <c r="J22" s="1340"/>
      <c r="K22" s="1340"/>
      <c r="L22" s="1337"/>
      <c r="M22" s="1340"/>
    </row>
    <row r="23" spans="2:14" ht="20.100000000000001" customHeight="1" x14ac:dyDescent="0.2">
      <c r="B23" s="1334" t="s">
        <v>2137</v>
      </c>
      <c r="C23" s="1338">
        <v>10.555</v>
      </c>
      <c r="D23" s="1339">
        <v>2019</v>
      </c>
      <c r="E23" s="1340"/>
      <c r="F23" s="1340">
        <v>17007</v>
      </c>
      <c r="G23" s="1340"/>
      <c r="H23" s="1340"/>
      <c r="I23" s="1340">
        <v>17007</v>
      </c>
      <c r="J23" s="1340"/>
      <c r="K23" s="1340"/>
      <c r="L23" s="1337">
        <f t="shared" si="0"/>
        <v>17007</v>
      </c>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8008B32-E4E8-4E32-8B1E-F6CE50059F4A}" showGridLines="0">
      <selection activeCell="D24" sqref="D24"/>
      <pageMargins left="0.75" right="0.75" top="0.75" bottom="0.5" header="0.5" footer="0.5"/>
      <printOptions horizontalCentered="1"/>
      <pageSetup scale="74" firstPageNumber="38" orientation="landscape" r:id="rId1"/>
      <headerFooter>
        <oddHeader xml:space="preserve">&amp;C&amp;"Times New Roman,Regular"
</oddHeader>
        <oddFooter>&amp;C&amp;"Times New Roman,Regular"See Independent Auditor's Reports
&amp;P</oddFooter>
      </headerFooter>
    </customSheetView>
    <customSheetView guid="{D43C6297-AC1B-41E2-A8C4-03E94593B8FB}" showGridLines="0" printArea="1">
      <selection activeCell="D24" sqref="D24"/>
      <pageMargins left="0.75" right="0.75" top="0.75" bottom="0.5" header="0.5" footer="0.5"/>
      <printOptions horizontalCentered="1"/>
      <pageSetup scale="74" firstPageNumber="38" orientation="landscape" r:id="rId2"/>
      <headerFooter>
        <oddHeader xml:space="preserve">&amp;C&amp;"Times New Roman,Regular"
</oddHeader>
        <oddFooter>&amp;C&amp;"Times New Roman,Regular"See Independent Auditor's Reports
&amp;P</oddFooter>
      </headerFooter>
    </customSheetView>
    <customSheetView guid="{1CEE81F4-A6A8-4CF6-96C8-1AACCC28872D}" showGridLines="0">
      <selection activeCell="D24" sqref="D24"/>
      <pageMargins left="0.75" right="0.75" top="0.75" bottom="0.5" header="0.5" footer="0.5"/>
      <printOptions horizontalCentered="1"/>
      <pageSetup scale="74" firstPageNumber="38" orientation="landscape" r:id="rId3"/>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4"/>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2062</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customSheetViews>
    <customSheetView guid="{58008B32-E4E8-4E32-8B1E-F6CE50059F4A}" scale="110" colorId="8" showGridLines="0" hiddenRows="1">
      <selection activeCell="A43" sqref="A43"/>
      <pageMargins left="0.75" right="0.75" top="0.75" bottom="0.5" header="0.5" footer="0.5"/>
      <printOptions horizontalCentered="1"/>
      <pageSetup scale="48" firstPageNumber="2" orientation="portrait" r:id="rId1"/>
      <headerFooter>
        <oddHeader>&amp;C&amp;"Times New Roman,Regular"EAST ALTON ELEMENTARY SCHOOL DISTRICT NO. 13</oddHeader>
        <oddFooter>&amp;C&amp;"Times New Roman,Regular"
&amp;P</oddFooter>
      </headerFooter>
    </customSheetView>
    <customSheetView guid="{D43C6297-AC1B-41E2-A8C4-03E94593B8FB}" scale="110" colorId="8" showGridLines="0" printArea="1" hiddenRows="1">
      <selection activeCell="A43" sqref="A43"/>
      <pageMargins left="0.75" right="0.75" top="0.75" bottom="0.5" header="0.5" footer="0.5"/>
      <printOptions horizontalCentered="1"/>
      <pageSetup scale="48" firstPageNumber="2" orientation="portrait" r:id="rId2"/>
      <headerFooter>
        <oddHeader>&amp;C&amp;"Times New Roman,Regular"EAST ALTON ELEMENTARY SCHOOL DISTRICT NO. 13</oddHeader>
        <oddFooter>&amp;C&amp;"Times New Roman,Regular"
&amp;P</oddFooter>
      </headerFooter>
    </customSheetView>
    <customSheetView guid="{1CEE81F4-A6A8-4CF6-96C8-1AACCC28872D}" scale="110" colorId="8" showGridLines="0" hiddenRows="1">
      <selection activeCell="A43" sqref="A43"/>
      <pageMargins left="0.75" right="0.75" top="0.75" bottom="0.5" header="0.5" footer="0.5"/>
      <printOptions horizontalCentered="1"/>
      <pageSetup scale="48" firstPageNumber="2" orientation="portrait" r:id="rId3"/>
      <headerFooter>
        <oddHeader>&amp;C&amp;"Times New Roman,Regular"EAST ALTON ELEMENTARY SCHOOL DISTRICT NO. 13</oddHeader>
        <oddFooter>&amp;C&amp;"Times New Roman,Regular"
&amp;P</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75" right="0.75" top="0.75" bottom="0.5" header="0.5" footer="0.5"/>
  <pageSetup scale="48" firstPageNumber="3" orientation="portrait" r:id="rId4"/>
  <headerFooter>
    <oddHeader>&amp;C&amp;"Times New Roman,Regular"EAST ALTON ELEMENTARY SCHOOL DISTRICT NO. 13</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59B9-E9CB-4665-B5E7-556211FE76C3}">
  <dimension ref="B1:N152"/>
  <sheetViews>
    <sheetView showGridLines="0" zoomScaleNormal="100" workbookViewId="0">
      <selection activeCell="K18" sqref="K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6" t="str">
        <f>'Single Audit Cover'!A7</f>
        <v>East Alton SD 13</v>
      </c>
      <c r="C1" s="2429"/>
      <c r="D1" s="2429"/>
      <c r="E1" s="2429"/>
      <c r="F1" s="2429"/>
      <c r="G1" s="2429"/>
      <c r="H1" s="2429"/>
      <c r="I1" s="2429"/>
      <c r="J1" s="2429"/>
      <c r="K1" s="2429"/>
      <c r="L1" s="2429"/>
      <c r="M1" s="2429"/>
    </row>
    <row r="2" spans="2:14" ht="15" x14ac:dyDescent="0.2">
      <c r="B2" s="2430">
        <f>'Single Audit Cover'!E7</f>
        <v>41057013002</v>
      </c>
      <c r="C2" s="2430"/>
      <c r="D2" s="2430"/>
      <c r="E2" s="2430"/>
      <c r="F2" s="2430"/>
      <c r="G2" s="2430"/>
      <c r="H2" s="2430"/>
      <c r="I2" s="2430"/>
      <c r="J2" s="2430"/>
      <c r="K2" s="2430"/>
      <c r="L2" s="2430"/>
      <c r="M2" s="2430"/>
      <c r="N2" s="1299"/>
    </row>
    <row r="3" spans="2:14" ht="15" x14ac:dyDescent="0.2">
      <c r="B3" s="2431" t="s">
        <v>1219</v>
      </c>
      <c r="C3" s="2431"/>
      <c r="D3" s="2431"/>
      <c r="E3" s="2431"/>
      <c r="F3" s="2431"/>
      <c r="G3" s="2431"/>
      <c r="H3" s="2431"/>
      <c r="I3" s="2431"/>
      <c r="J3" s="2431"/>
      <c r="K3" s="2431"/>
      <c r="L3" s="2431"/>
      <c r="M3" s="2431"/>
      <c r="N3" s="1299"/>
    </row>
    <row r="4" spans="2:14" ht="15" x14ac:dyDescent="0.2">
      <c r="B4" s="2432" t="str">
        <f>'Single Audit Cover'!A4</f>
        <v>Year Ending June 30, 2019</v>
      </c>
      <c r="C4" s="2432"/>
      <c r="D4" s="2432"/>
      <c r="E4" s="2432"/>
      <c r="F4" s="2432"/>
      <c r="G4" s="2432"/>
      <c r="H4" s="2432"/>
      <c r="I4" s="2432"/>
      <c r="J4" s="2432"/>
      <c r="K4" s="2432"/>
      <c r="L4" s="2432"/>
      <c r="M4" s="243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2138</v>
      </c>
      <c r="C11" s="1335"/>
      <c r="D11" s="1336"/>
      <c r="E11" s="1337"/>
      <c r="F11" s="1337"/>
      <c r="G11" s="1337"/>
      <c r="H11" s="1337"/>
      <c r="I11" s="1337"/>
      <c r="J11" s="1337"/>
      <c r="K11" s="1337"/>
      <c r="L11" s="1337"/>
      <c r="M11" s="1337"/>
    </row>
    <row r="12" spans="2:14" ht="20.100000000000001" customHeight="1" x14ac:dyDescent="0.2">
      <c r="B12" s="1334" t="s">
        <v>2139</v>
      </c>
      <c r="C12" s="1338"/>
      <c r="D12" s="1339"/>
      <c r="E12" s="1340"/>
      <c r="F12" s="1340"/>
      <c r="G12" s="1340"/>
      <c r="H12" s="1340"/>
      <c r="I12" s="1340"/>
      <c r="J12" s="1340"/>
      <c r="K12" s="1340"/>
      <c r="L12" s="1337"/>
      <c r="M12" s="1340"/>
    </row>
    <row r="13" spans="2:14" ht="20.100000000000001" customHeight="1" x14ac:dyDescent="0.2">
      <c r="B13" s="1334" t="s">
        <v>2140</v>
      </c>
      <c r="C13" s="1338">
        <v>93.778000000000006</v>
      </c>
      <c r="D13" s="1339">
        <v>2019</v>
      </c>
      <c r="E13" s="1340"/>
      <c r="F13" s="1340">
        <v>19455</v>
      </c>
      <c r="G13" s="1340"/>
      <c r="H13" s="1340"/>
      <c r="I13" s="1340">
        <v>19455</v>
      </c>
      <c r="J13" s="1340"/>
      <c r="K13" s="1340"/>
      <c r="L13" s="1337">
        <f t="shared" ref="L13:L27" si="0">+G13+I13+K13</f>
        <v>19455</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2141</v>
      </c>
      <c r="C17" s="1338"/>
      <c r="D17" s="1339"/>
      <c r="E17" s="1340">
        <f>' SEFA'!E27+' SEFA (2)'!E19+' SEFA (2)'!E23+' SEFA (3)'!E13</f>
        <v>776642</v>
      </c>
      <c r="F17" s="1340">
        <f>' SEFA'!F27+' SEFA (2)'!F19+' SEFA (2)'!F23+' SEFA (3)'!F13</f>
        <v>1143896</v>
      </c>
      <c r="G17" s="1340">
        <f>' SEFA'!G27+' SEFA (2)'!G19+' SEFA (2)'!G23+' SEFA (3)'!G13</f>
        <v>816390</v>
      </c>
      <c r="H17" s="1340"/>
      <c r="I17" s="1340">
        <f>' SEFA'!I27+' SEFA (2)'!I19+' SEFA (2)'!I23+' SEFA (3)'!I13</f>
        <v>1231907</v>
      </c>
      <c r="J17" s="1340"/>
      <c r="K17" s="1340">
        <f>' SEFA'!K27+' SEFA (2)'!K19+' SEFA (2)'!K23+' SEFA (3)'!K13</f>
        <v>3976</v>
      </c>
      <c r="L17" s="1337">
        <f t="shared" si="0"/>
        <v>2052273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8008B32-E4E8-4E32-8B1E-F6CE50059F4A}" showGridLines="0">
      <selection activeCell="K18" sqref="K18"/>
      <pageMargins left="0.75" right="0.75" top="0.75" bottom="0.5" header="0.5" footer="0.5"/>
      <printOptions horizontalCentered="1"/>
      <pageSetup scale="74" firstPageNumber="38" orientation="landscape" r:id="rId1"/>
      <headerFooter>
        <oddHeader xml:space="preserve">&amp;C&amp;"Times New Roman,Regular"
</oddHeader>
        <oddFooter>&amp;C&amp;"Times New Roman,Regular"See Independent Auditor's Reports
&amp;P</oddFooter>
      </headerFooter>
    </customSheetView>
    <customSheetView guid="{D43C6297-AC1B-41E2-A8C4-03E94593B8FB}" showGridLines="0" printArea="1">
      <selection activeCell="K18" sqref="K18"/>
      <pageMargins left="0.75" right="0.75" top="0.75" bottom="0.5" header="0.5" footer="0.5"/>
      <printOptions horizontalCentered="1"/>
      <pageSetup scale="74" firstPageNumber="38" orientation="landscape" r:id="rId2"/>
      <headerFooter>
        <oddHeader xml:space="preserve">&amp;C&amp;"Times New Roman,Regular"
</oddHeader>
        <oddFooter>&amp;C&amp;"Times New Roman,Regular"See Independent Auditor's Reports
&amp;P</oddFooter>
      </headerFooter>
    </customSheetView>
    <customSheetView guid="{1CEE81F4-A6A8-4CF6-96C8-1AACCC28872D}" showGridLines="0">
      <selection activeCell="K18" sqref="K18"/>
      <pageMargins left="0.75" right="0.75" top="0.75" bottom="0.5" header="0.5" footer="0.5"/>
      <printOptions horizontalCentered="1"/>
      <pageSetup scale="74" firstPageNumber="38" orientation="landscape" r:id="rId3"/>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4"/>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F908F-444F-41CB-9AFE-AF8BBD3FB0BD}">
  <dimension ref="B1:N152"/>
  <sheetViews>
    <sheetView showGridLines="0" zoomScaleNormal="100" workbookViewId="0">
      <selection activeCell="J28" sqref="J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6" t="str">
        <f>'Single Audit Cover'!A7</f>
        <v>East Alton SD 13</v>
      </c>
      <c r="C1" s="2429"/>
      <c r="D1" s="2429"/>
      <c r="E1" s="2429"/>
      <c r="F1" s="2429"/>
      <c r="G1" s="2429"/>
      <c r="H1" s="2429"/>
      <c r="I1" s="2429"/>
      <c r="J1" s="2429"/>
      <c r="K1" s="2429"/>
      <c r="L1" s="2429"/>
      <c r="M1" s="2429"/>
    </row>
    <row r="2" spans="2:14" ht="15" x14ac:dyDescent="0.2">
      <c r="B2" s="2430">
        <f>'Single Audit Cover'!E7</f>
        <v>41057013002</v>
      </c>
      <c r="C2" s="2430"/>
      <c r="D2" s="2430"/>
      <c r="E2" s="2430"/>
      <c r="F2" s="2430"/>
      <c r="G2" s="2430"/>
      <c r="H2" s="2430"/>
      <c r="I2" s="2430"/>
      <c r="J2" s="2430"/>
      <c r="K2" s="2430"/>
      <c r="L2" s="2430"/>
      <c r="M2" s="2430"/>
      <c r="N2" s="1299"/>
    </row>
    <row r="3" spans="2:14" ht="15" x14ac:dyDescent="0.2">
      <c r="B3" s="2431" t="s">
        <v>1219</v>
      </c>
      <c r="C3" s="2431"/>
      <c r="D3" s="2431"/>
      <c r="E3" s="2431"/>
      <c r="F3" s="2431"/>
      <c r="G3" s="2431"/>
      <c r="H3" s="2431"/>
      <c r="I3" s="2431"/>
      <c r="J3" s="2431"/>
      <c r="K3" s="2431"/>
      <c r="L3" s="2431"/>
      <c r="M3" s="2431"/>
      <c r="N3" s="1299"/>
    </row>
    <row r="4" spans="2:14" ht="15" x14ac:dyDescent="0.2">
      <c r="B4" s="2432" t="str">
        <f>'Single Audit Cover'!A4</f>
        <v>Year Ending June 30, 2019</v>
      </c>
      <c r="C4" s="2432"/>
      <c r="D4" s="2432"/>
      <c r="E4" s="2432"/>
      <c r="F4" s="2432"/>
      <c r="G4" s="2432"/>
      <c r="H4" s="2432"/>
      <c r="I4" s="2432"/>
      <c r="J4" s="2432"/>
      <c r="K4" s="2432"/>
      <c r="L4" s="2432"/>
      <c r="M4" s="243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2142</v>
      </c>
      <c r="C11" s="1335"/>
      <c r="D11" s="1336"/>
      <c r="E11" s="1337"/>
      <c r="F11" s="1337"/>
      <c r="G11" s="1337"/>
      <c r="H11" s="1337"/>
      <c r="I11" s="1337"/>
      <c r="J11" s="1337"/>
      <c r="K11" s="1337"/>
      <c r="L11" s="1337"/>
      <c r="M11" s="1337"/>
    </row>
    <row r="12" spans="2:14" ht="20.100000000000001" customHeight="1" x14ac:dyDescent="0.2">
      <c r="B12" s="1334" t="s">
        <v>2143</v>
      </c>
      <c r="C12" s="1338"/>
      <c r="D12" s="1339"/>
      <c r="E12" s="1340">
        <f>' SEFA'!E13+' SEFA'!E14+' SEFA'!E15</f>
        <v>363475</v>
      </c>
      <c r="F12" s="1340">
        <f>' SEFA'!F13+' SEFA'!F14+' SEFA'!F15</f>
        <v>360685</v>
      </c>
      <c r="G12" s="1340">
        <f>' SEFA'!G13+' SEFA'!G14+' SEFA'!G15</f>
        <v>402783</v>
      </c>
      <c r="H12" s="1340"/>
      <c r="I12" s="1340">
        <f>' SEFA'!I13+' SEFA'!I14+' SEFA'!I15</f>
        <v>440493</v>
      </c>
      <c r="J12" s="1340"/>
      <c r="K12" s="1340">
        <f>' SEFA'!K13+' SEFA'!K14+' SEFA'!K15</f>
        <v>0</v>
      </c>
      <c r="L12" s="1337">
        <f t="shared" ref="L12:L26" si="0">+G12+I12+K12</f>
        <v>843276</v>
      </c>
      <c r="M12" s="1340"/>
    </row>
    <row r="13" spans="2:14" ht="20.100000000000001" customHeight="1" x14ac:dyDescent="0.2">
      <c r="B13" s="1334" t="s">
        <v>2144</v>
      </c>
      <c r="C13" s="1338"/>
      <c r="D13" s="1339"/>
      <c r="E13" s="1340"/>
      <c r="F13" s="1340">
        <f>' SEFA'!F16</f>
        <v>9828</v>
      </c>
      <c r="G13" s="1340"/>
      <c r="H13" s="1340"/>
      <c r="I13" s="1340">
        <f>' SEFA'!I16</f>
        <v>10460</v>
      </c>
      <c r="J13" s="1340"/>
      <c r="K13" s="1340">
        <f>' SEFA'!K16</f>
        <v>100</v>
      </c>
      <c r="L13" s="1337">
        <f t="shared" si="0"/>
        <v>10560</v>
      </c>
      <c r="M13" s="1340"/>
    </row>
    <row r="14" spans="2:14" ht="20.100000000000001" customHeight="1" x14ac:dyDescent="0.2">
      <c r="B14" s="1334" t="s">
        <v>2145</v>
      </c>
      <c r="C14" s="1338"/>
      <c r="D14" s="1339"/>
      <c r="E14" s="1340"/>
      <c r="F14" s="1340">
        <f>' SEFA'!F17+' SEFA'!F18</f>
        <v>18223</v>
      </c>
      <c r="G14" s="1340">
        <f>' SEFA'!G17</f>
        <v>440</v>
      </c>
      <c r="H14" s="1340"/>
      <c r="I14" s="1340">
        <f>' SEFA'!I17+' SEFA'!I18</f>
        <v>25794</v>
      </c>
      <c r="J14" s="1340"/>
      <c r="K14" s="1340">
        <f>' SEFA'!K17+' SEFA'!K18</f>
        <v>3876</v>
      </c>
      <c r="L14" s="1337">
        <f t="shared" si="0"/>
        <v>30110</v>
      </c>
      <c r="M14" s="1340"/>
    </row>
    <row r="15" spans="2:14" ht="20.100000000000001" customHeight="1" x14ac:dyDescent="0.2">
      <c r="B15" s="1334" t="s">
        <v>2146</v>
      </c>
      <c r="C15" s="1338"/>
      <c r="D15" s="1339"/>
      <c r="E15" s="1340"/>
      <c r="F15" s="1340">
        <f>' SEFA'!F23+' SEFA'!F24</f>
        <v>224782</v>
      </c>
      <c r="G15" s="1340"/>
      <c r="H15" s="1340"/>
      <c r="I15" s="1340">
        <f>' SEFA'!I23+' SEFA'!I24</f>
        <v>224782</v>
      </c>
      <c r="J15" s="1340"/>
      <c r="K15" s="1340"/>
      <c r="L15" s="1337">
        <f t="shared" si="0"/>
        <v>224782</v>
      </c>
      <c r="M15" s="1340"/>
    </row>
    <row r="16" spans="2:14" ht="20.100000000000001" customHeight="1" x14ac:dyDescent="0.2">
      <c r="B16" s="1334" t="s">
        <v>2147</v>
      </c>
      <c r="C16" s="1338"/>
      <c r="D16" s="1339"/>
      <c r="E16" s="1340">
        <f>' SEFA (2)'!E13+' SEFA (2)'!E14+' SEFA (2)'!E18+' SEFA (2)'!E23</f>
        <v>286544</v>
      </c>
      <c r="F16" s="1340">
        <f>' SEFA (2)'!F13+' SEFA (2)'!F14+' SEFA (2)'!F18+' SEFA (2)'!F23</f>
        <v>351066</v>
      </c>
      <c r="G16" s="1340">
        <f>' SEFA (2)'!G13+' SEFA (2)'!G14+' SEFA (2)'!G18+' SEFA (2)'!G23</f>
        <v>286544</v>
      </c>
      <c r="H16" s="1340"/>
      <c r="I16" s="1340">
        <f>' SEFA (2)'!I13+' SEFA (2)'!I14+' SEFA (2)'!I18+' SEFA (2)'!I23</f>
        <v>351066</v>
      </c>
      <c r="J16" s="1340"/>
      <c r="K16" s="1340"/>
      <c r="L16" s="1337">
        <f t="shared" si="0"/>
        <v>637610</v>
      </c>
      <c r="M16" s="1340"/>
    </row>
    <row r="17" spans="2:14" ht="20.100000000000001" customHeight="1" x14ac:dyDescent="0.2">
      <c r="B17" s="1334" t="s">
        <v>2148</v>
      </c>
      <c r="C17" s="1338"/>
      <c r="D17" s="1339"/>
      <c r="E17" s="1340">
        <f>' SEFA (2)'!E15+' SEFA (2)'!E16</f>
        <v>126623</v>
      </c>
      <c r="F17" s="1340">
        <f>' SEFA (2)'!F15+' SEFA (2)'!F16</f>
        <v>138638</v>
      </c>
      <c r="G17" s="1340">
        <f>' SEFA (2)'!G15+' SEFA (2)'!G16</f>
        <v>126623</v>
      </c>
      <c r="H17" s="1340"/>
      <c r="I17" s="1340">
        <f>' SEFA (2)'!I15+' SEFA (2)'!I16</f>
        <v>138638</v>
      </c>
      <c r="J17" s="1340"/>
      <c r="K17" s="1340"/>
      <c r="L17" s="1337">
        <f t="shared" si="0"/>
        <v>265261</v>
      </c>
      <c r="M17" s="1340"/>
    </row>
    <row r="18" spans="2:14" ht="20.100000000000001" customHeight="1" x14ac:dyDescent="0.2">
      <c r="B18" s="1334" t="s">
        <v>2149</v>
      </c>
      <c r="C18" s="1338"/>
      <c r="D18" s="1339"/>
      <c r="E18" s="1340"/>
      <c r="F18" s="1340">
        <f>' SEFA (2)'!F17</f>
        <v>21219</v>
      </c>
      <c r="G18" s="1340"/>
      <c r="H18" s="1340"/>
      <c r="I18" s="1340">
        <f>' SEFA (2)'!I17</f>
        <v>21219</v>
      </c>
      <c r="J18" s="1340"/>
      <c r="K18" s="1340"/>
      <c r="L18" s="1337">
        <f t="shared" si="0"/>
        <v>21219</v>
      </c>
      <c r="M18" s="1340"/>
    </row>
    <row r="19" spans="2:14" ht="20.100000000000001" customHeight="1" x14ac:dyDescent="0.2">
      <c r="B19" s="1334" t="s">
        <v>2150</v>
      </c>
      <c r="C19" s="1338"/>
      <c r="D19" s="1339"/>
      <c r="E19" s="1340"/>
      <c r="F19" s="1340">
        <f>' SEFA (3)'!F13</f>
        <v>19455</v>
      </c>
      <c r="G19" s="1340"/>
      <c r="H19" s="1340"/>
      <c r="I19" s="1340">
        <f>' SEFA (3)'!I13</f>
        <v>19455</v>
      </c>
      <c r="J19" s="1340"/>
      <c r="K19" s="1340"/>
      <c r="L19" s="1337">
        <f t="shared" si="0"/>
        <v>19455</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2153</v>
      </c>
      <c r="C22" s="1338"/>
      <c r="D22" s="1339"/>
      <c r="E22" s="1340">
        <f>SUM(E12:E21)</f>
        <v>776642</v>
      </c>
      <c r="F22" s="1340">
        <f>SUM(F12:F21)</f>
        <v>1143896</v>
      </c>
      <c r="G22" s="1340">
        <f>SUM(G12:G21)</f>
        <v>816390</v>
      </c>
      <c r="H22" s="1340"/>
      <c r="I22" s="1340">
        <f>SUM(I12:I21)</f>
        <v>1231907</v>
      </c>
      <c r="J22" s="1340"/>
      <c r="K22" s="1340">
        <f>SUM(K12:K21)</f>
        <v>3976</v>
      </c>
      <c r="L22" s="1337">
        <f t="shared" si="0"/>
        <v>2052273</v>
      </c>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2151</v>
      </c>
      <c r="C25" s="1338"/>
      <c r="D25" s="1339"/>
      <c r="E25" s="1340"/>
      <c r="F25" s="1340"/>
      <c r="G25" s="1340"/>
      <c r="H25" s="1340"/>
      <c r="I25" s="1340"/>
      <c r="J25" s="1340"/>
      <c r="K25" s="1340"/>
      <c r="L25" s="1337"/>
      <c r="M25" s="1340"/>
    </row>
    <row r="26" spans="2:14" ht="20.100000000000001" customHeight="1" x14ac:dyDescent="0.2">
      <c r="B26" s="1334" t="s">
        <v>2152</v>
      </c>
      <c r="C26" s="1338"/>
      <c r="D26" s="1339"/>
      <c r="E26" s="1340">
        <f>E16+E17+E18</f>
        <v>413167</v>
      </c>
      <c r="F26" s="1340">
        <f>F16+F17+F18</f>
        <v>510923</v>
      </c>
      <c r="G26" s="1340">
        <f>G16+G17+G18</f>
        <v>413167</v>
      </c>
      <c r="H26" s="1340"/>
      <c r="I26" s="1340">
        <f>I16+I17+I18</f>
        <v>510923</v>
      </c>
      <c r="J26" s="1340"/>
      <c r="K26" s="1340"/>
      <c r="L26" s="1337">
        <f t="shared" si="0"/>
        <v>924090</v>
      </c>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58008B32-E4E8-4E32-8B1E-F6CE50059F4A}" showGridLines="0">
      <selection activeCell="J28" sqref="J28"/>
      <pageMargins left="0.75" right="0.75" top="0.75" bottom="0.5" header="0.5" footer="0.5"/>
      <printOptions horizontalCentered="1"/>
      <pageSetup scale="74" firstPageNumber="38" orientation="landscape" r:id="rId1"/>
      <headerFooter>
        <oddHeader xml:space="preserve">&amp;C&amp;"Times New Roman,Regular"
</oddHeader>
        <oddFooter>&amp;C&amp;"Times New Roman,Regular"See Independent Auditor's Reports
&amp;P</oddFooter>
      </headerFooter>
    </customSheetView>
    <customSheetView guid="{D43C6297-AC1B-41E2-A8C4-03E94593B8FB}" showGridLines="0" printArea="1">
      <selection activeCell="J28" sqref="J28"/>
      <pageMargins left="0.75" right="0.75" top="0.75" bottom="0.5" header="0.5" footer="0.5"/>
      <printOptions horizontalCentered="1"/>
      <pageSetup scale="74" firstPageNumber="38" orientation="landscape" r:id="rId2"/>
      <headerFooter>
        <oddHeader xml:space="preserve">&amp;C&amp;"Times New Roman,Regular"
</oddHeader>
        <oddFooter>&amp;C&amp;"Times New Roman,Regular"See Independent Auditor's Reports
&amp;P</oddFooter>
      </headerFooter>
    </customSheetView>
    <customSheetView guid="{1CEE81F4-A6A8-4CF6-96C8-1AACCC28872D}" showGridLines="0">
      <selection activeCell="J28" sqref="J28"/>
      <pageMargins left="0.75" right="0.75" top="0.75" bottom="0.5" header="0.5" footer="0.5"/>
      <printOptions horizontalCentered="1"/>
      <pageSetup scale="74" firstPageNumber="38" orientation="landscape" r:id="rId3"/>
      <headerFooter>
        <oddHeader xml:space="preserve">&amp;C&amp;"Times New Roman,Regular"
</oddHead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4"/>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4" t="str">
        <f>'Single Audit Cover'!A7</f>
        <v>East Alton SD 13</v>
      </c>
      <c r="B1" s="2434"/>
      <c r="C1" s="2434"/>
      <c r="D1" s="2434"/>
      <c r="E1" s="2434"/>
      <c r="F1" s="2434"/>
    </row>
    <row r="2" spans="1:7" ht="13.5" customHeight="1" x14ac:dyDescent="0.2">
      <c r="A2" s="2430">
        <f>'Single Audit Cover'!E7</f>
        <v>41057013002</v>
      </c>
      <c r="B2" s="2430"/>
      <c r="C2" s="2430"/>
      <c r="D2" s="2430"/>
      <c r="E2" s="2430"/>
      <c r="F2" s="2430"/>
      <c r="G2" s="1272"/>
    </row>
    <row r="3" spans="1:7" ht="15.75" customHeight="1" x14ac:dyDescent="0.2">
      <c r="A3" s="2435" t="s">
        <v>1271</v>
      </c>
      <c r="B3" s="2435"/>
      <c r="C3" s="2435"/>
      <c r="D3" s="2435"/>
      <c r="E3" s="2435"/>
      <c r="F3" s="2435"/>
    </row>
    <row r="4" spans="1:7" ht="13.5" customHeight="1" x14ac:dyDescent="0.2">
      <c r="A4" s="2436" t="str">
        <f>'Single Audit Cover'!A4</f>
        <v>Year Ending June 30, 2019</v>
      </c>
      <c r="B4" s="2436"/>
      <c r="C4" s="2436"/>
      <c r="D4" s="2436"/>
      <c r="E4" s="2436"/>
      <c r="F4" s="2436"/>
    </row>
    <row r="5" spans="1:7" ht="8.25" customHeight="1" x14ac:dyDescent="0.2">
      <c r="C5" s="317"/>
      <c r="D5" s="317"/>
    </row>
    <row r="6" spans="1:7" ht="13.5" customHeight="1" x14ac:dyDescent="0.2">
      <c r="A6" s="1273" t="s">
        <v>1728</v>
      </c>
      <c r="C6" s="317"/>
      <c r="D6" s="317"/>
    </row>
    <row r="7" spans="1:7" ht="60.95" customHeight="1" x14ac:dyDescent="0.2">
      <c r="A7" s="2433" t="s">
        <v>2075</v>
      </c>
      <c r="B7" s="2433"/>
      <c r="C7" s="2433"/>
      <c r="D7" s="2433"/>
      <c r="E7" s="2433"/>
      <c r="F7" s="243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22.5" customHeight="1" x14ac:dyDescent="0.2">
      <c r="A13" s="2433" t="s">
        <v>2077</v>
      </c>
      <c r="B13" s="2433"/>
      <c r="C13" s="2433"/>
      <c r="D13" s="2433"/>
      <c r="E13" s="2433"/>
      <c r="F13" s="2433"/>
    </row>
    <row r="14" spans="1:7" ht="9.75" customHeight="1" x14ac:dyDescent="0.2">
      <c r="C14" s="1257"/>
      <c r="D14" s="1257"/>
    </row>
    <row r="15" spans="1:7" ht="13.5" customHeight="1" x14ac:dyDescent="0.2">
      <c r="C15" s="1846" t="s">
        <v>1270</v>
      </c>
      <c r="D15" s="2438" t="s">
        <v>1269</v>
      </c>
      <c r="E15" s="2438"/>
      <c r="F15" s="2438"/>
    </row>
    <row r="16" spans="1:7" ht="13.5" customHeight="1" x14ac:dyDescent="0.2">
      <c r="A16" s="1279"/>
      <c r="B16" s="1273" t="s">
        <v>1268</v>
      </c>
      <c r="C16" s="1846" t="s">
        <v>1267</v>
      </c>
      <c r="D16" s="2439" t="s">
        <v>1588</v>
      </c>
      <c r="E16" s="2439"/>
      <c r="F16" s="2439"/>
    </row>
    <row r="17" spans="1:6" ht="20.45" customHeight="1" x14ac:dyDescent="0.2">
      <c r="A17" s="1280"/>
      <c r="B17" s="1281" t="s">
        <v>2078</v>
      </c>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1" t="s">
        <v>2076</v>
      </c>
      <c r="B32" s="2441"/>
      <c r="C32" s="2441"/>
      <c r="D32" s="2441"/>
      <c r="E32" s="2441"/>
      <c r="F32" s="2441"/>
    </row>
    <row r="33" spans="1:6" ht="13.5" customHeight="1" x14ac:dyDescent="0.2">
      <c r="A33" s="328" t="s">
        <v>1434</v>
      </c>
      <c r="B33" s="328"/>
      <c r="C33" s="1285">
        <v>15502</v>
      </c>
      <c r="D33" s="1902"/>
      <c r="E33" s="1283"/>
    </row>
    <row r="34" spans="1:6" ht="13.5" customHeight="1" x14ac:dyDescent="0.2">
      <c r="A34" s="328" t="s">
        <v>1835</v>
      </c>
      <c r="B34" s="328"/>
      <c r="C34" s="1286">
        <v>17007</v>
      </c>
      <c r="D34" s="1902" t="s">
        <v>1589</v>
      </c>
      <c r="E34" s="2442">
        <f>+C33+C34</f>
        <v>32509</v>
      </c>
      <c r="F34" s="2443"/>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t="s">
        <v>99</v>
      </c>
      <c r="D38" s="1902"/>
      <c r="E38" s="1283"/>
    </row>
    <row r="39" spans="1:6" ht="14.25" customHeight="1" x14ac:dyDescent="0.2">
      <c r="A39" s="328"/>
      <c r="B39" s="328" t="s">
        <v>1436</v>
      </c>
      <c r="C39" s="1289" t="s">
        <v>99</v>
      </c>
      <c r="D39" s="1902"/>
      <c r="E39" s="1283"/>
    </row>
    <row r="40" spans="1:6" ht="14.25" customHeight="1" x14ac:dyDescent="0.2">
      <c r="A40" s="328"/>
      <c r="B40" s="328" t="s">
        <v>1437</v>
      </c>
      <c r="C40" s="1289" t="s">
        <v>99</v>
      </c>
      <c r="D40" s="1902"/>
      <c r="E40" s="1283"/>
    </row>
    <row r="41" spans="1:6" ht="14.25" customHeight="1" x14ac:dyDescent="0.2">
      <c r="A41" s="328"/>
      <c r="B41" s="328" t="s">
        <v>1438</v>
      </c>
      <c r="C41" s="1289" t="s">
        <v>99</v>
      </c>
      <c r="D41" s="1902"/>
      <c r="E41" s="1283"/>
    </row>
    <row r="42" spans="1:6" ht="14.25" customHeight="1" x14ac:dyDescent="0.2">
      <c r="A42" s="328" t="s">
        <v>1439</v>
      </c>
      <c r="B42" s="328"/>
      <c r="C42" s="1900" t="s">
        <v>99</v>
      </c>
      <c r="D42" s="1902"/>
      <c r="E42" s="1283"/>
    </row>
    <row r="43" spans="1:6" ht="14.25" customHeight="1" x14ac:dyDescent="0.2">
      <c r="A43" s="328" t="s">
        <v>1440</v>
      </c>
      <c r="B43" s="328"/>
      <c r="C43" s="1290" t="s">
        <v>99</v>
      </c>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customSheetViews>
    <customSheetView guid="{58008B32-E4E8-4E32-8B1E-F6CE50059F4A}" scale="120" showGridLines="0">
      <selection activeCell="C35" sqref="C35"/>
      <pageMargins left="0.75" right="0.75" top="0.75" bottom="0.5" header="0.5" footer="0.5"/>
      <printOptions horizontalCentered="1"/>
      <pageSetup scale="82" firstPageNumber="39"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20" showGridLines="0" printArea="1">
      <selection activeCell="C35" sqref="C35"/>
      <pageMargins left="0.75" right="0.75" top="0.75" bottom="0.5" header="0.5" footer="0.5"/>
      <printOptions horizontalCentered="1"/>
      <pageSetup scale="82" firstPageNumber="39"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20" showGridLines="0">
      <selection activeCell="C35" sqref="C35"/>
      <pageMargins left="0.75" right="0.75" top="0.75" bottom="0.5" header="0.5" footer="0.5"/>
      <printOptions horizontalCentered="1"/>
      <pageSetup scale="82" firstPageNumber="39" orientation="portrait" r:id="rId3"/>
      <headerFooter>
        <oddHeader xml:space="preserve">&amp;C&amp;"Times New Roman,Regular"
</oddHead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75" bottom="0.5" header="0.5" footer="0.5"/>
  <pageSetup scale="82" firstPageNumber="39" orientation="portrait" r:id="rId4"/>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9" t="str">
        <f>'Single Audit Cover'!A7</f>
        <v>East Alton SD 13</v>
      </c>
      <c r="C1" s="2450"/>
      <c r="D1" s="2450"/>
      <c r="E1" s="2450"/>
      <c r="F1" s="2450"/>
      <c r="G1" s="2450"/>
      <c r="H1" s="2450"/>
      <c r="I1" s="2450"/>
      <c r="J1" s="1406"/>
    </row>
    <row r="2" spans="2:10" s="317" customFormat="1" ht="12.75" customHeight="1" x14ac:dyDescent="0.2">
      <c r="B2" s="2451">
        <f>'Single Audit Cover'!E7</f>
        <v>41057013002</v>
      </c>
      <c r="C2" s="2452"/>
      <c r="D2" s="2452"/>
      <c r="E2" s="2452"/>
      <c r="F2" s="2452"/>
      <c r="G2" s="2452"/>
      <c r="H2" s="2452"/>
      <c r="I2" s="2452"/>
      <c r="J2" s="1406"/>
    </row>
    <row r="3" spans="2:10" s="317" customFormat="1" ht="12.75" customHeight="1" x14ac:dyDescent="0.2">
      <c r="B3" s="2453" t="s">
        <v>1285</v>
      </c>
      <c r="C3" s="2454"/>
      <c r="D3" s="2454"/>
      <c r="E3" s="2454"/>
      <c r="F3" s="2454"/>
      <c r="G3" s="2454"/>
      <c r="H3" s="2454"/>
      <c r="I3" s="2454"/>
      <c r="J3" s="1407"/>
    </row>
    <row r="4" spans="2:10" s="317" customFormat="1" ht="12.75" customHeight="1" x14ac:dyDescent="0.2">
      <c r="B4" s="2453" t="str">
        <f>'Single Audit Cover'!A4</f>
        <v>Year Ending June 30, 2019</v>
      </c>
      <c r="C4" s="2454"/>
      <c r="D4" s="2454"/>
      <c r="E4" s="2454"/>
      <c r="F4" s="2454"/>
      <c r="G4" s="2454"/>
      <c r="H4" s="2454"/>
      <c r="I4" s="245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3" t="s">
        <v>1284</v>
      </c>
      <c r="C7" s="2454"/>
      <c r="D7" s="2454"/>
      <c r="E7" s="2454"/>
      <c r="F7" s="2454"/>
      <c r="G7" s="2454"/>
      <c r="H7" s="2454"/>
      <c r="I7" s="245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5" t="s">
        <v>2099</v>
      </c>
      <c r="D11" s="245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6" t="s">
        <v>2100</v>
      </c>
      <c r="E29" s="2456"/>
      <c r="F29" s="2456"/>
      <c r="G29" s="2456"/>
      <c r="H29" s="2456"/>
      <c r="I29" s="245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57" t="s">
        <v>1748</v>
      </c>
      <c r="D37" s="2458"/>
      <c r="E37" s="2458"/>
      <c r="F37" s="2459"/>
      <c r="G37" s="2457" t="s">
        <v>1592</v>
      </c>
      <c r="H37" s="2458"/>
      <c r="I37" s="2459"/>
    </row>
    <row r="38" spans="2:9" ht="16.5" customHeight="1" x14ac:dyDescent="0.2">
      <c r="B38" s="1428" t="s">
        <v>2152</v>
      </c>
      <c r="C38" s="2445" t="s">
        <v>2154</v>
      </c>
      <c r="D38" s="2446"/>
      <c r="E38" s="2446"/>
      <c r="F38" s="2447"/>
      <c r="G38" s="2460">
        <v>510923</v>
      </c>
      <c r="H38" s="2461"/>
      <c r="I38" s="2462"/>
    </row>
    <row r="39" spans="2:9" ht="16.5" customHeight="1" x14ac:dyDescent="0.2">
      <c r="B39" s="1428"/>
      <c r="C39" s="2445"/>
      <c r="D39" s="2446"/>
      <c r="E39" s="2446"/>
      <c r="F39" s="2447"/>
      <c r="G39" s="2448"/>
      <c r="H39" s="2448"/>
      <c r="I39" s="2448"/>
    </row>
    <row r="40" spans="2:9" ht="16.5" customHeight="1" x14ac:dyDescent="0.2">
      <c r="B40" s="1428"/>
      <c r="C40" s="2445"/>
      <c r="D40" s="2446"/>
      <c r="E40" s="2446"/>
      <c r="F40" s="2447"/>
      <c r="G40" s="2448"/>
      <c r="H40" s="2448"/>
      <c r="I40" s="2448"/>
    </row>
    <row r="41" spans="2:9" ht="16.5" customHeight="1" x14ac:dyDescent="0.2">
      <c r="B41" s="1428"/>
      <c r="C41" s="2445"/>
      <c r="D41" s="2446"/>
      <c r="E41" s="2446"/>
      <c r="F41" s="2447"/>
      <c r="G41" s="2448"/>
      <c r="H41" s="2448"/>
      <c r="I41" s="2448"/>
    </row>
    <row r="42" spans="2:9" ht="16.5" customHeight="1" x14ac:dyDescent="0.2">
      <c r="B42" s="1428"/>
      <c r="C42" s="2445"/>
      <c r="D42" s="2446"/>
      <c r="E42" s="2446"/>
      <c r="F42" s="2447"/>
      <c r="G42" s="2448"/>
      <c r="H42" s="2448"/>
      <c r="I42" s="2448"/>
    </row>
    <row r="43" spans="2:9" ht="16.5" customHeight="1" x14ac:dyDescent="0.2">
      <c r="B43" s="1428"/>
      <c r="C43" s="2463" t="s">
        <v>1593</v>
      </c>
      <c r="D43" s="2464"/>
      <c r="E43" s="2464"/>
      <c r="F43" s="2465"/>
      <c r="G43" s="2466">
        <f>SUM(G38:I42)</f>
        <v>510923</v>
      </c>
      <c r="H43" s="2466"/>
      <c r="I43" s="2466"/>
    </row>
    <row r="44" spans="2:9" ht="12.75" customHeight="1" x14ac:dyDescent="0.2"/>
    <row r="45" spans="2:9" ht="12.75" customHeight="1" x14ac:dyDescent="0.2">
      <c r="B45" s="1419" t="s">
        <v>1838</v>
      </c>
      <c r="D45" s="2467">
        <v>1231907</v>
      </c>
      <c r="E45" s="2468"/>
    </row>
    <row r="46" spans="2:9" ht="5.25" customHeight="1" x14ac:dyDescent="0.2">
      <c r="B46" s="1429"/>
      <c r="D46" s="1430"/>
      <c r="E46" s="1431"/>
    </row>
    <row r="47" spans="2:9" ht="12.75" customHeight="1" x14ac:dyDescent="0.2">
      <c r="B47" s="1297" t="s">
        <v>1594</v>
      </c>
      <c r="C47" s="1297"/>
      <c r="D47" s="1432">
        <f>+G43/D45</f>
        <v>0.41474153487235643</v>
      </c>
      <c r="E47" s="1433"/>
      <c r="F47" s="1434"/>
      <c r="I47" s="1435"/>
    </row>
    <row r="48" spans="2:9" ht="9.9499999999999993" customHeight="1" x14ac:dyDescent="0.2"/>
    <row r="49" spans="1:9" x14ac:dyDescent="0.2">
      <c r="B49" s="1365" t="s">
        <v>1273</v>
      </c>
      <c r="C49" s="1279"/>
      <c r="D49" s="1279"/>
      <c r="E49" s="2469">
        <v>750000</v>
      </c>
      <c r="F49" s="2469"/>
      <c r="G49" s="2469"/>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customSheetViews>
    <customSheetView guid="{58008B32-E4E8-4E32-8B1E-F6CE50059F4A}" scale="110" showGridLines="0">
      <selection activeCell="D46" sqref="D46"/>
      <pageMargins left="0.75" right="0.75" top="0.75" bottom="0.5" header="0.5" footer="0.5"/>
      <printOptions horizontalCentered="1"/>
      <pageSetup scale="88" firstPageNumber="40"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GridLines="0" printArea="1">
      <selection activeCell="D46" sqref="D46"/>
      <pageMargins left="0.75" right="0.75" top="0.75" bottom="0.5" header="0.5" footer="0.5"/>
      <printOptions horizontalCentered="1"/>
      <pageSetup scale="88" firstPageNumber="40"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topLeftCell="A13">
      <selection activeCell="D46" sqref="D46"/>
      <pageMargins left="0.75" right="0.75" top="0.75" bottom="0.5" header="0.5" footer="0.5"/>
      <printOptions horizontalCentered="1"/>
      <pageSetup scale="88" firstPageNumber="40" orientation="portrait" r:id="rId3"/>
      <headerFooter>
        <oddHeader xml:space="preserve">&amp;C&amp;"Times New Roman,Regular"
</oddHead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0.75" bottom="0.5" header="0.5" footer="0.5"/>
  <pageSetup scale="88" firstPageNumber="40" orientation="portrait" r:id="rId4"/>
  <headerFooter>
    <oddHeader xml:space="preserve">&amp;C&amp;"Times New Roman,Regular"
</oddHeader>
    <oddFooter>&amp;C&amp;"Times New Roman,Regular"See Independent Auditor's Reports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9" t="str">
        <f>'Single Audit Cover'!A7</f>
        <v>East Alton SD 13</v>
      </c>
      <c r="C1" s="2449"/>
      <c r="D1" s="2449"/>
      <c r="E1" s="2449"/>
      <c r="F1" s="2449"/>
      <c r="G1" s="2449"/>
      <c r="H1" s="2449"/>
      <c r="I1" s="2449"/>
      <c r="J1" s="2449"/>
      <c r="K1" s="2449"/>
      <c r="L1" s="1371"/>
      <c r="M1" s="1371"/>
    </row>
    <row r="2" spans="1:13" ht="12" customHeight="1" x14ac:dyDescent="0.2">
      <c r="B2" s="2451">
        <f>'Single Audit Cover'!E7</f>
        <v>41057013002</v>
      </c>
      <c r="C2" s="2451"/>
      <c r="D2" s="2451"/>
      <c r="E2" s="2451"/>
      <c r="F2" s="2451"/>
      <c r="G2" s="2451"/>
      <c r="H2" s="2451"/>
      <c r="I2" s="2451"/>
      <c r="J2" s="2451"/>
      <c r="K2" s="2451"/>
      <c r="L2" s="1372"/>
      <c r="M2" s="1373"/>
    </row>
    <row r="3" spans="1:13" ht="10.35" customHeight="1" x14ac:dyDescent="0.2">
      <c r="B3" s="2472" t="s">
        <v>1285</v>
      </c>
      <c r="C3" s="2472"/>
      <c r="D3" s="2472"/>
      <c r="E3" s="2472"/>
      <c r="F3" s="2472"/>
      <c r="G3" s="2472"/>
      <c r="H3" s="2472"/>
      <c r="I3" s="2472"/>
      <c r="J3" s="2472"/>
      <c r="K3" s="2472"/>
      <c r="L3" s="1374"/>
      <c r="M3" s="1374"/>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3" t="s">
        <v>1296</v>
      </c>
      <c r="C7" s="2473"/>
      <c r="D7" s="2474"/>
      <c r="E7" s="2474"/>
      <c r="F7" s="2474"/>
      <c r="G7" s="2474"/>
      <c r="H7" s="2474"/>
      <c r="I7" s="2474"/>
      <c r="J7" s="2474"/>
      <c r="K7" s="247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1" t="s">
        <v>2078</v>
      </c>
      <c r="C14" s="2471"/>
      <c r="D14" s="2471"/>
      <c r="E14" s="2471"/>
      <c r="F14" s="2471"/>
      <c r="G14" s="2471"/>
      <c r="H14" s="2471"/>
      <c r="I14" s="2471"/>
      <c r="J14" s="2471"/>
      <c r="K14" s="247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1"/>
      <c r="C17" s="2471"/>
      <c r="D17" s="2471"/>
      <c r="E17" s="2471"/>
      <c r="F17" s="2471"/>
      <c r="G17" s="2471"/>
      <c r="H17" s="2471"/>
      <c r="I17" s="2471"/>
      <c r="J17" s="2471"/>
      <c r="K17" s="2471"/>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5"/>
      <c r="C20" s="2475"/>
      <c r="D20" s="2471"/>
      <c r="E20" s="2471"/>
      <c r="F20" s="2471"/>
      <c r="G20" s="2471"/>
      <c r="H20" s="2471"/>
      <c r="I20" s="2471"/>
      <c r="J20" s="2471"/>
      <c r="K20" s="247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1"/>
      <c r="C23" s="2471"/>
      <c r="D23" s="2471"/>
      <c r="E23" s="2471"/>
      <c r="F23" s="2471"/>
      <c r="G23" s="2471"/>
      <c r="H23" s="2471"/>
      <c r="I23" s="2471"/>
      <c r="J23" s="2471"/>
      <c r="K23" s="247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1"/>
      <c r="C26" s="2471"/>
      <c r="D26" s="2471"/>
      <c r="E26" s="2471"/>
      <c r="F26" s="2471"/>
      <c r="G26" s="2471"/>
      <c r="H26" s="2471"/>
      <c r="I26" s="2471"/>
      <c r="J26" s="2471"/>
      <c r="K26" s="247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0"/>
      <c r="C29" s="2470"/>
      <c r="D29" s="2471"/>
      <c r="E29" s="2471"/>
      <c r="F29" s="2471"/>
      <c r="G29" s="2471"/>
      <c r="H29" s="2471"/>
      <c r="I29" s="2471"/>
      <c r="J29" s="2471"/>
      <c r="K29" s="247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0"/>
      <c r="C32" s="2470"/>
      <c r="D32" s="2471"/>
      <c r="E32" s="2471"/>
      <c r="F32" s="2471"/>
      <c r="G32" s="2471"/>
      <c r="H32" s="2471"/>
      <c r="I32" s="2471"/>
      <c r="J32" s="2471"/>
      <c r="K32" s="247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customSheetViews>
    <customSheetView guid="{58008B32-E4E8-4E32-8B1E-F6CE50059F4A}" scale="110" showGridLines="0">
      <selection activeCell="B15" sqref="B15"/>
      <pageMargins left="0.75" right="0.75" top="0.75" bottom="0.5" header="0.5" footer="0.5"/>
      <printOptions horizontalCentered="1"/>
      <pageSetup scale="89" firstPageNumber="41"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GridLines="0">
      <selection activeCell="B15" sqref="B15"/>
      <pageMargins left="0.75" right="0.75" top="0.75" bottom="0.5" header="0.5" footer="0.5"/>
      <printOptions horizontalCentered="1"/>
      <pageSetup scale="89" firstPageNumber="41"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selection activeCell="B15" sqref="B15"/>
      <pageMargins left="0.75" right="0.75" top="0.75" bottom="0.5" header="0.5" footer="0.5"/>
      <printOptions horizontalCentered="1"/>
      <pageSetup scale="89" firstPageNumber="41" orientation="portrait" r:id="rId3"/>
      <headerFooter>
        <oddHeader xml:space="preserve">&amp;C&amp;"Times New Roman,Regular"
</oddHead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4"/>
  <headerFooter>
    <oddHeader xml:space="preserve">&amp;C&amp;"Times New Roman,Regular"
</oddHeader>
    <oddFooter>&amp;C&amp;"Times New Roman,Regular"See Independent Auditor's Reports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6" t="str">
        <f>'Single Audit Cover'!A7</f>
        <v>East Alton SD 13</v>
      </c>
      <c r="C1" s="2476"/>
      <c r="D1" s="2476"/>
      <c r="E1" s="2476"/>
      <c r="F1" s="2476"/>
      <c r="G1" s="2476"/>
      <c r="H1" s="2476"/>
      <c r="I1" s="2476"/>
      <c r="J1" s="2476"/>
      <c r="K1" s="2476"/>
      <c r="L1" s="1449"/>
    </row>
    <row r="2" spans="1:12" ht="12.75" customHeight="1" x14ac:dyDescent="0.2">
      <c r="B2" s="2477">
        <f>'Single Audit Cover'!E7</f>
        <v>41057013002</v>
      </c>
      <c r="C2" s="2477"/>
      <c r="D2" s="2477"/>
      <c r="E2" s="2477"/>
      <c r="F2" s="2477"/>
      <c r="G2" s="2477"/>
      <c r="H2" s="2477"/>
      <c r="I2" s="2477"/>
      <c r="J2" s="2477"/>
      <c r="K2" s="2477"/>
      <c r="L2" s="1450"/>
    </row>
    <row r="3" spans="1:12" ht="12.75" customHeight="1" x14ac:dyDescent="0.2">
      <c r="B3" s="2472" t="s">
        <v>1285</v>
      </c>
      <c r="C3" s="2472"/>
      <c r="D3" s="2472"/>
      <c r="E3" s="2472"/>
      <c r="F3" s="2472"/>
      <c r="G3" s="2472"/>
      <c r="H3" s="2472"/>
      <c r="I3" s="2472"/>
      <c r="J3" s="2472"/>
      <c r="K3" s="2472"/>
      <c r="L3" s="1374"/>
    </row>
    <row r="4" spans="1:12" ht="12.75" customHeight="1" x14ac:dyDescent="0.2">
      <c r="B4" s="2472" t="str">
        <f>'Single Audit Cover'!A4</f>
        <v>Year Ending June 30, 2019</v>
      </c>
      <c r="C4" s="2472"/>
      <c r="D4" s="2472"/>
      <c r="E4" s="2472"/>
      <c r="F4" s="2472"/>
      <c r="G4" s="2472"/>
      <c r="H4" s="2472"/>
      <c r="I4" s="2472"/>
      <c r="J4" s="2472"/>
      <c r="K4" s="2472"/>
      <c r="L4" s="1374"/>
    </row>
    <row r="5" spans="1:12" ht="5.25" customHeight="1" x14ac:dyDescent="0.2">
      <c r="B5" s="1257" t="s">
        <v>1169</v>
      </c>
      <c r="C5" s="1257"/>
      <c r="L5" s="322"/>
    </row>
    <row r="6" spans="1:12" ht="30.75" customHeight="1" x14ac:dyDescent="0.2">
      <c r="A6" s="322"/>
      <c r="B6" s="2478" t="s">
        <v>1308</v>
      </c>
      <c r="C6" s="2478"/>
      <c r="D6" s="2478"/>
      <c r="E6" s="2478"/>
      <c r="F6" s="2478"/>
      <c r="G6" s="2478"/>
      <c r="H6" s="2478"/>
      <c r="I6" s="2478"/>
      <c r="J6" s="2478"/>
      <c r="K6" s="247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6"/>
      <c r="G12" s="2456"/>
      <c r="H12" s="2456"/>
      <c r="I12" s="2456"/>
      <c r="J12" s="2456"/>
      <c r="K12" s="245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1" t="s">
        <v>2078</v>
      </c>
      <c r="C20" s="2471"/>
      <c r="D20" s="2471"/>
      <c r="E20" s="2471"/>
      <c r="F20" s="2471"/>
      <c r="G20" s="2471"/>
      <c r="H20" s="2471"/>
      <c r="I20" s="2471"/>
      <c r="J20" s="2471"/>
      <c r="K20" s="247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customSheetViews>
    <customSheetView guid="{58008B32-E4E8-4E32-8B1E-F6CE50059F4A}" scale="110" showGridLines="0">
      <selection activeCell="B21" sqref="B21"/>
      <pageMargins left="0.75" right="0.75" top="1.25" bottom="0.5" header="0.5" footer="0.5"/>
      <printOptions horizontalCentered="1"/>
      <pageSetup scale="90" firstPageNumber="42"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GridLines="0" printArea="1">
      <selection activeCell="B21" sqref="B21"/>
      <pageMargins left="0.75" right="0.75" top="1.25" bottom="0.5" header="0.5" footer="0.5"/>
      <printOptions horizontalCentered="1"/>
      <pageSetup scale="90" firstPageNumber="42"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selection activeCell="B21" sqref="B21"/>
      <pageMargins left="0.75" right="0.75" top="1.25" bottom="0.5" header="0.5" footer="0.5"/>
      <printOptions horizontalCentered="1"/>
      <pageSetup scale="90" firstPageNumber="42" orientation="portrait" r:id="rId3"/>
      <headerFooter>
        <oddHeader xml:space="preserve">&amp;C&amp;"Times New Roman,Regular"
</oddHead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25" bottom="0.5" header="0.5" footer="0.5"/>
  <pageSetup scale="90" firstPageNumber="42" orientation="portrait" r:id="rId4"/>
  <headerFooter>
    <oddHeader xml:space="preserve">&amp;C&amp;"Times New Roman,Regular"
</oddHeader>
    <oddFooter>&amp;C&amp;"Times New Roman,Regular"See Independent Auditor's Reports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9" sqref="C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49" t="str">
        <f>'Single Audit Cover'!A7</f>
        <v>East Alton SD 13</v>
      </c>
      <c r="C1" s="2449"/>
      <c r="D1" s="2449"/>
      <c r="E1" s="1469"/>
    </row>
    <row r="2" spans="2:5" s="1279" customFormat="1" ht="12.75" customHeight="1" x14ac:dyDescent="0.2">
      <c r="B2" s="2451">
        <f>'Single Audit Cover'!E7</f>
        <v>41057013002</v>
      </c>
      <c r="C2" s="2451"/>
      <c r="D2" s="2451"/>
      <c r="E2" s="1470"/>
    </row>
    <row r="3" spans="2:5" ht="12.75" customHeight="1" x14ac:dyDescent="0.2">
      <c r="B3" s="2472" t="s">
        <v>1763</v>
      </c>
      <c r="C3" s="2472"/>
      <c r="D3" s="2472"/>
      <c r="E3" s="1271"/>
    </row>
    <row r="4" spans="2:5" s="1279" customFormat="1" ht="12.75" customHeight="1" x14ac:dyDescent="0.2">
      <c r="B4" s="2482" t="str">
        <f>'Single Audit Cover'!A4</f>
        <v>Year Ending June 30, 2019</v>
      </c>
      <c r="C4" s="2482"/>
      <c r="D4" s="2482"/>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2078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customSheetViews>
    <customSheetView guid="{58008B32-E4E8-4E32-8B1E-F6CE50059F4A}" scale="110" showGridLines="0">
      <selection activeCell="C12" sqref="C12"/>
      <pageMargins left="0.75" right="0.75" top="1" bottom="0.5" header="0.5" footer="0.5"/>
      <printOptions horizontalCentered="1"/>
      <pageSetup scale="90" firstPageNumber="43" orientation="portrait" r:id="rId1"/>
      <headerFooter>
        <oddHeader xml:space="preserve">&amp;C&amp;"Times New Roman,Regular"
</oddHeader>
        <oddFooter>&amp;C&amp;"Times New Roman,Regular"See Independent Auditor's Reports
&amp;P</oddFooter>
      </headerFooter>
    </customSheetView>
    <customSheetView guid="{D43C6297-AC1B-41E2-A8C4-03E94593B8FB}" scale="110" showGridLines="0">
      <selection activeCell="C29" sqref="C29"/>
      <pageMargins left="0.75" right="0.75" top="1" bottom="0.5" header="0.5" footer="0.5"/>
      <printOptions horizontalCentered="1"/>
      <pageSetup scale="90" firstPageNumber="43" orientation="portrait" r:id="rId2"/>
      <headerFooter>
        <oddHeader xml:space="preserve">&amp;C&amp;"Times New Roman,Regular"
</oddHeader>
        <oddFooter>&amp;C&amp;"Times New Roman,Regular"See Independent Auditor's Reports
&amp;P</oddFooter>
      </headerFooter>
    </customSheetView>
    <customSheetView guid="{1CEE81F4-A6A8-4CF6-96C8-1AACCC28872D}" scale="110" showGridLines="0">
      <selection activeCell="C29" sqref="C29"/>
      <pageMargins left="0.75" right="0.75" top="1" bottom="0.5" header="0.5" footer="0.5"/>
      <printOptions horizontalCentered="1"/>
      <pageSetup scale="90" firstPageNumber="43" orientation="portrait" r:id="rId3"/>
      <headerFooter>
        <oddHeader xml:space="preserve">&amp;C&amp;"Times New Roman,Regular"
</oddHead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4"/>
  <headerFooter>
    <oddHeader xml:space="preserve">&amp;C&amp;"Times New Roman,Regular"
</oddHeader>
    <oddFooter>&amp;C&amp;"Times New Roman,Regular"See Independent Auditor's Reports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M32" sqref="M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61217692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1.6070999999999998E-2</v>
      </c>
      <c r="E10" s="356" t="s">
        <v>1005</v>
      </c>
      <c r="F10" s="355">
        <v>4.8700000000000002E-3</v>
      </c>
      <c r="G10" s="356" t="s">
        <v>1005</v>
      </c>
      <c r="H10" s="355">
        <v>1.1689999999999999E-3</v>
      </c>
      <c r="I10" s="356" t="s">
        <v>1006</v>
      </c>
      <c r="J10" s="1732">
        <f>ROUND(D10+F10+H10,5)</f>
        <v>2.2110000000000001E-2</v>
      </c>
      <c r="K10" s="222"/>
      <c r="L10" s="355">
        <v>4.8700000000000002E-4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9063966</v>
      </c>
      <c r="E16" s="356"/>
      <c r="F16" s="1733">
        <f>SUM('Acct Summary 7-8'!C17,'Acct Summary 7-8'!D17,'Acct Summary 7-8'!F17)</f>
        <v>8460977</v>
      </c>
      <c r="G16" s="356"/>
      <c r="H16" s="1733">
        <f>SUM(D16-F16)</f>
        <v>602989</v>
      </c>
      <c r="I16" s="222"/>
      <c r="J16" s="1733">
        <f>SUM('Acct Summary 7-8'!C81,'Acct Summary 7-8'!D81,'Acct Summary 7-8'!F81,'Acct Summary 7-8'!I81)</f>
        <v>2736547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4224020.7480000006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4367583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customSheetViews>
    <customSheetView guid="{58008B32-E4E8-4E32-8B1E-F6CE50059F4A}" scale="110" colorId="8" showGridLines="0" hiddenRows="1" topLeftCell="A4">
      <selection activeCell="M32" sqref="M32"/>
      <pageMargins left="0.75" right="0.75" top="1" bottom="0.5" header="0.5" footer="0.5"/>
      <printOptions horizontalCentered="1"/>
      <pageSetup scale="90" firstPageNumber="3" orientation="portrait" r:id="rId1"/>
      <headerFooter>
        <oddHeader>&amp;C&amp;"Times New Roman,Regular"EAST ALTON ELEMENTARY SCHOOL DISTRICT NO. 13</oddHeader>
        <oddFooter>&amp;C&amp;"Times New Roman,Regular"
&amp;P</oddFooter>
      </headerFooter>
    </customSheetView>
    <customSheetView guid="{D43C6297-AC1B-41E2-A8C4-03E94593B8FB}" scale="110" colorId="8" showGridLines="0" hiddenRows="1" topLeftCell="A4">
      <selection activeCell="M32" sqref="M32"/>
      <pageMargins left="0.75" right="0.75" top="1" bottom="0.5" header="0.5" footer="0.5"/>
      <printOptions horizontalCentered="1"/>
      <pageSetup scale="90" firstPageNumber="3" orientation="portrait" r:id="rId2"/>
      <headerFooter>
        <oddHeader>&amp;C&amp;"Times New Roman,Regular"EAST ALTON ELEMENTARY SCHOOL DISTRICT NO. 13</oddHeader>
        <oddFooter>&amp;C&amp;"Times New Roman,Regular"
&amp;P</oddFooter>
      </headerFooter>
    </customSheetView>
    <customSheetView guid="{1CEE81F4-A6A8-4CF6-96C8-1AACCC28872D}" scale="110" colorId="8" showGridLines="0" hiddenRows="1" topLeftCell="A4">
      <selection activeCell="M32" sqref="M32"/>
      <pageMargins left="0.75" right="0.75" top="1" bottom="0.5" header="0.5" footer="0.5"/>
      <printOptions horizontalCentered="1"/>
      <pageSetup scale="90" firstPageNumber="3" orientation="portrait" r:id="rId3"/>
      <headerFooter>
        <oddHeader>&amp;C&amp;"Times New Roman,Regular"EAST ALTON ELEMENTARY SCHOOL DISTRICT NO. 13</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4"/>
  <headerFooter>
    <oddHeader>&amp;C&amp;"Times New Roman,Regular"EAST ALTON ELEMENTARY SCHOOL DISTRICT NO. 13</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86" zoomScaleNormal="86" zoomScaleSheetLayoutView="91" workbookViewId="0">
      <selection activeCell="F38" sqref="F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 Alton SD 13</v>
      </c>
      <c r="E7" s="391"/>
      <c r="G7" s="252"/>
      <c r="H7" s="387"/>
      <c r="I7" s="387"/>
      <c r="J7" s="387"/>
      <c r="K7" s="387"/>
      <c r="L7" s="329"/>
      <c r="M7" s="329"/>
      <c r="N7" s="329"/>
      <c r="O7" s="329"/>
      <c r="P7" s="329"/>
    </row>
    <row r="8" spans="1:18" ht="12.75" x14ac:dyDescent="0.2">
      <c r="A8" s="329"/>
      <c r="B8" s="329"/>
      <c r="C8" s="389" t="s">
        <v>1125</v>
      </c>
      <c r="D8" s="392">
        <f>COVER!A13</f>
        <v>41057013002</v>
      </c>
      <c r="E8" s="393"/>
      <c r="G8" s="329"/>
      <c r="H8" s="329"/>
      <c r="I8" s="329"/>
      <c r="J8" s="329"/>
      <c r="K8" s="329"/>
      <c r="L8" s="329"/>
      <c r="M8" s="329"/>
      <c r="N8" s="329"/>
      <c r="O8" s="329"/>
      <c r="P8" s="329"/>
    </row>
    <row r="9" spans="1:18" ht="12.75" x14ac:dyDescent="0.2">
      <c r="A9" s="329"/>
      <c r="B9" s="329"/>
      <c r="C9" s="389" t="s">
        <v>713</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2736547</v>
      </c>
      <c r="I12" s="404"/>
      <c r="J12" s="404"/>
      <c r="K12" s="405">
        <f>TRUNC((H12/H13*100000),5)/100000</f>
        <v>0.30271651459999999</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7-8'!C8+'Acct Summary 7-8'!D8+'Acct Summary 7-8'!F8+'Acct Summary 7-8'!I8)+H14</f>
        <v>9039966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-24000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8460977</v>
      </c>
      <c r="I17" s="404"/>
      <c r="J17" s="416"/>
      <c r="K17" s="405">
        <f>TRUNC((H17/H18*100000),5)/100000</f>
        <v>0.93595230330000001</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7-8'!C8+'Acct Summary 7-8'!D8+'Acct Summary 7-8'!F8+'Acct Summary 7-8'!I8)+H19</f>
        <v>9039966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-24000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4" t="s">
        <v>1412</v>
      </c>
      <c r="D24" s="2094"/>
      <c r="E24" s="218"/>
      <c r="F24" s="218" t="s">
        <v>445</v>
      </c>
      <c r="G24" s="402"/>
      <c r="H24" s="403">
        <f>SUM('Assets-Liab 5-6'!C4+'Assets-Liab 5-6'!D4+'Assets-Liab 5-6'!F4+'Assets-Liab 5-6'!I4+'Assets-Liab 5-6'!C5+'Assets-Liab 5-6'!D5+'Assets-Liab 5-6'!F5+'Assets-Liab 5-6'!I5)</f>
        <v>2466547</v>
      </c>
      <c r="I24" s="422"/>
      <c r="J24" s="422"/>
      <c r="K24" s="423">
        <f>TRUNC(((H24/H25*100000)/100000),2)</f>
        <v>104.94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23502.713889999999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1150494.6946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4367583</v>
      </c>
      <c r="I32" s="420"/>
      <c r="J32" s="420"/>
      <c r="K32" s="423">
        <f>TRUNC(100-((((H32/H33*100))*100)/100),2)</f>
        <v>-3.39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4224020.7480000006</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customSheetViews>
    <customSheetView guid="{58008B32-E4E8-4E32-8B1E-F6CE50059F4A}" scale="86" showGridLines="0" hiddenColumns="1">
      <selection activeCell="F38" sqref="F38"/>
      <pageMargins left="0.75" right="0.75" top="1" bottom="0.5" header="0.5" footer="0.5"/>
      <printOptions horizontalCentered="1"/>
      <pageSetup scale="75" firstPageNumber="4" orientation="landscape" r:id="rId1"/>
      <headerFooter>
        <oddHeader>&amp;C&amp;"Times New Roman,Regular"EAST ALTON ELEMENTARY SCHOOL DISTRICT NO. 13</oddHeader>
        <oddFooter>&amp;C&amp;"Times New Roman,Regular"
&amp;P</oddFooter>
      </headerFooter>
    </customSheetView>
    <customSheetView guid="{D43C6297-AC1B-41E2-A8C4-03E94593B8FB}" scale="86" showGridLines="0" hiddenColumns="1">
      <selection activeCell="F38" sqref="F38"/>
      <pageMargins left="0.75" right="0.75" top="1" bottom="0.5" header="0.5" footer="0.5"/>
      <printOptions horizontalCentered="1"/>
      <pageSetup scale="75" firstPageNumber="4" orientation="landscape" r:id="rId2"/>
      <headerFooter>
        <oddHeader>&amp;C&amp;"Times New Roman,Regular"EAST ALTON ELEMENTARY SCHOOL DISTRICT NO. 13</oddHeader>
        <oddFooter>&amp;C&amp;"Times New Roman,Regular"
&amp;P</oddFooter>
      </headerFooter>
    </customSheetView>
    <customSheetView guid="{1CEE81F4-A6A8-4CF6-96C8-1AACCC28872D}" scale="86" showGridLines="0" hiddenColumns="1">
      <selection activeCell="F38" sqref="F38"/>
      <pageMargins left="0.75" right="0.75" top="1" bottom="0.5" header="0.5" footer="0.5"/>
      <printOptions horizontalCentered="1"/>
      <pageSetup scale="75" firstPageNumber="4" orientation="landscape" r:id="rId3"/>
      <headerFooter>
        <oddHeader>&amp;C&amp;"Times New Roman,Regular"EAST ALTON ELEMENTARY SCHOOL DISTRICT NO. 13</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4" display="www.isbe.net/sfms/p/profile.htm" xr:uid="{00000000-0004-0000-0400-000000000000}"/>
    <hyperlink ref="A4:R4" r:id="rId5" display="https://www.isbe.net/Pages/School-District-Financial-Profile.aspx" xr:uid="{00000000-0004-0000-0400-000001000000}"/>
  </hyperlinks>
  <printOptions horizontalCentered="1"/>
  <pageMargins left="0.75" right="0.75" top="1" bottom="0.5" header="0.5" footer="0.5"/>
  <pageSetup scale="75" firstPageNumber="4" orientation="landscape" r:id="rId6"/>
  <headerFooter>
    <oddHeader>&amp;C&amp;"Times New Roman,Regular"EAST ALTON ELEMENTARY SCHOOL DISTRICT NO. 13</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6" activePane="bottomLeft" state="frozen"/>
      <selection activeCell="V29" sqref="V29"/>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9"/>
      <c r="D3" s="1560"/>
      <c r="E3" s="1560"/>
      <c r="F3" s="1560"/>
      <c r="G3" s="1560"/>
      <c r="H3" s="1560"/>
      <c r="I3" s="1560"/>
      <c r="J3" s="1560"/>
      <c r="K3" s="1560"/>
      <c r="L3" s="1560"/>
      <c r="M3" s="1561"/>
      <c r="N3" s="1562"/>
    </row>
    <row r="4" spans="1:14" ht="13.5" customHeight="1" x14ac:dyDescent="0.2">
      <c r="A4" s="463" t="s">
        <v>1651</v>
      </c>
      <c r="B4" s="464"/>
      <c r="C4" s="465">
        <v>833311</v>
      </c>
      <c r="D4" s="466">
        <v>374148</v>
      </c>
      <c r="E4" s="466">
        <v>93</v>
      </c>
      <c r="F4" s="466">
        <v>84668</v>
      </c>
      <c r="G4" s="466">
        <v>115436</v>
      </c>
      <c r="H4" s="466">
        <v>888</v>
      </c>
      <c r="I4" s="466">
        <v>1174420</v>
      </c>
      <c r="J4" s="467">
        <v>43620</v>
      </c>
      <c r="K4" s="466">
        <v>12</v>
      </c>
      <c r="L4" s="466">
        <v>42320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270000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833311</v>
      </c>
      <c r="D13" s="1737">
        <f t="shared" ref="D13:L13" si="0">SUM(D4:D12)</f>
        <v>374148</v>
      </c>
      <c r="E13" s="1737">
        <f t="shared" si="0"/>
        <v>93</v>
      </c>
      <c r="F13" s="1737">
        <f t="shared" si="0"/>
        <v>84668</v>
      </c>
      <c r="G13" s="1737">
        <f t="shared" si="0"/>
        <v>115436</v>
      </c>
      <c r="H13" s="1737">
        <f t="shared" si="0"/>
        <v>888</v>
      </c>
      <c r="I13" s="1737">
        <f t="shared" si="0"/>
        <v>1444420</v>
      </c>
      <c r="J13" s="1737">
        <f t="shared" si="0"/>
        <v>43620</v>
      </c>
      <c r="K13" s="1737">
        <f t="shared" si="0"/>
        <v>12</v>
      </c>
      <c r="L13" s="1737">
        <f t="shared" si="0"/>
        <v>42320</v>
      </c>
      <c r="M13" s="468"/>
      <c r="N13" s="469"/>
    </row>
    <row r="14" spans="1:14" ht="18" customHeight="1" thickTop="1" x14ac:dyDescent="0.2">
      <c r="A14" s="2106" t="s">
        <v>147</v>
      </c>
      <c r="B14" s="210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100686</v>
      </c>
      <c r="N16" s="484"/>
    </row>
    <row r="17" spans="1:14" s="485" customFormat="1" ht="12.75" customHeight="1" x14ac:dyDescent="0.2">
      <c r="A17" s="482" t="s">
        <v>1403</v>
      </c>
      <c r="B17" s="483">
        <v>230</v>
      </c>
      <c r="C17" s="477"/>
      <c r="D17" s="477"/>
      <c r="E17" s="477"/>
      <c r="F17" s="477"/>
      <c r="G17" s="477"/>
      <c r="H17" s="477"/>
      <c r="I17" s="477"/>
      <c r="J17" s="477"/>
      <c r="K17" s="477"/>
      <c r="L17" s="477"/>
      <c r="M17" s="467">
        <v>11690654</v>
      </c>
      <c r="N17" s="484"/>
    </row>
    <row r="18" spans="1:14" s="485" customFormat="1" ht="12.75" customHeight="1" x14ac:dyDescent="0.2">
      <c r="A18" s="482" t="s">
        <v>1404</v>
      </c>
      <c r="B18" s="483">
        <v>240</v>
      </c>
      <c r="C18" s="477"/>
      <c r="D18" s="477"/>
      <c r="E18" s="477"/>
      <c r="F18" s="477"/>
      <c r="G18" s="477"/>
      <c r="H18" s="477"/>
      <c r="I18" s="477"/>
      <c r="J18" s="477"/>
      <c r="K18" s="477"/>
      <c r="L18" s="477"/>
      <c r="M18" s="467">
        <v>3295725</v>
      </c>
      <c r="N18" s="484"/>
    </row>
    <row r="19" spans="1:14" s="485" customFormat="1" ht="12.75" customHeight="1" x14ac:dyDescent="0.2">
      <c r="A19" s="482" t="s">
        <v>1405</v>
      </c>
      <c r="B19" s="483">
        <v>250</v>
      </c>
      <c r="C19" s="477"/>
      <c r="D19" s="477"/>
      <c r="E19" s="477"/>
      <c r="F19" s="477"/>
      <c r="G19" s="477"/>
      <c r="H19" s="477"/>
      <c r="I19" s="477"/>
      <c r="J19" s="477"/>
      <c r="K19" s="477"/>
      <c r="L19" s="477"/>
      <c r="M19" s="467">
        <v>5064720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4367583</v>
      </c>
    </row>
    <row r="23" spans="1:14" ht="13.5" customHeight="1" thickBot="1" x14ac:dyDescent="0.25">
      <c r="A23" s="1736" t="s">
        <v>643</v>
      </c>
      <c r="B23" s="1741"/>
      <c r="C23" s="468"/>
      <c r="D23" s="468"/>
      <c r="E23" s="468"/>
      <c r="F23" s="468"/>
      <c r="G23" s="468"/>
      <c r="H23" s="468"/>
      <c r="I23" s="468"/>
      <c r="J23" s="468"/>
      <c r="K23" s="468"/>
      <c r="L23" s="468"/>
      <c r="M23" s="1688">
        <f>SUM(M15:M22)</f>
        <v>20151785</v>
      </c>
      <c r="N23" s="1688">
        <f>SUM(N21:N22)</f>
        <v>4367583</v>
      </c>
    </row>
    <row r="24" spans="1:14" ht="18" customHeight="1" thickTop="1" x14ac:dyDescent="0.2">
      <c r="A24" s="2108" t="s">
        <v>598</v>
      </c>
      <c r="B24" s="2109"/>
      <c r="C24" s="1568"/>
      <c r="D24" s="1565"/>
      <c r="E24" s="1565"/>
      <c r="F24" s="1565"/>
      <c r="G24" s="1565"/>
      <c r="H24" s="1565"/>
      <c r="I24" s="1565"/>
      <c r="J24" s="1565"/>
      <c r="K24" s="1565"/>
      <c r="L24" s="1565"/>
      <c r="M24" s="1564"/>
      <c r="N24" s="1569"/>
    </row>
    <row r="25" spans="1:14" x14ac:dyDescent="0.2">
      <c r="A25" s="473" t="s">
        <v>645</v>
      </c>
      <c r="B25" s="470">
        <v>410</v>
      </c>
      <c r="C25" s="478"/>
      <c r="D25" s="478"/>
      <c r="E25" s="478">
        <v>51600</v>
      </c>
      <c r="F25" s="478"/>
      <c r="G25" s="478"/>
      <c r="H25" s="479"/>
      <c r="I25" s="468"/>
      <c r="J25" s="478"/>
      <c r="K25" s="478">
        <v>218400</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42320</v>
      </c>
      <c r="M33" s="468"/>
      <c r="N33" s="469"/>
    </row>
    <row r="34" spans="1:14" ht="13.5" customHeight="1" thickBot="1" x14ac:dyDescent="0.25">
      <c r="A34" s="1738" t="s">
        <v>654</v>
      </c>
      <c r="B34" s="1739"/>
      <c r="C34" s="1740">
        <f>SUM(C25:C33)</f>
        <v>0</v>
      </c>
      <c r="D34" s="1740">
        <f t="shared" ref="D34:K34" si="1">SUM(D25:D33)</f>
        <v>0</v>
      </c>
      <c r="E34" s="1740">
        <f t="shared" si="1"/>
        <v>51600</v>
      </c>
      <c r="F34" s="1740">
        <f t="shared" si="1"/>
        <v>0</v>
      </c>
      <c r="G34" s="1740">
        <f t="shared" si="1"/>
        <v>0</v>
      </c>
      <c r="H34" s="1740">
        <f t="shared" si="1"/>
        <v>0</v>
      </c>
      <c r="I34" s="1740">
        <f t="shared" si="1"/>
        <v>0</v>
      </c>
      <c r="J34" s="1740">
        <f t="shared" si="1"/>
        <v>0</v>
      </c>
      <c r="K34" s="1740">
        <f t="shared" si="1"/>
        <v>218400</v>
      </c>
      <c r="L34" s="1721">
        <f>SUM(L33)</f>
        <v>42320</v>
      </c>
      <c r="M34" s="468"/>
      <c r="N34" s="480"/>
    </row>
    <row r="35" spans="1:14" ht="18" customHeight="1" thickTop="1" x14ac:dyDescent="0.2">
      <c r="A35" s="2110" t="s">
        <v>529</v>
      </c>
      <c r="B35" s="211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4367583</v>
      </c>
    </row>
    <row r="37" spans="1:14" ht="13.5" thickBot="1" x14ac:dyDescent="0.25">
      <c r="A37" s="1736" t="s">
        <v>653</v>
      </c>
      <c r="B37" s="1741"/>
      <c r="C37" s="477"/>
      <c r="D37" s="477"/>
      <c r="E37" s="477"/>
      <c r="F37" s="477"/>
      <c r="G37" s="477"/>
      <c r="H37" s="477"/>
      <c r="I37" s="477"/>
      <c r="J37" s="477"/>
      <c r="K37" s="477"/>
      <c r="L37" s="480"/>
      <c r="M37" s="468"/>
      <c r="N37" s="1688">
        <f>SUM(N36:N36)</f>
        <v>4367583</v>
      </c>
    </row>
    <row r="38" spans="1:14" s="329" customFormat="1" ht="13.5" customHeight="1" thickTop="1" x14ac:dyDescent="0.2">
      <c r="A38" s="496" t="s">
        <v>420</v>
      </c>
      <c r="B38" s="483">
        <v>714</v>
      </c>
      <c r="C38" s="466"/>
      <c r="D38" s="466"/>
      <c r="E38" s="466"/>
      <c r="F38" s="466"/>
      <c r="G38" s="466">
        <v>50799</v>
      </c>
      <c r="H38" s="466"/>
      <c r="I38" s="466"/>
      <c r="J38" s="467"/>
      <c r="K38" s="466"/>
      <c r="L38" s="481"/>
      <c r="M38" s="497"/>
      <c r="N38" s="497"/>
    </row>
    <row r="39" spans="1:14" s="329" customFormat="1" ht="13.5" customHeight="1" x14ac:dyDescent="0.2">
      <c r="A39" s="496" t="s">
        <v>342</v>
      </c>
      <c r="B39" s="483">
        <v>730</v>
      </c>
      <c r="C39" s="466">
        <v>833311</v>
      </c>
      <c r="D39" s="466">
        <v>374148</v>
      </c>
      <c r="E39" s="466">
        <v>-51507</v>
      </c>
      <c r="F39" s="466">
        <v>84668</v>
      </c>
      <c r="G39" s="466">
        <v>64637</v>
      </c>
      <c r="H39" s="466">
        <v>888</v>
      </c>
      <c r="I39" s="466">
        <v>1444420</v>
      </c>
      <c r="J39" s="467">
        <v>43620</v>
      </c>
      <c r="K39" s="466">
        <v>-218388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20151785</v>
      </c>
      <c r="N40" s="497"/>
    </row>
    <row r="41" spans="1:14" ht="13.5" customHeight="1" thickBot="1" x14ac:dyDescent="0.25">
      <c r="A41" s="1736" t="s">
        <v>655</v>
      </c>
      <c r="B41" s="1706"/>
      <c r="C41" s="1688">
        <f>(SUM(C34,C37,C38,C39))</f>
        <v>833311</v>
      </c>
      <c r="D41" s="1688">
        <f t="shared" ref="D41:L41" si="2">SUM(D34,D37,D38:D39)</f>
        <v>374148</v>
      </c>
      <c r="E41" s="1688">
        <f t="shared" si="2"/>
        <v>93</v>
      </c>
      <c r="F41" s="1688">
        <f t="shared" si="2"/>
        <v>84668</v>
      </c>
      <c r="G41" s="1688">
        <f t="shared" si="2"/>
        <v>115436</v>
      </c>
      <c r="H41" s="1688">
        <f t="shared" si="2"/>
        <v>888</v>
      </c>
      <c r="I41" s="1688">
        <f t="shared" si="2"/>
        <v>1444420</v>
      </c>
      <c r="J41" s="1688">
        <f t="shared" si="2"/>
        <v>43620</v>
      </c>
      <c r="K41" s="1688">
        <f t="shared" si="2"/>
        <v>12</v>
      </c>
      <c r="L41" s="1688">
        <f t="shared" si="2"/>
        <v>42320</v>
      </c>
      <c r="M41" s="1688">
        <f>SUM(M40)</f>
        <v>20151785</v>
      </c>
      <c r="N41" s="1688">
        <f>SUM(N37)</f>
        <v>4367583</v>
      </c>
    </row>
    <row r="42" spans="1:14" ht="13.5" thickTop="1" x14ac:dyDescent="0.2"/>
    <row r="43" spans="1:14" x14ac:dyDescent="0.2">
      <c r="A43" s="247"/>
      <c r="C43" s="503"/>
    </row>
    <row r="44" spans="1:14" x14ac:dyDescent="0.2">
      <c r="A44" s="247"/>
      <c r="C44" s="503"/>
    </row>
  </sheetData>
  <sheetProtection password="F60E" sheet="1" objects="1" scenarios="1"/>
  <customSheetViews>
    <customSheetView guid="{58008B32-E4E8-4E32-8B1E-F6CE50059F4A}" colorId="8" showGridLines="0">
      <pane ySplit="2" topLeftCell="A6" activePane="bottomLeft" state="frozen"/>
      <selection pane="bottomLeft" activeCell="L34" sqref="L34"/>
      <pageMargins left="0.75" right="0.75" top="1.5" bottom="0.5" header="0.5" footer="0.5"/>
      <printOptions horizontalCentered="1"/>
      <pageSetup scale="55" firstPageNumber="13" orientation="landscape" useFirstPageNumber="1" r:id="rId1"/>
      <headerFooter>
        <oddHeader>&amp;C&amp;"Times New Roman,Regular"EAST ALTON ELEMENTARY SCHOOL DISTRICT NO. 13
STATEMENT OF ASSETS AND LIABILITIES FROM CASH TRANSACTIONS - CASH - REGULATORY BASIS
ALL FUNDS AND ACCOUNT GROUPS
 JUNE 30, 2019</oddHeader>
        <oddFooter>&amp;C&amp;"Times New Roman,Regular"See Notes to Financial Statements and Independent Auditor's Reports
&amp;P</oddFooter>
      </headerFooter>
    </customSheetView>
    <customSheetView guid="{D43C6297-AC1B-41E2-A8C4-03E94593B8FB}" colorId="8" showGridLines="0">
      <pane ySplit="2" topLeftCell="A6" activePane="bottomLeft" state="frozen"/>
      <selection pane="bottomLeft" activeCell="L34" sqref="L34"/>
      <pageMargins left="0.75" right="0.75" top="1.5" bottom="0.5" header="0.5" footer="0.5"/>
      <printOptions horizontalCentered="1"/>
      <pageSetup scale="55" firstPageNumber="13" orientation="landscape" useFirstPageNumber="1" r:id="rId2"/>
      <headerFooter>
        <oddHeader>&amp;C&amp;"Times New Roman,Regular"EAST ALTON ELEMENTARY SCHOOL DISTRICT NO. 13
STATEMENT OF ASSETS AND LIABILITIES FROM CASH TRANSACTIONS - CASH - REGULATORY BASIS
ALL FUNDS AND ACCOUNT GROUPS
 JUNE 30, 2019</oddHeader>
        <oddFooter>&amp;C&amp;"Times New Roman,Regular"See Notes to Financial Statements and Independent Auditor's Reports
&amp;P</oddFooter>
      </headerFooter>
    </customSheetView>
    <customSheetView guid="{1CEE81F4-A6A8-4CF6-96C8-1AACCC28872D}" colorId="8" showGridLines="0">
      <pane ySplit="2" topLeftCell="A6" activePane="bottomLeft" state="frozen"/>
      <selection pane="bottomLeft" activeCell="L34" sqref="L34"/>
      <pageMargins left="0.75" right="0.75" top="1.5" bottom="0.5" header="0.5" footer="0.5"/>
      <printOptions horizontalCentered="1"/>
      <pageSetup scale="55" firstPageNumber="13" orientation="landscape" useFirstPageNumber="1" r:id="rId3"/>
      <headerFooter>
        <oddHeader>&amp;C&amp;"Times New Roman,Regular"EAST ALTON ELEMENTARY SCHOOL DISTRICT NO. 13
STATEMENT OF ASSETS AND LIABILITIES FROM CASH TRANSACTIONS - CASH - REGULATORY BASIS
ALL FUNDS AND ACCOUNT GROUPS
 JUNE 30, 2019</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5" bottom="0.5" header="0.5" footer="0.5"/>
  <pageSetup scale="55" firstPageNumber="13" orientation="landscape" useFirstPageNumber="1" r:id="rId4"/>
  <headerFooter>
    <oddHeader>&amp;C&amp;"Times New Roman,Regular"EAST ALTON ELEMENTARY SCHOOL DISTRICT NO. 13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2" colorId="8" zoomScale="110" zoomScaleNormal="110" zoomScaleSheetLayoutView="100" workbookViewId="0">
      <selection activeCell="E23" sqref="E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2" t="s">
        <v>1175</v>
      </c>
      <c r="B3" s="2133"/>
      <c r="C3" s="1573"/>
      <c r="D3" s="1574"/>
      <c r="E3" s="1574"/>
      <c r="F3" s="1574"/>
      <c r="G3" s="1574"/>
      <c r="H3" s="1574"/>
      <c r="I3" s="1574"/>
      <c r="J3" s="1574"/>
      <c r="K3" s="1575"/>
      <c r="L3" s="506"/>
    </row>
    <row r="4" spans="1:13" ht="15.75" customHeight="1" x14ac:dyDescent="0.2">
      <c r="A4" s="1927" t="s">
        <v>1499</v>
      </c>
      <c r="B4" s="1928">
        <v>1000</v>
      </c>
      <c r="C4" s="1742">
        <f>'Revenues 9-14'!C109</f>
        <v>1418292</v>
      </c>
      <c r="D4" s="1742">
        <f>'Revenues 9-14'!D109</f>
        <v>755690</v>
      </c>
      <c r="E4" s="1742">
        <f>'Revenues 9-14'!E109</f>
        <v>532656</v>
      </c>
      <c r="F4" s="1742">
        <f>'Revenues 9-14'!F109</f>
        <v>98000</v>
      </c>
      <c r="G4" s="1742">
        <f>'Revenues 9-14'!G109</f>
        <v>396382</v>
      </c>
      <c r="H4" s="1742">
        <f>'Revenues 9-14'!H109</f>
        <v>0</v>
      </c>
      <c r="I4" s="1742">
        <f>'Revenues 9-14'!I109</f>
        <v>51338</v>
      </c>
      <c r="J4" s="1742">
        <f>'Revenues 9-14'!J109</f>
        <v>666678</v>
      </c>
      <c r="K4" s="1742">
        <f>'Revenues 9-14'!K109</f>
        <v>2100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5349093</v>
      </c>
      <c r="D6" s="1743">
        <f>'Revenues 9-14'!D170</f>
        <v>0</v>
      </c>
      <c r="E6" s="1743">
        <f>'Revenues 9-14'!E170</f>
        <v>0</v>
      </c>
      <c r="F6" s="1743">
        <f>'Revenues 9-14'!F170</f>
        <v>171391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1186706</v>
      </c>
      <c r="D7" s="1743">
        <f>'Revenues 9-14'!D267</f>
        <v>33456</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7954091</v>
      </c>
      <c r="D8" s="1688">
        <f t="shared" ref="D8:K8" si="0">SUM(D4:D7)</f>
        <v>789146</v>
      </c>
      <c r="E8" s="1688">
        <f t="shared" si="0"/>
        <v>532656</v>
      </c>
      <c r="F8" s="1688">
        <f t="shared" si="0"/>
        <v>269391</v>
      </c>
      <c r="G8" s="1688">
        <f t="shared" si="0"/>
        <v>396382</v>
      </c>
      <c r="H8" s="1688">
        <f t="shared" si="0"/>
        <v>0</v>
      </c>
      <c r="I8" s="1688">
        <f t="shared" si="0"/>
        <v>51338</v>
      </c>
      <c r="J8" s="1688">
        <f t="shared" si="0"/>
        <v>666678</v>
      </c>
      <c r="K8" s="1688">
        <f t="shared" si="0"/>
        <v>2100</v>
      </c>
      <c r="L8" s="347"/>
    </row>
    <row r="9" spans="1:13" ht="15.75" thickTop="1" x14ac:dyDescent="0.2">
      <c r="A9" s="514" t="s">
        <v>1653</v>
      </c>
      <c r="B9" s="515">
        <v>3998</v>
      </c>
      <c r="C9" s="481">
        <v>3226448</v>
      </c>
      <c r="D9" s="516"/>
      <c r="E9" s="481"/>
      <c r="F9" s="481"/>
      <c r="G9" s="517"/>
      <c r="H9" s="481"/>
      <c r="I9" s="509" t="s">
        <v>1169</v>
      </c>
      <c r="J9" s="478"/>
      <c r="K9" s="481"/>
      <c r="L9" s="347"/>
    </row>
    <row r="10" spans="1:13" s="519" customFormat="1" ht="13.5" thickBot="1" x14ac:dyDescent="0.25">
      <c r="A10" s="1736" t="s">
        <v>1173</v>
      </c>
      <c r="B10" s="1709"/>
      <c r="C10" s="1688">
        <f>SUM(C8:C9)</f>
        <v>11180539</v>
      </c>
      <c r="D10" s="1688">
        <f t="shared" ref="D10:K10" si="1">SUM(D8:D9)</f>
        <v>789146</v>
      </c>
      <c r="E10" s="1688">
        <f t="shared" si="1"/>
        <v>532656</v>
      </c>
      <c r="F10" s="1688">
        <f t="shared" si="1"/>
        <v>269391</v>
      </c>
      <c r="G10" s="1688">
        <f t="shared" si="1"/>
        <v>396382</v>
      </c>
      <c r="H10" s="1688">
        <f t="shared" si="1"/>
        <v>0</v>
      </c>
      <c r="I10" s="1688">
        <f t="shared" si="1"/>
        <v>51338</v>
      </c>
      <c r="J10" s="1688">
        <f t="shared" si="1"/>
        <v>666678</v>
      </c>
      <c r="K10" s="1688">
        <f t="shared" si="1"/>
        <v>2100</v>
      </c>
      <c r="L10" s="518"/>
    </row>
    <row r="11" spans="1:13" s="519" customFormat="1" ht="16.7" customHeight="1" thickTop="1" x14ac:dyDescent="0.2">
      <c r="A11" s="2106" t="s">
        <v>1176</v>
      </c>
      <c r="B11" s="2107"/>
      <c r="C11" s="1570"/>
      <c r="D11" s="1571"/>
      <c r="E11" s="1571"/>
      <c r="F11" s="1571"/>
      <c r="G11" s="1571"/>
      <c r="H11" s="1571"/>
      <c r="I11" s="1571"/>
      <c r="J11" s="1571"/>
      <c r="K11" s="1572"/>
      <c r="L11" s="518"/>
    </row>
    <row r="12" spans="1:13" ht="15.75" customHeight="1" x14ac:dyDescent="0.2">
      <c r="A12" s="1576" t="s">
        <v>456</v>
      </c>
      <c r="B12" s="1578">
        <v>1000</v>
      </c>
      <c r="C12" s="1742">
        <f>'Expenditures 15-22'!K33</f>
        <v>4554147</v>
      </c>
      <c r="D12" s="520" t="s">
        <v>1169</v>
      </c>
      <c r="E12" s="468" t="s">
        <v>1169</v>
      </c>
      <c r="F12" s="468" t="s">
        <v>1169</v>
      </c>
      <c r="G12" s="1742">
        <f>'Expenditures 15-22'!K229</f>
        <v>84662</v>
      </c>
      <c r="H12" s="521"/>
      <c r="I12" s="468" t="s">
        <v>1169</v>
      </c>
      <c r="J12" s="468" t="s">
        <v>1169</v>
      </c>
      <c r="K12" s="521" t="s">
        <v>1169</v>
      </c>
      <c r="L12" s="347"/>
    </row>
    <row r="13" spans="1:13" ht="15.75" customHeight="1" x14ac:dyDescent="0.2">
      <c r="A13" s="1576" t="s">
        <v>457</v>
      </c>
      <c r="B13" s="1578">
        <v>2000</v>
      </c>
      <c r="C13" s="1743">
        <f>'Expenditures 15-22'!K74</f>
        <v>2426539</v>
      </c>
      <c r="D13" s="1743">
        <f>'Expenditures 15-22'!K129</f>
        <v>572634</v>
      </c>
      <c r="E13" s="469" t="s">
        <v>1169</v>
      </c>
      <c r="F13" s="1743">
        <f>'Expenditures 15-22'!K184</f>
        <v>228564</v>
      </c>
      <c r="G13" s="1743">
        <f>'Expenditures 15-22'!K279</f>
        <v>210817</v>
      </c>
      <c r="H13" s="1743">
        <f>'Expenditures 15-22'!K303</f>
        <v>0</v>
      </c>
      <c r="I13" s="468" t="s">
        <v>1169</v>
      </c>
      <c r="J13" s="1743">
        <f>'Expenditures 15-22'!K330</f>
        <v>644963</v>
      </c>
      <c r="K13" s="1747">
        <f>'Expenditures 15-22'!K352</f>
        <v>0</v>
      </c>
      <c r="L13" s="347"/>
    </row>
    <row r="14" spans="1:13" ht="15.75" customHeight="1" x14ac:dyDescent="0.2">
      <c r="A14" s="1576" t="s">
        <v>449</v>
      </c>
      <c r="B14" s="1578">
        <v>3000</v>
      </c>
      <c r="C14" s="1743">
        <f>'Expenditures 15-22'!K75</f>
        <v>393246</v>
      </c>
      <c r="D14" s="1743">
        <f>'Expenditures 15-22'!K130</f>
        <v>0</v>
      </c>
      <c r="E14" s="520" t="s">
        <v>1169</v>
      </c>
      <c r="F14" s="1743">
        <f>'Expenditures 15-22'!K185</f>
        <v>0</v>
      </c>
      <c r="G14" s="1743">
        <f>'Expenditures 15-22'!K280</f>
        <v>39558</v>
      </c>
      <c r="H14" s="512"/>
      <c r="I14" s="468" t="s">
        <v>1169</v>
      </c>
      <c r="J14" s="468" t="s">
        <v>1169</v>
      </c>
      <c r="K14" s="512" t="s">
        <v>1169</v>
      </c>
      <c r="L14" s="347"/>
    </row>
    <row r="15" spans="1:13" ht="15.75" customHeight="1" x14ac:dyDescent="0.2">
      <c r="A15" s="1576" t="s">
        <v>107</v>
      </c>
      <c r="B15" s="1578">
        <v>4000</v>
      </c>
      <c r="C15" s="1743">
        <f>'Expenditures 15-22'!K102</f>
        <v>285111</v>
      </c>
      <c r="D15" s="1743">
        <f>'Expenditures 15-22'!K139</f>
        <v>0</v>
      </c>
      <c r="E15" s="1743">
        <f>'Expenditures 15-22'!K160</f>
        <v>0</v>
      </c>
      <c r="F15" s="1743">
        <f>'Expenditures 15-22'!K196</f>
        <v>736</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541966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7659043</v>
      </c>
      <c r="D17" s="1688">
        <f t="shared" si="2"/>
        <v>572634</v>
      </c>
      <c r="E17" s="1688">
        <f t="shared" si="2"/>
        <v>541966</v>
      </c>
      <c r="F17" s="1688">
        <f t="shared" si="2"/>
        <v>229300</v>
      </c>
      <c r="G17" s="1688">
        <f t="shared" si="2"/>
        <v>335037</v>
      </c>
      <c r="H17" s="1688">
        <f t="shared" si="2"/>
        <v>0</v>
      </c>
      <c r="I17" s="468"/>
      <c r="J17" s="1688">
        <f>SUM(J12:J16)</f>
        <v>644963</v>
      </c>
      <c r="K17" s="1688">
        <f>SUM(K12:K16)</f>
        <v>0</v>
      </c>
      <c r="L17" s="347"/>
    </row>
    <row r="18" spans="1:12" ht="15" customHeight="1" thickTop="1" x14ac:dyDescent="0.2">
      <c r="A18" s="1744" t="s">
        <v>1654</v>
      </c>
      <c r="B18" s="1745">
        <v>4180</v>
      </c>
      <c r="C18" s="1742">
        <f t="shared" ref="C18:H18" si="3">C9</f>
        <v>3226448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10885491</v>
      </c>
      <c r="D19" s="1688">
        <f t="shared" si="4"/>
        <v>572634</v>
      </c>
      <c r="E19" s="1688">
        <f t="shared" si="4"/>
        <v>541966</v>
      </c>
      <c r="F19" s="1688">
        <f t="shared" si="4"/>
        <v>229300</v>
      </c>
      <c r="G19" s="1688">
        <f t="shared" si="4"/>
        <v>335037</v>
      </c>
      <c r="H19" s="1688">
        <f t="shared" si="4"/>
        <v>0</v>
      </c>
      <c r="I19" s="468"/>
      <c r="J19" s="1688">
        <f>SUM(J17:J18)</f>
        <v>644963</v>
      </c>
      <c r="K19" s="1688">
        <f>SUM(K17:K18)</f>
        <v>0</v>
      </c>
      <c r="L19" s="347"/>
    </row>
    <row r="20" spans="1:12" ht="16.5" thickTop="1" thickBot="1" x14ac:dyDescent="0.25">
      <c r="A20" s="2122" t="s">
        <v>1655</v>
      </c>
      <c r="B20" s="2123"/>
      <c r="C20" s="1746">
        <f>C8-C17</f>
        <v>295048</v>
      </c>
      <c r="D20" s="1746">
        <f t="shared" ref="D20:K20" si="5">D8-D17</f>
        <v>216512</v>
      </c>
      <c r="E20" s="1746">
        <f t="shared" si="5"/>
        <v>-9310</v>
      </c>
      <c r="F20" s="1746">
        <f t="shared" si="5"/>
        <v>40091</v>
      </c>
      <c r="G20" s="1746">
        <f t="shared" si="5"/>
        <v>61345</v>
      </c>
      <c r="H20" s="1746">
        <f t="shared" si="5"/>
        <v>0</v>
      </c>
      <c r="I20" s="1746">
        <f t="shared" si="5"/>
        <v>51338</v>
      </c>
      <c r="J20" s="1746">
        <f t="shared" si="5"/>
        <v>21715</v>
      </c>
      <c r="K20" s="1746">
        <f t="shared" si="5"/>
        <v>2100</v>
      </c>
      <c r="L20" s="347"/>
    </row>
    <row r="21" spans="1:12" ht="16.7" customHeight="1" thickTop="1" x14ac:dyDescent="0.2">
      <c r="A21" s="2134" t="s">
        <v>595</v>
      </c>
      <c r="B21" s="2135"/>
      <c r="C21" s="1570"/>
      <c r="D21" s="1571"/>
      <c r="E21" s="1571"/>
      <c r="F21" s="1571"/>
      <c r="G21" s="1571"/>
      <c r="H21" s="1571"/>
      <c r="I21" s="1571"/>
      <c r="J21" s="1571"/>
      <c r="K21" s="1572"/>
      <c r="L21" s="524"/>
    </row>
    <row r="22" spans="1:12" ht="15.75" customHeight="1" collapsed="1" x14ac:dyDescent="0.2">
      <c r="A22" s="2130" t="s">
        <v>596</v>
      </c>
      <c r="B22" s="2131"/>
      <c r="C22" s="477"/>
      <c r="D22" s="477"/>
      <c r="E22" s="477"/>
      <c r="F22" s="477"/>
      <c r="G22" s="477"/>
      <c r="H22" s="477"/>
      <c r="I22" s="477"/>
      <c r="J22" s="477"/>
      <c r="K22" s="477"/>
      <c r="L22" s="347"/>
    </row>
    <row r="23" spans="1:12" s="485" customFormat="1" ht="15.75" customHeight="1" x14ac:dyDescent="0.2">
      <c r="A23" s="2126" t="s">
        <v>293</v>
      </c>
      <c r="B23" s="212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1578</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28" t="s">
        <v>981</v>
      </c>
      <c r="B32" s="212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20866</v>
      </c>
      <c r="F37" s="475"/>
      <c r="G37" s="475"/>
      <c r="H37" s="475"/>
      <c r="I37" s="477"/>
      <c r="J37" s="475"/>
      <c r="K37" s="475"/>
      <c r="L37" s="524"/>
    </row>
    <row r="38" spans="1:12" s="485" customFormat="1" x14ac:dyDescent="0.2">
      <c r="A38" s="1489" t="s">
        <v>442</v>
      </c>
      <c r="B38" s="525">
        <v>7500</v>
      </c>
      <c r="C38" s="477"/>
      <c r="D38" s="477"/>
      <c r="E38" s="1743">
        <f>SUM(C58:D61,H58:H61)</f>
        <v>3134</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6" t="s">
        <v>374</v>
      </c>
      <c r="B44" s="2137"/>
      <c r="C44" s="1703">
        <f>SUM(C24:C43)</f>
        <v>1578</v>
      </c>
      <c r="D44" s="1703">
        <f t="shared" ref="D44:K44" si="6">SUM(D24:D43)</f>
        <v>0</v>
      </c>
      <c r="E44" s="1703">
        <f t="shared" si="6"/>
        <v>24000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0" t="s">
        <v>108</v>
      </c>
      <c r="B45" s="2131"/>
      <c r="C45" s="528"/>
      <c r="D45" s="528"/>
      <c r="E45" s="528"/>
      <c r="F45" s="528"/>
      <c r="G45" s="528"/>
      <c r="H45" s="528"/>
      <c r="I45" s="528"/>
      <c r="J45" s="528"/>
      <c r="K45" s="528"/>
      <c r="L45" s="347"/>
    </row>
    <row r="46" spans="1:12" s="485" customFormat="1" ht="15.75" customHeight="1" x14ac:dyDescent="0.2">
      <c r="A46" s="2138" t="s">
        <v>109</v>
      </c>
      <c r="B46" s="213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1578</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20866</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v>3134</v>
      </c>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2" t="s">
        <v>440</v>
      </c>
      <c r="B76" s="2113"/>
      <c r="C76" s="1703">
        <f t="shared" ref="C76:K76" si="7">SUM(C47:C75)</f>
        <v>24000</v>
      </c>
      <c r="D76" s="1703">
        <f t="shared" si="7"/>
        <v>0</v>
      </c>
      <c r="E76" s="1703">
        <f t="shared" si="7"/>
        <v>0</v>
      </c>
      <c r="F76" s="1703">
        <f t="shared" si="7"/>
        <v>0</v>
      </c>
      <c r="G76" s="1703">
        <f t="shared" si="7"/>
        <v>0</v>
      </c>
      <c r="H76" s="1703">
        <f t="shared" si="7"/>
        <v>0</v>
      </c>
      <c r="I76" s="1703">
        <f t="shared" si="7"/>
        <v>1578</v>
      </c>
      <c r="J76" s="1703">
        <f t="shared" si="7"/>
        <v>0</v>
      </c>
      <c r="K76" s="1703">
        <f t="shared" si="7"/>
        <v>0</v>
      </c>
      <c r="L76" s="524"/>
    </row>
    <row r="77" spans="1:12" ht="14.25" thickTop="1" thickBot="1" x14ac:dyDescent="0.25">
      <c r="A77" s="2114" t="s">
        <v>1177</v>
      </c>
      <c r="B77" s="2115"/>
      <c r="C77" s="1703">
        <f t="shared" ref="C77:K77" si="8">C44-C76</f>
        <v>-22422</v>
      </c>
      <c r="D77" s="1703">
        <f t="shared" si="8"/>
        <v>0</v>
      </c>
      <c r="E77" s="1703">
        <f t="shared" si="8"/>
        <v>24000</v>
      </c>
      <c r="F77" s="1703">
        <f t="shared" si="8"/>
        <v>0</v>
      </c>
      <c r="G77" s="1703">
        <f t="shared" si="8"/>
        <v>0</v>
      </c>
      <c r="H77" s="1703">
        <f t="shared" si="8"/>
        <v>0</v>
      </c>
      <c r="I77" s="1703">
        <f t="shared" si="8"/>
        <v>-1578</v>
      </c>
      <c r="J77" s="1703">
        <f t="shared" si="8"/>
        <v>0</v>
      </c>
      <c r="K77" s="1703">
        <f t="shared" si="8"/>
        <v>0</v>
      </c>
      <c r="L77" s="347"/>
    </row>
    <row r="78" spans="1:12" ht="21.75" customHeight="1" thickTop="1" thickBot="1" x14ac:dyDescent="0.25">
      <c r="A78" s="2118" t="s">
        <v>597</v>
      </c>
      <c r="B78" s="2119"/>
      <c r="C78" s="1702">
        <f t="shared" ref="C78:K78" si="9">C20+C77</f>
        <v>272626</v>
      </c>
      <c r="D78" s="1702">
        <f t="shared" si="9"/>
        <v>216512</v>
      </c>
      <c r="E78" s="1702">
        <f t="shared" si="9"/>
        <v>14690</v>
      </c>
      <c r="F78" s="1702">
        <f t="shared" si="9"/>
        <v>40091</v>
      </c>
      <c r="G78" s="1702">
        <f t="shared" si="9"/>
        <v>61345</v>
      </c>
      <c r="H78" s="1702">
        <f t="shared" si="9"/>
        <v>0</v>
      </c>
      <c r="I78" s="1702">
        <f t="shared" si="9"/>
        <v>49760</v>
      </c>
      <c r="J78" s="1702">
        <f t="shared" si="9"/>
        <v>21715</v>
      </c>
      <c r="K78" s="1702">
        <f t="shared" si="9"/>
        <v>2100</v>
      </c>
      <c r="L78" s="533"/>
    </row>
    <row r="79" spans="1:12" ht="13.5" thickTop="1" x14ac:dyDescent="0.2">
      <c r="A79" s="1494" t="s">
        <v>1946</v>
      </c>
      <c r="B79" s="534"/>
      <c r="C79" s="478">
        <v>560685</v>
      </c>
      <c r="D79" s="535">
        <v>157636</v>
      </c>
      <c r="E79" s="535">
        <v>-66197</v>
      </c>
      <c r="F79" s="535">
        <v>44577</v>
      </c>
      <c r="G79" s="535">
        <v>54091</v>
      </c>
      <c r="H79" s="535">
        <v>888</v>
      </c>
      <c r="I79" s="535">
        <v>1394660</v>
      </c>
      <c r="J79" s="535">
        <v>21905</v>
      </c>
      <c r="K79" s="535">
        <v>-220488</v>
      </c>
      <c r="L79" s="347"/>
    </row>
    <row r="80" spans="1:12" x14ac:dyDescent="0.2">
      <c r="A80" s="2124" t="s">
        <v>1792</v>
      </c>
      <c r="B80" s="2125"/>
      <c r="C80" s="467"/>
      <c r="D80" s="467"/>
      <c r="E80" s="467"/>
      <c r="F80" s="467"/>
      <c r="G80" s="467"/>
      <c r="H80" s="467"/>
      <c r="I80" s="467"/>
      <c r="J80" s="467"/>
      <c r="K80" s="467"/>
      <c r="L80" s="347"/>
    </row>
    <row r="81" spans="1:12" ht="13.5" thickBot="1" x14ac:dyDescent="0.25">
      <c r="A81" s="2116" t="s">
        <v>1947</v>
      </c>
      <c r="B81" s="2117"/>
      <c r="C81" s="1688">
        <f>(SUM(C78:C80))</f>
        <v>833311</v>
      </c>
      <c r="D81" s="1688">
        <f>SUM(D78:D80)</f>
        <v>374148</v>
      </c>
      <c r="E81" s="1688">
        <f t="shared" ref="E81:K81" si="10">SUM(E78:E80)</f>
        <v>-51507</v>
      </c>
      <c r="F81" s="1688">
        <f t="shared" si="10"/>
        <v>84668</v>
      </c>
      <c r="G81" s="1688">
        <f t="shared" si="10"/>
        <v>115436</v>
      </c>
      <c r="H81" s="1688">
        <f t="shared" si="10"/>
        <v>888</v>
      </c>
      <c r="I81" s="1688">
        <f t="shared" si="10"/>
        <v>1444420</v>
      </c>
      <c r="J81" s="1688">
        <f t="shared" si="10"/>
        <v>43620</v>
      </c>
      <c r="K81" s="1688">
        <f t="shared" si="10"/>
        <v>-218388</v>
      </c>
      <c r="L81" s="347"/>
    </row>
    <row r="82" spans="1:12" ht="0.75" customHeight="1" thickTop="1" thickBot="1" x14ac:dyDescent="0.25">
      <c r="A82" s="536" t="s">
        <v>343</v>
      </c>
      <c r="B82" s="537"/>
      <c r="C82" s="538">
        <f>(C81-C79)</f>
        <v>272626</v>
      </c>
      <c r="D82" s="538">
        <f t="shared" ref="D82:K82" si="11">(D81-D79)</f>
        <v>216512</v>
      </c>
      <c r="E82" s="538">
        <f t="shared" si="11"/>
        <v>14690</v>
      </c>
      <c r="F82" s="538">
        <f t="shared" si="11"/>
        <v>40091</v>
      </c>
      <c r="G82" s="538">
        <f t="shared" si="11"/>
        <v>61345</v>
      </c>
      <c r="H82" s="538">
        <f t="shared" si="11"/>
        <v>0</v>
      </c>
      <c r="I82" s="538">
        <f t="shared" si="11"/>
        <v>49760</v>
      </c>
      <c r="J82" s="538">
        <f t="shared" si="11"/>
        <v>21715</v>
      </c>
      <c r="K82" s="538">
        <f t="shared" si="11"/>
        <v>2100</v>
      </c>
    </row>
    <row r="83" spans="1:12" ht="14.25" hidden="1" thickTop="1" thickBot="1" x14ac:dyDescent="0.25">
      <c r="A83" s="539" t="s">
        <v>344</v>
      </c>
      <c r="B83" s="464"/>
      <c r="C83" s="540">
        <f>C82/C81</f>
        <v>0.32715996788713936</v>
      </c>
      <c r="D83" s="540">
        <f t="shared" ref="D83:K83" si="12">D82/D81</f>
        <v>0.57868009450805569</v>
      </c>
      <c r="E83" s="540">
        <f t="shared" si="12"/>
        <v>-0.28520395286077621</v>
      </c>
      <c r="F83" s="540">
        <f t="shared" si="12"/>
        <v>0.47350829120801247</v>
      </c>
      <c r="G83" s="540">
        <f t="shared" si="12"/>
        <v>0.5314200076232718</v>
      </c>
      <c r="H83" s="540">
        <f t="shared" si="12"/>
        <v>0</v>
      </c>
      <c r="I83" s="540">
        <f t="shared" si="12"/>
        <v>3.444981376607912E-2</v>
      </c>
      <c r="J83" s="540">
        <f t="shared" si="12"/>
        <v>0.4978220999541495</v>
      </c>
      <c r="K83" s="540">
        <f t="shared" si="12"/>
        <v>-9.6159129622506723E-3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customSheetViews>
    <customSheetView guid="{58008B32-E4E8-4E32-8B1E-F6CE50059F4A}" scale="110" colorId="8" showGridLines="0" hiddenRows="1" topLeftCell="A52">
      <selection activeCell="E23" sqref="E23"/>
      <pageMargins left="0.75" right="0.75" top="1.35" bottom="0.5" header="0.5" footer="0.5"/>
      <printOptions horizontalCentered="1"/>
      <pageSetup scale="47" firstPageNumber="7" orientation="portrait" r:id="rId1"/>
      <headerFooter>
        <oddHeader>&amp;C&amp;"Times New Roman,Regular"EAST ALTON ELEMENTARY SCHOOL DISTRICT NO. 13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customSheetView>
    <customSheetView guid="{D43C6297-AC1B-41E2-A8C4-03E94593B8FB}" scale="110" colorId="8" showGridLines="0" hiddenRows="1" topLeftCell="A52">
      <selection activeCell="E23" sqref="E23"/>
      <pageMargins left="0.75" right="0.75" top="1.35" bottom="0.5" header="0.5" footer="0.5"/>
      <printOptions horizontalCentered="1"/>
      <pageSetup scale="47" firstPageNumber="7" orientation="portrait" r:id="rId2"/>
      <headerFooter>
        <oddHeader>&amp;C&amp;"Times New Roman,Regular"EAST ALTON ELEMENTARY SCHOOL DISTRICT NO. 13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customSheetView>
    <customSheetView guid="{1CEE81F4-A6A8-4CF6-96C8-1AACCC28872D}" scale="110" colorId="8" showGridLines="0" hiddenRows="1" topLeftCell="A52">
      <selection activeCell="E23" sqref="E23"/>
      <pageMargins left="0.75" right="0.75" top="1.35" bottom="0.5" header="0.5" footer="0.5"/>
      <printOptions horizontalCentered="1"/>
      <pageSetup scale="47" firstPageNumber="7" orientation="portrait" r:id="rId3"/>
      <headerFooter>
        <oddHeader>&amp;C&amp;"Times New Roman,Regular"EAST ALTON ELEMENTARY SCHOOL DISTRICT NO. 13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35" bottom="0.5" header="0.5" footer="0.5"/>
  <pageSetup scale="47" firstPageNumber="7" orientation="portrait" r:id="rId4"/>
  <headerFooter>
    <oddHeader>&amp;C&amp;"Times New Roman,Regular"EAST ALTON ELEMENTARY SCHOOL DISTRICT NO. 13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5" zoomScaleNormal="85" zoomScaleSheetLayoutView="100" workbookViewId="0">
      <pane ySplit="2" topLeftCell="A195" activePane="bottomLeft" state="frozen"/>
      <selection activeCell="V29" sqref="V29"/>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0" t="s">
        <v>1799</v>
      </c>
      <c r="B1" s="452"/>
      <c r="C1" s="453" t="s">
        <v>425</v>
      </c>
      <c r="D1" s="453" t="s">
        <v>426</v>
      </c>
      <c r="E1" s="453" t="s">
        <v>427</v>
      </c>
      <c r="F1" s="453" t="s">
        <v>428</v>
      </c>
      <c r="G1" s="453" t="s">
        <v>429</v>
      </c>
      <c r="H1" s="453" t="s">
        <v>430</v>
      </c>
      <c r="I1" s="453" t="s">
        <v>431</v>
      </c>
      <c r="J1" s="453" t="s">
        <v>432</v>
      </c>
      <c r="K1" s="453" t="s">
        <v>756</v>
      </c>
    </row>
    <row r="2" spans="1:12" ht="36" x14ac:dyDescent="0.2">
      <c r="A2" s="212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990025</v>
      </c>
      <c r="D5" s="481">
        <v>300016</v>
      </c>
      <c r="E5" s="466">
        <v>532412</v>
      </c>
      <c r="F5" s="548">
        <v>72055</v>
      </c>
      <c r="G5" s="466">
        <v>172512</v>
      </c>
      <c r="H5" s="466"/>
      <c r="I5" s="466">
        <v>30013</v>
      </c>
      <c r="J5" s="467">
        <v>665303</v>
      </c>
      <c r="K5" s="466">
        <v>2100</v>
      </c>
    </row>
    <row r="6" spans="1:12" ht="15" x14ac:dyDescent="0.2">
      <c r="A6" s="463" t="s">
        <v>1662</v>
      </c>
      <c r="B6" s="470">
        <v>1130</v>
      </c>
      <c r="C6" s="466">
        <v>30017</v>
      </c>
      <c r="D6" s="466"/>
      <c r="E6" s="475"/>
      <c r="F6" s="475"/>
      <c r="G6" s="468"/>
      <c r="H6" s="468"/>
      <c r="I6" s="468"/>
      <c r="J6" s="468"/>
      <c r="K6" s="468"/>
    </row>
    <row r="7" spans="1:12" x14ac:dyDescent="0.2">
      <c r="A7" s="463" t="s">
        <v>110</v>
      </c>
      <c r="B7" s="549">
        <v>1140</v>
      </c>
      <c r="C7" s="466">
        <v>12030</v>
      </c>
      <c r="D7" s="466"/>
      <c r="E7" s="468"/>
      <c r="F7" s="467"/>
      <c r="G7" s="467"/>
      <c r="H7" s="467"/>
      <c r="I7" s="468"/>
      <c r="J7" s="468"/>
      <c r="K7" s="468"/>
    </row>
    <row r="8" spans="1:12" x14ac:dyDescent="0.2">
      <c r="A8" s="463" t="s">
        <v>413</v>
      </c>
      <c r="B8" s="470">
        <v>1150</v>
      </c>
      <c r="C8" s="475"/>
      <c r="D8" s="475"/>
      <c r="E8" s="477"/>
      <c r="F8" s="477"/>
      <c r="G8" s="481">
        <v>171854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1032072</v>
      </c>
      <c r="D12" s="1707">
        <f t="shared" si="0"/>
        <v>300016</v>
      </c>
      <c r="E12" s="1707">
        <f t="shared" si="0"/>
        <v>532412</v>
      </c>
      <c r="F12" s="1707">
        <f t="shared" si="0"/>
        <v>72055</v>
      </c>
      <c r="G12" s="1707">
        <f t="shared" si="0"/>
        <v>344366</v>
      </c>
      <c r="H12" s="1707">
        <f t="shared" si="0"/>
        <v>0</v>
      </c>
      <c r="I12" s="1707">
        <f t="shared" si="0"/>
        <v>30013</v>
      </c>
      <c r="J12" s="1707">
        <f t="shared" si="0"/>
        <v>665303</v>
      </c>
      <c r="K12" s="1688">
        <f t="shared" si="0"/>
        <v>2100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155</v>
      </c>
      <c r="D14" s="466">
        <v>46</v>
      </c>
      <c r="E14" s="466">
        <v>83</v>
      </c>
      <c r="F14" s="466">
        <v>11</v>
      </c>
      <c r="G14" s="466">
        <v>54</v>
      </c>
      <c r="H14" s="466"/>
      <c r="I14" s="466">
        <v>5</v>
      </c>
      <c r="J14" s="467">
        <v>103</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228224</v>
      </c>
      <c r="D16" s="466">
        <v>441992</v>
      </c>
      <c r="E16" s="466"/>
      <c r="F16" s="466"/>
      <c r="G16" s="466">
        <v>46167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228379</v>
      </c>
      <c r="D18" s="1710">
        <f t="shared" ref="D18:K18" si="1">SUM(D14:D17)</f>
        <v>442038</v>
      </c>
      <c r="E18" s="1710">
        <f t="shared" si="1"/>
        <v>83</v>
      </c>
      <c r="F18" s="1710">
        <f t="shared" si="1"/>
        <v>11</v>
      </c>
      <c r="G18" s="1710">
        <f t="shared" si="1"/>
        <v>46221</v>
      </c>
      <c r="H18" s="1710">
        <f t="shared" si="1"/>
        <v>0</v>
      </c>
      <c r="I18" s="1710">
        <f t="shared" si="1"/>
        <v>5</v>
      </c>
      <c r="J18" s="1710">
        <f t="shared" si="1"/>
        <v>103</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5226</v>
      </c>
      <c r="D65" s="466">
        <v>1874</v>
      </c>
      <c r="E65" s="466">
        <v>161</v>
      </c>
      <c r="F65" s="467">
        <v>413</v>
      </c>
      <c r="G65" s="466">
        <v>888</v>
      </c>
      <c r="H65" s="466"/>
      <c r="I65" s="466">
        <v>21320</v>
      </c>
      <c r="J65" s="467">
        <v>1272</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5226</v>
      </c>
      <c r="D67" s="1688">
        <f t="shared" ref="D67:K67" si="2">SUM(D65:D66)</f>
        <v>1874</v>
      </c>
      <c r="E67" s="1688">
        <f t="shared" si="2"/>
        <v>161</v>
      </c>
      <c r="F67" s="1688">
        <f t="shared" si="2"/>
        <v>413</v>
      </c>
      <c r="G67" s="1688">
        <f t="shared" si="2"/>
        <v>888</v>
      </c>
      <c r="H67" s="1688">
        <f t="shared" si="2"/>
        <v>0</v>
      </c>
      <c r="I67" s="1688">
        <f t="shared" si="2"/>
        <v>21320</v>
      </c>
      <c r="J67" s="1688">
        <f t="shared" si="2"/>
        <v>1272</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2342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341</v>
      </c>
      <c r="D73" s="468"/>
      <c r="E73" s="468"/>
      <c r="F73" s="468"/>
      <c r="G73" s="468"/>
      <c r="H73" s="468"/>
      <c r="I73" s="468"/>
      <c r="J73" s="468"/>
      <c r="K73" s="468"/>
    </row>
    <row r="74" spans="1:11" ht="12.75" customHeight="1" x14ac:dyDescent="0.2">
      <c r="A74" s="463" t="s">
        <v>25</v>
      </c>
      <c r="B74" s="470">
        <v>1690</v>
      </c>
      <c r="C74" s="551">
        <v>17</v>
      </c>
      <c r="D74" s="468"/>
      <c r="E74" s="468"/>
      <c r="F74" s="468"/>
      <c r="G74" s="468"/>
      <c r="H74" s="468"/>
      <c r="I74" s="468"/>
      <c r="J74" s="468"/>
      <c r="K74" s="468"/>
    </row>
    <row r="75" spans="1:11" ht="12.75" customHeight="1" thickBot="1" x14ac:dyDescent="0.25">
      <c r="A75" s="1708" t="s">
        <v>548</v>
      </c>
      <c r="B75" s="1709"/>
      <c r="C75" s="1688">
        <f>SUM(C69:C74)</f>
        <v>2700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3711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65517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69228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29750</v>
      </c>
      <c r="D95" s="551"/>
      <c r="E95" s="521"/>
      <c r="F95" s="521"/>
      <c r="G95" s="521"/>
      <c r="H95" s="521"/>
      <c r="I95" s="521"/>
      <c r="J95" s="521"/>
      <c r="K95" s="521"/>
    </row>
    <row r="96" spans="1:11" ht="12.75" customHeight="1" x14ac:dyDescent="0.2">
      <c r="A96" s="463" t="s">
        <v>391</v>
      </c>
      <c r="B96" s="470">
        <v>1920</v>
      </c>
      <c r="C96" s="551">
        <v>2012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34898</v>
      </c>
      <c r="D98" s="466"/>
      <c r="E98" s="512"/>
      <c r="F98" s="466"/>
      <c r="G98" s="512"/>
      <c r="H98" s="512"/>
      <c r="I98" s="510"/>
      <c r="J98" s="512"/>
      <c r="K98" s="512"/>
    </row>
    <row r="99" spans="1:12" ht="12.75" customHeight="1" x14ac:dyDescent="0.2">
      <c r="A99" s="463" t="s">
        <v>821</v>
      </c>
      <c r="B99" s="470">
        <v>1950</v>
      </c>
      <c r="C99" s="489">
        <v>3615</v>
      </c>
      <c r="D99" s="466">
        <v>11737</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10412</v>
      </c>
      <c r="D107" s="466">
        <v>25</v>
      </c>
      <c r="E107" s="466"/>
      <c r="F107" s="466">
        <v>25521</v>
      </c>
      <c r="G107" s="466">
        <v>4907</v>
      </c>
      <c r="H107" s="466"/>
      <c r="I107" s="466"/>
      <c r="J107" s="467"/>
      <c r="K107" s="466"/>
    </row>
    <row r="108" spans="1:12" ht="12.75" customHeight="1" thickBot="1" x14ac:dyDescent="0.25">
      <c r="A108" s="1708" t="s">
        <v>487</v>
      </c>
      <c r="B108" s="1712"/>
      <c r="C108" s="1707">
        <f>SUM(C95:C107)</f>
        <v>80687</v>
      </c>
      <c r="D108" s="1707">
        <f t="shared" ref="D108:K108" si="3">SUM(D95:D107)</f>
        <v>11762</v>
      </c>
      <c r="E108" s="1707">
        <f t="shared" si="3"/>
        <v>0</v>
      </c>
      <c r="F108" s="1707">
        <f t="shared" si="3"/>
        <v>25521</v>
      </c>
      <c r="G108" s="1707">
        <f t="shared" si="3"/>
        <v>4907</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1418292</v>
      </c>
      <c r="D109" s="1715">
        <f t="shared" si="4"/>
        <v>755690</v>
      </c>
      <c r="E109" s="1715">
        <f t="shared" si="4"/>
        <v>532656</v>
      </c>
      <c r="F109" s="1715">
        <f t="shared" si="4"/>
        <v>98000</v>
      </c>
      <c r="G109" s="1715">
        <f t="shared" si="4"/>
        <v>396382</v>
      </c>
      <c r="H109" s="1715">
        <f t="shared" si="4"/>
        <v>0</v>
      </c>
      <c r="I109" s="1715">
        <f t="shared" si="4"/>
        <v>51338</v>
      </c>
      <c r="J109" s="1715">
        <f t="shared" si="4"/>
        <v>666678</v>
      </c>
      <c r="K109" s="1702">
        <f t="shared" si="4"/>
        <v>2100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3918246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9"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3918246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55097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71033</v>
      </c>
      <c r="D128" s="561"/>
      <c r="E128" s="468"/>
      <c r="F128" s="466"/>
      <c r="G128" s="468"/>
      <c r="H128" s="468"/>
      <c r="I128" s="468"/>
      <c r="J128" s="468"/>
      <c r="K128" s="468"/>
    </row>
    <row r="129" spans="1:11" ht="12.75" customHeight="1" x14ac:dyDescent="0.2">
      <c r="A129" s="463" t="s">
        <v>1447</v>
      </c>
      <c r="B129" s="562">
        <v>3130</v>
      </c>
      <c r="C129" s="466">
        <v>4851</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130981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9705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13578</v>
      </c>
      <c r="G152" s="467"/>
      <c r="H152" s="468"/>
      <c r="I152" s="468"/>
      <c r="J152" s="468"/>
      <c r="K152" s="468"/>
    </row>
    <row r="153" spans="1:11" ht="12.75" customHeight="1" x14ac:dyDescent="0.2">
      <c r="A153" s="463" t="s">
        <v>1057</v>
      </c>
      <c r="B153" s="562">
        <v>3510</v>
      </c>
      <c r="C153" s="551"/>
      <c r="D153" s="466"/>
      <c r="E153" s="561"/>
      <c r="F153" s="466">
        <v>157813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171391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1255971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34190</v>
      </c>
      <c r="D168" s="580"/>
      <c r="E168" s="580"/>
      <c r="F168" s="580"/>
      <c r="G168" s="581"/>
      <c r="H168" s="582"/>
      <c r="I168" s="581"/>
      <c r="J168" s="581"/>
      <c r="K168" s="582"/>
    </row>
    <row r="169" spans="1:11" ht="12.75" customHeight="1" thickTop="1" thickBot="1" x14ac:dyDescent="0.25">
      <c r="A169" s="2140" t="s">
        <v>398</v>
      </c>
      <c r="B169" s="2141"/>
      <c r="C169" s="1722">
        <f t="shared" ref="C169:K169" si="6">SUM(C132,C141,C145,C146:C150,C155,C156:C167,C168)</f>
        <v>1430847</v>
      </c>
      <c r="D169" s="1722">
        <f t="shared" si="6"/>
        <v>0</v>
      </c>
      <c r="E169" s="1722">
        <f t="shared" si="6"/>
        <v>0</v>
      </c>
      <c r="F169" s="1722">
        <f t="shared" si="6"/>
        <v>171391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5349093</v>
      </c>
      <c r="D170" s="1715">
        <f t="shared" si="7"/>
        <v>0</v>
      </c>
      <c r="E170" s="1715">
        <f t="shared" si="7"/>
        <v>0</v>
      </c>
      <c r="F170" s="1715">
        <f t="shared" si="7"/>
        <v>171391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2" t="s">
        <v>1492</v>
      </c>
      <c r="B172" s="214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6" t="s">
        <v>1665</v>
      </c>
      <c r="B175" s="214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0" t="s">
        <v>1664</v>
      </c>
      <c r="B176" s="215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8" t="s">
        <v>785</v>
      </c>
      <c r="B181" s="214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4" t="s">
        <v>1800</v>
      </c>
      <c r="B182" s="214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318557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138638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21219</v>
      </c>
      <c r="D196" s="468"/>
      <c r="E196" s="561"/>
      <c r="F196" s="468"/>
      <c r="G196" s="586"/>
      <c r="H196" s="468"/>
      <c r="I196" s="468"/>
      <c r="J196" s="468"/>
      <c r="K196" s="468"/>
    </row>
    <row r="197" spans="1:11" ht="12.75" customHeight="1" x14ac:dyDescent="0.2">
      <c r="A197" s="463" t="s">
        <v>71</v>
      </c>
      <c r="B197" s="470">
        <v>4299</v>
      </c>
      <c r="C197" s="551">
        <v>32509</v>
      </c>
      <c r="D197" s="468"/>
      <c r="E197" s="561"/>
      <c r="F197" s="468"/>
      <c r="G197" s="585"/>
      <c r="H197" s="468"/>
      <c r="I197" s="468"/>
      <c r="J197" s="468"/>
      <c r="K197" s="468"/>
    </row>
    <row r="198" spans="1:11" ht="12.75" customHeight="1" thickBot="1" x14ac:dyDescent="0.25">
      <c r="A198" s="1708" t="s">
        <v>548</v>
      </c>
      <c r="B198" s="1709"/>
      <c r="C198" s="1688">
        <f>SUM(C190:C197)</f>
        <v>510923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360685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360685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9828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9828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25359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165967</v>
      </c>
      <c r="D213" s="466">
        <v>33456</v>
      </c>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191326</v>
      </c>
      <c r="D217" s="1707">
        <f>SUM(D211:D216)</f>
        <v>33456</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18223</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1934</v>
      </c>
      <c r="B261" s="470">
        <v>4981</v>
      </c>
      <c r="C261" s="575"/>
      <c r="D261" s="576"/>
      <c r="E261" s="468"/>
      <c r="F261" s="576"/>
      <c r="G261" s="576"/>
      <c r="H261" s="468"/>
      <c r="I261" s="468"/>
      <c r="J261" s="468"/>
      <c r="K261" s="468"/>
    </row>
    <row r="262" spans="1:11" ht="12.75" customHeight="1" thickTop="1" thickBot="1" x14ac:dyDescent="0.25">
      <c r="A262" s="1930"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19455</v>
      </c>
      <c r="D263" s="576"/>
      <c r="E263" s="468"/>
      <c r="F263" s="576"/>
      <c r="G263" s="576"/>
      <c r="H263" s="468"/>
      <c r="I263" s="468"/>
      <c r="J263" s="468"/>
      <c r="K263" s="468"/>
    </row>
    <row r="264" spans="1:11" ht="12.75" customHeight="1" thickTop="1" thickBot="1" x14ac:dyDescent="0.25">
      <c r="A264" s="463" t="s">
        <v>377</v>
      </c>
      <c r="B264" s="470">
        <v>4992</v>
      </c>
      <c r="C264" s="575">
        <v>76266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1186706</v>
      </c>
      <c r="D266" s="1715">
        <f t="shared" si="10"/>
        <v>33456</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1186706</v>
      </c>
      <c r="D267" s="1715">
        <f>SUM(D175,D181,D266)</f>
        <v>33456</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7954091</v>
      </c>
      <c r="D268" s="1715">
        <f t="shared" si="12"/>
        <v>789146</v>
      </c>
      <c r="E268" s="1715">
        <f t="shared" si="12"/>
        <v>532656</v>
      </c>
      <c r="F268" s="1715">
        <f t="shared" si="12"/>
        <v>269391</v>
      </c>
      <c r="G268" s="1715">
        <f t="shared" si="12"/>
        <v>396382</v>
      </c>
      <c r="H268" s="1715">
        <f t="shared" si="12"/>
        <v>0</v>
      </c>
      <c r="I268" s="1715">
        <f t="shared" si="12"/>
        <v>51338</v>
      </c>
      <c r="J268" s="1715">
        <f t="shared" si="12"/>
        <v>666678</v>
      </c>
      <c r="K268" s="1702">
        <f t="shared" si="12"/>
        <v>2100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customSheetViews>
    <customSheetView guid="{58008B32-E4E8-4E32-8B1E-F6CE50059F4A}" scale="85" colorId="8" showGridLines="0">
      <pane ySplit="2" topLeftCell="A195" activePane="bottomLeft" state="frozen"/>
      <selection pane="bottomLeft" activeCell="D79" sqref="D79"/>
      <rowBreaks count="4" manualBreakCount="4">
        <brk id="56" max="10" man="1"/>
        <brk id="109" max="10" man="1"/>
        <brk id="161" max="10" man="1"/>
        <brk id="213" max="10" man="1"/>
      </rowBreaks>
      <pageMargins left="0.75" right="0.75" top="1" bottom="0.5" header="0.5" footer="0.5"/>
      <printOptions horizontalCentered="1"/>
      <pageSetup scale="61" firstPageNumber="9" orientation="landscape" r:id="rId1"/>
      <headerFooter>
        <oddHeader>&amp;C&amp;"Times New Roman,Regular"EAST ALTON ELEMENTARY SCHOOL DISTRICT NO. 13
STATEMENT OF RECEIPTS - CASH - REGULATORY BASIS
ALL FUNDS
FOR THE YEAR ENDED JUNE 30, 2019</oddHeader>
        <oddFooter>&amp;C&amp;"Times New Roman,Regular"See Notes to Financial Statements and Independent Auditor's Reports
&amp;P</oddFooter>
      </headerFooter>
    </customSheetView>
    <customSheetView guid="{D43C6297-AC1B-41E2-A8C4-03E94593B8FB}" scale="85" colorId="8" showGridLines="0" printArea="1">
      <pane ySplit="2" topLeftCell="A195" activePane="bottomLeft" state="frozen"/>
      <selection pane="bottomLeft" activeCell="D79" sqref="D79"/>
      <rowBreaks count="4" manualBreakCount="4">
        <brk id="56" max="10" man="1"/>
        <brk id="109" max="10" man="1"/>
        <brk id="161" max="10" man="1"/>
        <brk id="213" max="10" man="1"/>
      </rowBreaks>
      <pageMargins left="0.75" right="0.75" top="1" bottom="0.5" header="0.5" footer="0.5"/>
      <printOptions horizontalCentered="1"/>
      <pageSetup scale="61" firstPageNumber="9" orientation="landscape" r:id="rId2"/>
      <headerFooter>
        <oddHeader>&amp;C&amp;"Times New Roman,Regular"EAST ALTON ELEMENTARY SCHOOL DISTRICT NO. 13
STATEMENT OF RECEIPTS - CASH - REGULATORY BASIS
ALL FUNDS
FOR THE YEAR ENDED JUNE 30, 2019</oddHeader>
        <oddFooter>&amp;C&amp;"Times New Roman,Regular"See Notes to Financial Statements and Independent Auditor's Reports
&amp;P</oddFooter>
      </headerFooter>
    </customSheetView>
    <customSheetView guid="{1CEE81F4-A6A8-4CF6-96C8-1AACCC28872D}" scale="85" colorId="8" showGridLines="0">
      <pane ySplit="2" topLeftCell="A195" activePane="bottomLeft" state="frozen"/>
      <selection pane="bottomLeft" activeCell="D79" sqref="D79"/>
      <rowBreaks count="4" manualBreakCount="4">
        <brk id="56" max="10" man="1"/>
        <brk id="109" max="10" man="1"/>
        <brk id="161" max="10" man="1"/>
        <brk id="213" max="10" man="1"/>
      </rowBreaks>
      <pageMargins left="0.75" right="0.75" top="1" bottom="0.5" header="0.5" footer="0.5"/>
      <printOptions horizontalCentered="1"/>
      <pageSetup scale="61" firstPageNumber="9" orientation="landscape" r:id="rId3"/>
      <headerFooter>
        <oddHeader>&amp;C&amp;"Times New Roman,Regular"EAST ALTON ELEMENTARY SCHOOL DISTRICT NO. 13
STATEMENT OF RECEIPTS - CASH - REGULATORY BASIS
ALL FUNDS
FOR THE YEAR ENDED JUNE 30, 2019</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5"/>
  <pageSetup scale="61" firstPageNumber="9" orientation="landscape" r:id="rId4"/>
  <headerFooter>
    <oddHeader>&amp;C&amp;"Times New Roman,Regular"EAST ALTON ELEMENTARY SCHOOL DISTRICT NO. 13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63" activePane="bottomLeft" state="frozen"/>
      <selection activeCell="V29" sqref="V29"/>
      <selection pane="bottomLeft" activeCell="L76" sqref="L7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1756072</v>
      </c>
      <c r="D5" s="466">
        <v>464099</v>
      </c>
      <c r="E5" s="466">
        <v>15128</v>
      </c>
      <c r="F5" s="466">
        <v>46547</v>
      </c>
      <c r="G5" s="466">
        <v>3768</v>
      </c>
      <c r="H5" s="466"/>
      <c r="I5" s="467"/>
      <c r="J5" s="467"/>
      <c r="K5" s="1671">
        <f>SUM(C5:J5)</f>
        <v>2285614</v>
      </c>
      <c r="L5" s="466">
        <v>2292396</v>
      </c>
    </row>
    <row r="6" spans="1:14" x14ac:dyDescent="0.2">
      <c r="A6" s="1504" t="s">
        <v>1433</v>
      </c>
      <c r="B6" s="614" t="s">
        <v>1431</v>
      </c>
      <c r="C6" s="477"/>
      <c r="D6" s="477"/>
      <c r="E6" s="466"/>
      <c r="F6" s="477"/>
      <c r="G6" s="477"/>
      <c r="H6" s="477"/>
      <c r="I6" s="477"/>
      <c r="J6" s="477"/>
      <c r="K6" s="1671">
        <f>SUM(C6,E6)</f>
        <v>0</v>
      </c>
      <c r="L6" s="466">
        <v>200</v>
      </c>
    </row>
    <row r="7" spans="1:14" x14ac:dyDescent="0.2">
      <c r="A7" s="1504" t="s">
        <v>163</v>
      </c>
      <c r="B7" s="614" t="s">
        <v>967</v>
      </c>
      <c r="C7" s="467">
        <v>200315</v>
      </c>
      <c r="D7" s="467">
        <v>130293</v>
      </c>
      <c r="E7" s="467">
        <v>1739</v>
      </c>
      <c r="F7" s="467">
        <v>17313</v>
      </c>
      <c r="G7" s="467">
        <v>2098</v>
      </c>
      <c r="H7" s="467"/>
      <c r="I7" s="467"/>
      <c r="J7" s="467"/>
      <c r="K7" s="1671">
        <f t="shared" ref="K7:K32" si="0">SUM(C7:J7)</f>
        <v>351758</v>
      </c>
      <c r="L7" s="466">
        <v>356519</v>
      </c>
    </row>
    <row r="8" spans="1:14" x14ac:dyDescent="0.2">
      <c r="A8" s="1504" t="s">
        <v>164</v>
      </c>
      <c r="B8" s="614">
        <v>1200</v>
      </c>
      <c r="C8" s="466">
        <v>789383</v>
      </c>
      <c r="D8" s="466">
        <v>237661</v>
      </c>
      <c r="E8" s="466">
        <v>1080</v>
      </c>
      <c r="F8" s="466">
        <v>4430</v>
      </c>
      <c r="G8" s="466"/>
      <c r="H8" s="466"/>
      <c r="I8" s="467"/>
      <c r="J8" s="467"/>
      <c r="K8" s="1671">
        <f t="shared" si="0"/>
        <v>1032554</v>
      </c>
      <c r="L8" s="466">
        <v>1035847</v>
      </c>
    </row>
    <row r="9" spans="1:14" x14ac:dyDescent="0.2">
      <c r="A9" s="1504" t="s">
        <v>721</v>
      </c>
      <c r="B9" s="614" t="s">
        <v>968</v>
      </c>
      <c r="C9" s="467">
        <v>21333</v>
      </c>
      <c r="D9" s="467">
        <v>9315</v>
      </c>
      <c r="E9" s="467"/>
      <c r="F9" s="467"/>
      <c r="G9" s="467"/>
      <c r="H9" s="467"/>
      <c r="I9" s="467"/>
      <c r="J9" s="467"/>
      <c r="K9" s="1671">
        <f t="shared" si="0"/>
        <v>30648</v>
      </c>
      <c r="L9" s="466">
        <v>30790</v>
      </c>
    </row>
    <row r="10" spans="1:14" x14ac:dyDescent="0.2">
      <c r="A10" s="1504" t="s">
        <v>722</v>
      </c>
      <c r="B10" s="614">
        <v>1250</v>
      </c>
      <c r="C10" s="466">
        <v>142664</v>
      </c>
      <c r="D10" s="466">
        <v>8694</v>
      </c>
      <c r="E10" s="466">
        <v>104849</v>
      </c>
      <c r="F10" s="466">
        <v>55145</v>
      </c>
      <c r="G10" s="466">
        <v>4022</v>
      </c>
      <c r="H10" s="466"/>
      <c r="I10" s="467"/>
      <c r="J10" s="467"/>
      <c r="K10" s="1671">
        <f t="shared" si="0"/>
        <v>315374</v>
      </c>
      <c r="L10" s="466">
        <v>239819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304650</v>
      </c>
      <c r="D14" s="466">
        <v>71431</v>
      </c>
      <c r="E14" s="466">
        <v>3743</v>
      </c>
      <c r="F14" s="466">
        <v>9051</v>
      </c>
      <c r="G14" s="466"/>
      <c r="H14" s="466">
        <v>1920</v>
      </c>
      <c r="I14" s="467"/>
      <c r="J14" s="467"/>
      <c r="K14" s="1671">
        <f t="shared" si="0"/>
        <v>390795</v>
      </c>
      <c r="L14" s="466">
        <v>395805</v>
      </c>
    </row>
    <row r="15" spans="1:14" x14ac:dyDescent="0.2">
      <c r="A15" s="1504" t="s">
        <v>964</v>
      </c>
      <c r="B15" s="614">
        <v>1600</v>
      </c>
      <c r="C15" s="466">
        <v>30243</v>
      </c>
      <c r="D15" s="466">
        <v>3497</v>
      </c>
      <c r="E15" s="466"/>
      <c r="F15" s="466">
        <v>4175</v>
      </c>
      <c r="G15" s="466"/>
      <c r="H15" s="466"/>
      <c r="I15" s="467"/>
      <c r="J15" s="467"/>
      <c r="K15" s="1671">
        <f t="shared" si="0"/>
        <v>37915</v>
      </c>
      <c r="L15" s="466">
        <v>33497</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109489</v>
      </c>
      <c r="I22" s="616"/>
      <c r="J22" s="477"/>
      <c r="K22" s="1671">
        <f t="shared" si="0"/>
        <v>109489</v>
      </c>
      <c r="L22" s="471">
        <v>130000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3244660</v>
      </c>
      <c r="D33" s="1670">
        <f t="shared" ref="D33:L33" si="1">SUM(D5:D32)</f>
        <v>924990</v>
      </c>
      <c r="E33" s="1670">
        <f t="shared" si="1"/>
        <v>126539</v>
      </c>
      <c r="F33" s="1670">
        <f t="shared" si="1"/>
        <v>136661</v>
      </c>
      <c r="G33" s="1670">
        <f t="shared" si="1"/>
        <v>9888</v>
      </c>
      <c r="H33" s="1670">
        <f t="shared" si="1"/>
        <v>111409</v>
      </c>
      <c r="I33" s="1670">
        <f t="shared" si="1"/>
        <v>0</v>
      </c>
      <c r="J33" s="1670">
        <f t="shared" si="1"/>
        <v>0</v>
      </c>
      <c r="K33" s="1670">
        <f t="shared" si="1"/>
        <v>4554147</v>
      </c>
      <c r="L33" s="1670">
        <f t="shared" si="1"/>
        <v>4514873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1537</v>
      </c>
      <c r="D36" s="481">
        <v>336</v>
      </c>
      <c r="E36" s="481"/>
      <c r="F36" s="481"/>
      <c r="G36" s="481"/>
      <c r="H36" s="481"/>
      <c r="I36" s="467"/>
      <c r="J36" s="467"/>
      <c r="K36" s="1671">
        <f t="shared" ref="K36:K41" si="2">SUM(C36:J36)</f>
        <v>1873</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25132</v>
      </c>
      <c r="D38" s="466">
        <v>8252</v>
      </c>
      <c r="E38" s="466">
        <v>883</v>
      </c>
      <c r="F38" s="466">
        <v>3159</v>
      </c>
      <c r="G38" s="466"/>
      <c r="H38" s="466">
        <v>60</v>
      </c>
      <c r="I38" s="467"/>
      <c r="J38" s="467"/>
      <c r="K38" s="1671">
        <f t="shared" si="2"/>
        <v>37486</v>
      </c>
      <c r="L38" s="466">
        <v>39565</v>
      </c>
    </row>
    <row r="39" spans="1:14" x14ac:dyDescent="0.2">
      <c r="A39" s="1504" t="s">
        <v>199</v>
      </c>
      <c r="B39" s="614">
        <v>2140</v>
      </c>
      <c r="C39" s="466">
        <v>70604</v>
      </c>
      <c r="D39" s="466">
        <v>24179</v>
      </c>
      <c r="E39" s="466">
        <v>976</v>
      </c>
      <c r="F39" s="466">
        <v>919</v>
      </c>
      <c r="G39" s="466"/>
      <c r="H39" s="466"/>
      <c r="I39" s="467"/>
      <c r="J39" s="467"/>
      <c r="K39" s="1671">
        <f t="shared" si="2"/>
        <v>96678</v>
      </c>
      <c r="L39" s="466">
        <v>100498</v>
      </c>
    </row>
    <row r="40" spans="1:14" x14ac:dyDescent="0.2">
      <c r="A40" s="1504" t="s">
        <v>200</v>
      </c>
      <c r="B40" s="614">
        <v>2150</v>
      </c>
      <c r="C40" s="466">
        <v>146841</v>
      </c>
      <c r="D40" s="466">
        <v>37344</v>
      </c>
      <c r="E40" s="466">
        <v>180</v>
      </c>
      <c r="F40" s="466">
        <v>2057</v>
      </c>
      <c r="G40" s="466"/>
      <c r="H40" s="466"/>
      <c r="I40" s="467"/>
      <c r="J40" s="467"/>
      <c r="K40" s="1671">
        <f t="shared" si="2"/>
        <v>186422</v>
      </c>
      <c r="L40" s="466">
        <v>192596</v>
      </c>
    </row>
    <row r="41" spans="1:14" x14ac:dyDescent="0.2">
      <c r="A41" s="1504" t="s">
        <v>1669</v>
      </c>
      <c r="B41" s="614">
        <v>2190</v>
      </c>
      <c r="C41" s="466">
        <v>6045</v>
      </c>
      <c r="D41" s="466">
        <v>15</v>
      </c>
      <c r="E41" s="466"/>
      <c r="F41" s="466">
        <v>1648</v>
      </c>
      <c r="G41" s="466"/>
      <c r="H41" s="466"/>
      <c r="I41" s="467"/>
      <c r="J41" s="467"/>
      <c r="K41" s="1671">
        <f t="shared" si="2"/>
        <v>7708</v>
      </c>
      <c r="L41" s="466">
        <v>26000</v>
      </c>
    </row>
    <row r="42" spans="1:14" ht="12.75" customHeight="1" thickBot="1" x14ac:dyDescent="0.25">
      <c r="A42" s="1668" t="s">
        <v>560</v>
      </c>
      <c r="B42" s="1669" t="s">
        <v>716</v>
      </c>
      <c r="C42" s="1670">
        <f>SUM(C36:C41)</f>
        <v>250159</v>
      </c>
      <c r="D42" s="1670">
        <f t="shared" ref="D42:L42" si="3">SUM(D36:D41)</f>
        <v>70126</v>
      </c>
      <c r="E42" s="1670">
        <f t="shared" si="3"/>
        <v>2039</v>
      </c>
      <c r="F42" s="1670">
        <f t="shared" si="3"/>
        <v>7783</v>
      </c>
      <c r="G42" s="1670">
        <f t="shared" si="3"/>
        <v>0</v>
      </c>
      <c r="H42" s="1670">
        <f t="shared" si="3"/>
        <v>60</v>
      </c>
      <c r="I42" s="1670">
        <f t="shared" si="3"/>
        <v>0</v>
      </c>
      <c r="J42" s="1670">
        <f t="shared" si="3"/>
        <v>0</v>
      </c>
      <c r="K42" s="1670">
        <f t="shared" si="3"/>
        <v>330167</v>
      </c>
      <c r="L42" s="1670">
        <f t="shared" si="3"/>
        <v>358659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138635</v>
      </c>
      <c r="D44" s="481">
        <v>44025</v>
      </c>
      <c r="E44" s="481">
        <v>28576</v>
      </c>
      <c r="F44" s="481">
        <v>4719</v>
      </c>
      <c r="G44" s="481"/>
      <c r="H44" s="481">
        <v>543</v>
      </c>
      <c r="I44" s="467"/>
      <c r="J44" s="467"/>
      <c r="K44" s="1672">
        <f>SUM(C44:J44)</f>
        <v>216498</v>
      </c>
      <c r="L44" s="481">
        <v>198380</v>
      </c>
    </row>
    <row r="45" spans="1:14" x14ac:dyDescent="0.2">
      <c r="A45" s="1504" t="s">
        <v>815</v>
      </c>
      <c r="B45" s="614">
        <v>2220</v>
      </c>
      <c r="C45" s="466">
        <v>50447</v>
      </c>
      <c r="D45" s="466">
        <v>16</v>
      </c>
      <c r="E45" s="466">
        <v>8187</v>
      </c>
      <c r="F45" s="466">
        <v>77591</v>
      </c>
      <c r="G45" s="466">
        <v>45183</v>
      </c>
      <c r="H45" s="466"/>
      <c r="I45" s="467"/>
      <c r="J45" s="467"/>
      <c r="K45" s="1672">
        <f>SUM(C45:J45)</f>
        <v>181424</v>
      </c>
      <c r="L45" s="466">
        <v>199935</v>
      </c>
    </row>
    <row r="46" spans="1:14" x14ac:dyDescent="0.2">
      <c r="A46" s="1504" t="s">
        <v>816</v>
      </c>
      <c r="B46" s="614">
        <v>2230</v>
      </c>
      <c r="C46" s="466"/>
      <c r="D46" s="466"/>
      <c r="E46" s="466">
        <v>11638</v>
      </c>
      <c r="F46" s="466"/>
      <c r="G46" s="466"/>
      <c r="H46" s="466"/>
      <c r="I46" s="467"/>
      <c r="J46" s="467"/>
      <c r="K46" s="1672">
        <f>SUM(C46:J46)</f>
        <v>11638</v>
      </c>
      <c r="L46" s="466">
        <v>11778</v>
      </c>
    </row>
    <row r="47" spans="1:14" ht="12.75" customHeight="1" thickBot="1" x14ac:dyDescent="0.25">
      <c r="A47" s="1668" t="s">
        <v>561</v>
      </c>
      <c r="B47" s="1669" t="s">
        <v>32</v>
      </c>
      <c r="C47" s="1670">
        <f>SUM(C44:C46)</f>
        <v>189082</v>
      </c>
      <c r="D47" s="1670">
        <f t="shared" ref="D47:K47" si="4">SUM(D44:D46)</f>
        <v>44041</v>
      </c>
      <c r="E47" s="1670">
        <f t="shared" si="4"/>
        <v>48401</v>
      </c>
      <c r="F47" s="1670">
        <f t="shared" si="4"/>
        <v>82310</v>
      </c>
      <c r="G47" s="1670">
        <f t="shared" si="4"/>
        <v>45183</v>
      </c>
      <c r="H47" s="1670">
        <f t="shared" si="4"/>
        <v>543</v>
      </c>
      <c r="I47" s="1670">
        <f t="shared" si="4"/>
        <v>0</v>
      </c>
      <c r="J47" s="1670">
        <f t="shared" si="4"/>
        <v>0</v>
      </c>
      <c r="K47" s="1670">
        <f t="shared" si="4"/>
        <v>409560</v>
      </c>
      <c r="L47" s="1670">
        <f>SUM(L44:L46)</f>
        <v>410093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2000</v>
      </c>
      <c r="D49" s="481">
        <v>158032</v>
      </c>
      <c r="E49" s="481">
        <v>28703</v>
      </c>
      <c r="F49" s="481">
        <v>3402</v>
      </c>
      <c r="G49" s="481"/>
      <c r="H49" s="481">
        <v>6263</v>
      </c>
      <c r="I49" s="467"/>
      <c r="J49" s="467"/>
      <c r="K49" s="1672">
        <f>SUM(C49:J49)</f>
        <v>198400</v>
      </c>
      <c r="L49" s="481">
        <v>191358</v>
      </c>
    </row>
    <row r="50" spans="1:14" x14ac:dyDescent="0.2">
      <c r="A50" s="1504" t="s">
        <v>818</v>
      </c>
      <c r="B50" s="614">
        <v>2320</v>
      </c>
      <c r="C50" s="466">
        <v>175918</v>
      </c>
      <c r="D50" s="466">
        <v>55280</v>
      </c>
      <c r="E50" s="466">
        <v>6346</v>
      </c>
      <c r="F50" s="466">
        <v>7527</v>
      </c>
      <c r="G50" s="466"/>
      <c r="H50" s="466">
        <v>886</v>
      </c>
      <c r="I50" s="467"/>
      <c r="J50" s="467"/>
      <c r="K50" s="1672">
        <f>SUM(C50:J50)</f>
        <v>245957</v>
      </c>
      <c r="L50" s="466">
        <v>252942</v>
      </c>
    </row>
    <row r="51" spans="1:14" x14ac:dyDescent="0.2">
      <c r="A51" s="1504" t="s">
        <v>42</v>
      </c>
      <c r="B51" s="614">
        <v>2330</v>
      </c>
      <c r="C51" s="466">
        <v>130705</v>
      </c>
      <c r="D51" s="466">
        <v>22145</v>
      </c>
      <c r="E51" s="466">
        <v>6829</v>
      </c>
      <c r="F51" s="466">
        <v>3643</v>
      </c>
      <c r="G51" s="466"/>
      <c r="H51" s="466"/>
      <c r="I51" s="467"/>
      <c r="J51" s="467"/>
      <c r="K51" s="1672">
        <f>SUM(C51:J51)</f>
        <v>163322</v>
      </c>
      <c r="L51" s="466">
        <v>198186</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308623</v>
      </c>
      <c r="D53" s="1670">
        <f t="shared" ref="D53:L53" si="5">SUM(D49:D52)</f>
        <v>235457</v>
      </c>
      <c r="E53" s="1670">
        <f t="shared" si="5"/>
        <v>41878</v>
      </c>
      <c r="F53" s="1670">
        <f t="shared" si="5"/>
        <v>14572</v>
      </c>
      <c r="G53" s="1670">
        <f t="shared" si="5"/>
        <v>0</v>
      </c>
      <c r="H53" s="1670">
        <f t="shared" si="5"/>
        <v>7149</v>
      </c>
      <c r="I53" s="1670">
        <f t="shared" si="5"/>
        <v>0</v>
      </c>
      <c r="J53" s="1670">
        <f t="shared" si="5"/>
        <v>0</v>
      </c>
      <c r="K53" s="1670">
        <f t="shared" si="5"/>
        <v>607679</v>
      </c>
      <c r="L53" s="1670">
        <f t="shared" si="5"/>
        <v>642486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257256</v>
      </c>
      <c r="D55" s="481">
        <v>47240</v>
      </c>
      <c r="E55" s="481">
        <v>725</v>
      </c>
      <c r="F55" s="481">
        <v>19070</v>
      </c>
      <c r="G55" s="481"/>
      <c r="H55" s="481">
        <v>1013</v>
      </c>
      <c r="I55" s="467"/>
      <c r="J55" s="467"/>
      <c r="K55" s="1672">
        <f>SUM(C55:J55)</f>
        <v>325304</v>
      </c>
      <c r="L55" s="481">
        <v>311971</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257256</v>
      </c>
      <c r="D57" s="1674">
        <f t="shared" ref="D57:K57" si="6">SUM(D55:D56)</f>
        <v>47240</v>
      </c>
      <c r="E57" s="1674">
        <f t="shared" si="6"/>
        <v>725</v>
      </c>
      <c r="F57" s="1674">
        <f t="shared" si="6"/>
        <v>19070</v>
      </c>
      <c r="G57" s="1674">
        <f t="shared" si="6"/>
        <v>0</v>
      </c>
      <c r="H57" s="1674">
        <f t="shared" si="6"/>
        <v>1013</v>
      </c>
      <c r="I57" s="1674">
        <f t="shared" si="6"/>
        <v>0</v>
      </c>
      <c r="J57" s="1674">
        <f t="shared" si="6"/>
        <v>0</v>
      </c>
      <c r="K57" s="1674">
        <f t="shared" si="6"/>
        <v>325304</v>
      </c>
      <c r="L57" s="1670">
        <f>SUM(L55:L56)</f>
        <v>311971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52676</v>
      </c>
      <c r="D60" s="466">
        <v>10891</v>
      </c>
      <c r="E60" s="466">
        <v>3258</v>
      </c>
      <c r="F60" s="466">
        <v>13851</v>
      </c>
      <c r="G60" s="466"/>
      <c r="H60" s="466"/>
      <c r="I60" s="467"/>
      <c r="J60" s="467"/>
      <c r="K60" s="1672">
        <f t="shared" si="7"/>
        <v>80676</v>
      </c>
      <c r="L60" s="466">
        <v>85423</v>
      </c>
      <c r="M60" s="609"/>
      <c r="N60" s="609"/>
    </row>
    <row r="61" spans="1:14" s="343" customFormat="1" x14ac:dyDescent="0.2">
      <c r="A61" s="1504" t="s">
        <v>197</v>
      </c>
      <c r="B61" s="614">
        <v>2540</v>
      </c>
      <c r="C61" s="466">
        <v>49339</v>
      </c>
      <c r="D61" s="466">
        <v>6178</v>
      </c>
      <c r="E61" s="466">
        <v>8194</v>
      </c>
      <c r="F61" s="466">
        <v>22361</v>
      </c>
      <c r="G61" s="466">
        <v>46250</v>
      </c>
      <c r="H61" s="466"/>
      <c r="I61" s="467"/>
      <c r="J61" s="467"/>
      <c r="K61" s="1672">
        <f t="shared" si="7"/>
        <v>132322</v>
      </c>
      <c r="L61" s="466">
        <v>118210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190228</v>
      </c>
      <c r="D63" s="466">
        <v>9718</v>
      </c>
      <c r="E63" s="466">
        <v>12020</v>
      </c>
      <c r="F63" s="466">
        <v>279291</v>
      </c>
      <c r="G63" s="466"/>
      <c r="H63" s="466">
        <v>2140</v>
      </c>
      <c r="I63" s="467"/>
      <c r="J63" s="467"/>
      <c r="K63" s="1672">
        <f t="shared" si="7"/>
        <v>493397</v>
      </c>
      <c r="L63" s="466">
        <v>526630</v>
      </c>
    </row>
    <row r="64" spans="1:14" s="609" customFormat="1" x14ac:dyDescent="0.2">
      <c r="A64" s="1509" t="s">
        <v>101</v>
      </c>
      <c r="B64" s="630">
        <v>2570</v>
      </c>
      <c r="C64" s="481"/>
      <c r="D64" s="481"/>
      <c r="E64" s="481"/>
      <c r="F64" s="481">
        <v>594</v>
      </c>
      <c r="G64" s="481"/>
      <c r="H64" s="481"/>
      <c r="I64" s="467"/>
      <c r="J64" s="467"/>
      <c r="K64" s="1672">
        <f t="shared" si="7"/>
        <v>594</v>
      </c>
      <c r="L64" s="481">
        <v>1400</v>
      </c>
    </row>
    <row r="65" spans="1:14" s="343" customFormat="1" ht="12.75" customHeight="1" thickBot="1" x14ac:dyDescent="0.25">
      <c r="A65" s="1668" t="s">
        <v>719</v>
      </c>
      <c r="B65" s="1669" t="s">
        <v>35</v>
      </c>
      <c r="C65" s="1670">
        <f>SUM(C59:C64)</f>
        <v>292243</v>
      </c>
      <c r="D65" s="1670">
        <f t="shared" ref="D65:L65" si="8">SUM(D59:D64)</f>
        <v>26787</v>
      </c>
      <c r="E65" s="1670">
        <f t="shared" si="8"/>
        <v>23472</v>
      </c>
      <c r="F65" s="1670">
        <f t="shared" si="8"/>
        <v>316097</v>
      </c>
      <c r="G65" s="1670">
        <f t="shared" si="8"/>
        <v>46250</v>
      </c>
      <c r="H65" s="1670">
        <f t="shared" si="8"/>
        <v>2140</v>
      </c>
      <c r="I65" s="1670">
        <f t="shared" si="8"/>
        <v>0</v>
      </c>
      <c r="J65" s="1670">
        <f t="shared" si="8"/>
        <v>0</v>
      </c>
      <c r="K65" s="1670">
        <f t="shared" si="8"/>
        <v>706989</v>
      </c>
      <c r="L65" s="1670">
        <f t="shared" si="8"/>
        <v>731663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1688</v>
      </c>
      <c r="F69" s="466"/>
      <c r="G69" s="466"/>
      <c r="H69" s="466"/>
      <c r="I69" s="467"/>
      <c r="J69" s="467"/>
      <c r="K69" s="1672">
        <f>SUM(C69:J69)</f>
        <v>1688</v>
      </c>
      <c r="L69" s="466">
        <v>2700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v>24789</v>
      </c>
      <c r="D71" s="466"/>
      <c r="E71" s="466"/>
      <c r="F71" s="466"/>
      <c r="G71" s="466"/>
      <c r="H71" s="466"/>
      <c r="I71" s="467"/>
      <c r="J71" s="467"/>
      <c r="K71" s="1672">
        <f>SUM(C71:J71)</f>
        <v>24789</v>
      </c>
      <c r="L71" s="466">
        <v>24854</v>
      </c>
      <c r="M71" s="609"/>
      <c r="N71" s="609"/>
    </row>
    <row r="72" spans="1:14" s="343" customFormat="1" ht="12.75" customHeight="1" thickBot="1" x14ac:dyDescent="0.25">
      <c r="A72" s="1668" t="s">
        <v>37</v>
      </c>
      <c r="B72" s="1675" t="s">
        <v>36</v>
      </c>
      <c r="C72" s="1670">
        <f>SUM(C67:C71)</f>
        <v>24789</v>
      </c>
      <c r="D72" s="1670">
        <f t="shared" ref="D72:K72" si="9">SUM(D67:D71)</f>
        <v>0</v>
      </c>
      <c r="E72" s="1670">
        <f t="shared" si="9"/>
        <v>1688</v>
      </c>
      <c r="F72" s="1670">
        <f t="shared" si="9"/>
        <v>0</v>
      </c>
      <c r="G72" s="1670">
        <f t="shared" si="9"/>
        <v>0</v>
      </c>
      <c r="H72" s="1670">
        <f t="shared" si="9"/>
        <v>0</v>
      </c>
      <c r="I72" s="1670">
        <f t="shared" si="9"/>
        <v>0</v>
      </c>
      <c r="J72" s="1670">
        <f t="shared" si="9"/>
        <v>0</v>
      </c>
      <c r="K72" s="1670">
        <f t="shared" si="9"/>
        <v>26477</v>
      </c>
      <c r="L72" s="1670">
        <f>SUM(L67:L71)</f>
        <v>27554</v>
      </c>
      <c r="M72" s="609"/>
      <c r="N72" s="609"/>
    </row>
    <row r="73" spans="1:14" s="343" customFormat="1" ht="14.25" thickTop="1" thickBot="1" x14ac:dyDescent="0.25">
      <c r="A73" s="1510" t="s">
        <v>980</v>
      </c>
      <c r="B73" s="632" t="s">
        <v>574</v>
      </c>
      <c r="C73" s="573"/>
      <c r="D73" s="573">
        <v>20363</v>
      </c>
      <c r="E73" s="573"/>
      <c r="F73" s="573"/>
      <c r="G73" s="573"/>
      <c r="H73" s="573"/>
      <c r="I73" s="531"/>
      <c r="J73" s="531"/>
      <c r="K73" s="1670">
        <f>SUM(C73:J73)</f>
        <v>20363</v>
      </c>
      <c r="L73" s="576">
        <v>0</v>
      </c>
      <c r="M73" s="609"/>
      <c r="N73" s="609"/>
    </row>
    <row r="74" spans="1:14" ht="12.75" customHeight="1" thickTop="1" thickBot="1" x14ac:dyDescent="0.25">
      <c r="A74" s="1668" t="s">
        <v>811</v>
      </c>
      <c r="B74" s="1676">
        <v>2000</v>
      </c>
      <c r="C74" s="1677">
        <f>SUM(C42,C47,C53,C57,C65,C72,C73)</f>
        <v>1322152</v>
      </c>
      <c r="D74" s="1677">
        <f t="shared" ref="D74:K74" si="10">SUM(D42,D47,D53,D57,D65,D72,D73)</f>
        <v>444014</v>
      </c>
      <c r="E74" s="1677">
        <f t="shared" si="10"/>
        <v>118203</v>
      </c>
      <c r="F74" s="1677">
        <f t="shared" si="10"/>
        <v>439832</v>
      </c>
      <c r="G74" s="1677">
        <f t="shared" si="10"/>
        <v>91433</v>
      </c>
      <c r="H74" s="1677">
        <f t="shared" si="10"/>
        <v>10905</v>
      </c>
      <c r="I74" s="1677">
        <f t="shared" si="10"/>
        <v>0</v>
      </c>
      <c r="J74" s="1677">
        <f t="shared" si="10"/>
        <v>0</v>
      </c>
      <c r="K74" s="1677">
        <f t="shared" si="10"/>
        <v>2426539</v>
      </c>
      <c r="L74" s="1677">
        <f>SUM(L42,L47,L53,L57,L65,L72,L73)</f>
        <v>2482426</v>
      </c>
    </row>
    <row r="75" spans="1:14" s="259" customFormat="1" ht="15.75" customHeight="1" thickTop="1" thickBot="1" x14ac:dyDescent="0.25">
      <c r="A75" s="1610" t="s">
        <v>47</v>
      </c>
      <c r="B75" s="1611" t="s">
        <v>575</v>
      </c>
      <c r="C75" s="573">
        <v>287588</v>
      </c>
      <c r="D75" s="573">
        <v>48743</v>
      </c>
      <c r="E75" s="573">
        <v>5080</v>
      </c>
      <c r="F75" s="573">
        <v>35669</v>
      </c>
      <c r="G75" s="573">
        <v>10032</v>
      </c>
      <c r="H75" s="573">
        <v>6134</v>
      </c>
      <c r="I75" s="531"/>
      <c r="J75" s="531"/>
      <c r="K75" s="1670">
        <f>SUM(C75:J75)</f>
        <v>393246</v>
      </c>
      <c r="L75" s="576">
        <v>443292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26371</v>
      </c>
      <c r="F79" s="616"/>
      <c r="G79" s="616"/>
      <c r="H79" s="466">
        <v>258740</v>
      </c>
      <c r="I79" s="477"/>
      <c r="J79" s="477"/>
      <c r="K79" s="1671">
        <f t="shared" si="11"/>
        <v>285111</v>
      </c>
      <c r="L79" s="466">
        <v>257302</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26371</v>
      </c>
      <c r="F84" s="616"/>
      <c r="G84" s="616"/>
      <c r="H84" s="1670">
        <f>SUM(H78:H83)</f>
        <v>258740</v>
      </c>
      <c r="I84" s="477"/>
      <c r="J84" s="477"/>
      <c r="K84" s="1670">
        <f>SUM(K78:K83)</f>
        <v>285111</v>
      </c>
      <c r="L84" s="1670">
        <f>SUM(L78:L83)</f>
        <v>257302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26371</v>
      </c>
      <c r="F102" s="616"/>
      <c r="G102" s="616"/>
      <c r="H102" s="1677">
        <f>SUM(H84,H92,H100,H101)</f>
        <v>258740</v>
      </c>
      <c r="I102" s="477"/>
      <c r="J102" s="477"/>
      <c r="K102" s="1677">
        <f>SUM(K84,K92,K100,K101)</f>
        <v>285111</v>
      </c>
      <c r="L102" s="1677">
        <f>SUM(L84,L92,L100,L101)</f>
        <v>257302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150000</v>
      </c>
      <c r="M113" s="613"/>
      <c r="N113" s="613"/>
    </row>
    <row r="114" spans="1:14" ht="12.75" customHeight="1" thickTop="1" thickBot="1" x14ac:dyDescent="0.25">
      <c r="A114" s="1668" t="s">
        <v>48</v>
      </c>
      <c r="B114" s="1682"/>
      <c r="C114" s="1670">
        <f>SUM(C33,C74,C75,C102,C112,C113)</f>
        <v>4854400</v>
      </c>
      <c r="D114" s="1670">
        <f t="shared" ref="D114:K114" si="13">SUM(D33,D74,D75,D102,D112,D113)</f>
        <v>1417747</v>
      </c>
      <c r="E114" s="1670">
        <f t="shared" si="13"/>
        <v>276193</v>
      </c>
      <c r="F114" s="1670">
        <f t="shared" si="13"/>
        <v>612162</v>
      </c>
      <c r="G114" s="1670">
        <f t="shared" si="13"/>
        <v>111353</v>
      </c>
      <c r="H114" s="1670">
        <f>SUM(H33,H74,H75,H102,H112,H113)</f>
        <v>387188</v>
      </c>
      <c r="I114" s="1670">
        <f t="shared" si="13"/>
        <v>0</v>
      </c>
      <c r="J114" s="1670">
        <f t="shared" si="13"/>
        <v>0</v>
      </c>
      <c r="K114" s="1670">
        <f t="shared" si="13"/>
        <v>7659043</v>
      </c>
      <c r="L114" s="1670">
        <f>SUM(L33,L74,L75,L102,L112,L113)</f>
        <v>7847893</v>
      </c>
    </row>
    <row r="115" spans="1:14" ht="13.5" thickTop="1" x14ac:dyDescent="0.2">
      <c r="A115" s="2152" t="s">
        <v>996</v>
      </c>
      <c r="B115" s="2153"/>
      <c r="C115" s="618"/>
      <c r="D115" s="618"/>
      <c r="E115" s="618"/>
      <c r="F115" s="618"/>
      <c r="G115" s="618"/>
      <c r="H115" s="618"/>
      <c r="I115" s="618"/>
      <c r="J115" s="618"/>
      <c r="K115" s="1684">
        <f>'Revenues 9-14'!C268-'Expenditures 15-22'!K114</f>
        <v>295048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218887</v>
      </c>
      <c r="D124" s="466">
        <v>36026</v>
      </c>
      <c r="E124" s="466">
        <v>122943</v>
      </c>
      <c r="F124" s="466">
        <v>194778</v>
      </c>
      <c r="G124" s="466"/>
      <c r="H124" s="466"/>
      <c r="I124" s="467"/>
      <c r="J124" s="467"/>
      <c r="K124" s="1670">
        <f>SUM(C124:J124)</f>
        <v>572634</v>
      </c>
      <c r="L124" s="466">
        <v>593633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218887</v>
      </c>
      <c r="D127" s="1670">
        <f t="shared" ref="D127:L127" si="14">SUM(D122:D126)</f>
        <v>36026</v>
      </c>
      <c r="E127" s="1670">
        <f t="shared" si="14"/>
        <v>122943</v>
      </c>
      <c r="F127" s="1670">
        <f t="shared" si="14"/>
        <v>194778</v>
      </c>
      <c r="G127" s="1670">
        <f t="shared" si="14"/>
        <v>0</v>
      </c>
      <c r="H127" s="1670">
        <f t="shared" si="14"/>
        <v>0</v>
      </c>
      <c r="I127" s="1670">
        <f t="shared" si="14"/>
        <v>0</v>
      </c>
      <c r="J127" s="1670">
        <f t="shared" si="14"/>
        <v>0</v>
      </c>
      <c r="K127" s="1670">
        <f t="shared" si="14"/>
        <v>572634</v>
      </c>
      <c r="L127" s="1670">
        <f t="shared" si="14"/>
        <v>593633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218887</v>
      </c>
      <c r="D129" s="1677">
        <f t="shared" ref="D129:L129" si="15">SUM(D120,D127,D128)</f>
        <v>36026</v>
      </c>
      <c r="E129" s="1677">
        <f t="shared" si="15"/>
        <v>122943</v>
      </c>
      <c r="F129" s="1677">
        <f t="shared" si="15"/>
        <v>194778</v>
      </c>
      <c r="G129" s="1677">
        <f t="shared" si="15"/>
        <v>0</v>
      </c>
      <c r="H129" s="1677">
        <f t="shared" si="15"/>
        <v>0</v>
      </c>
      <c r="I129" s="1677">
        <f t="shared" si="15"/>
        <v>0</v>
      </c>
      <c r="J129" s="1677">
        <f t="shared" si="15"/>
        <v>0</v>
      </c>
      <c r="K129" s="1677">
        <f t="shared" si="15"/>
        <v>572634</v>
      </c>
      <c r="L129" s="1677">
        <f t="shared" si="15"/>
        <v>593633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50000</v>
      </c>
    </row>
    <row r="151" spans="1:14" ht="12.75" customHeight="1" thickTop="1" thickBot="1" x14ac:dyDescent="0.25">
      <c r="A151" s="2169" t="s">
        <v>620</v>
      </c>
      <c r="B151" s="2149"/>
      <c r="C151" s="1670">
        <f>SUM(C129,C130,C139,C149,C150)</f>
        <v>218887</v>
      </c>
      <c r="D151" s="1670">
        <f t="shared" ref="D151:K151" si="16">SUM(D129,D130,D139,D149,D150)</f>
        <v>36026</v>
      </c>
      <c r="E151" s="1670">
        <f t="shared" si="16"/>
        <v>122943</v>
      </c>
      <c r="F151" s="1670">
        <f t="shared" si="16"/>
        <v>194778</v>
      </c>
      <c r="G151" s="1670">
        <f t="shared" si="16"/>
        <v>0</v>
      </c>
      <c r="H151" s="1670">
        <f t="shared" si="16"/>
        <v>0</v>
      </c>
      <c r="I151" s="1670">
        <f t="shared" si="16"/>
        <v>0</v>
      </c>
      <c r="J151" s="1670">
        <f t="shared" si="16"/>
        <v>0</v>
      </c>
      <c r="K151" s="1670">
        <f t="shared" si="16"/>
        <v>572634</v>
      </c>
      <c r="L151" s="1670">
        <f>SUM(L129,L130,L139,L149,L150)</f>
        <v>643633</v>
      </c>
    </row>
    <row r="152" spans="1:14" ht="12.75" customHeight="1" thickTop="1" x14ac:dyDescent="0.2">
      <c r="A152" s="2172" t="s">
        <v>1178</v>
      </c>
      <c r="B152" s="2173"/>
      <c r="C152" s="618"/>
      <c r="D152" s="618"/>
      <c r="E152" s="618"/>
      <c r="F152" s="618"/>
      <c r="G152" s="618"/>
      <c r="H152" s="618"/>
      <c r="I152" s="618"/>
      <c r="J152" s="616"/>
      <c r="K152" s="1684">
        <f>'Revenues 9-14'!D268-'Expenditures 15-22'!K151</f>
        <v>216512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77000</v>
      </c>
      <c r="I169" s="616"/>
      <c r="J169" s="616"/>
      <c r="K169" s="1671">
        <f>SUM(C169:H169)</f>
        <v>77000</v>
      </c>
      <c r="L169" s="656">
        <v>73867</v>
      </c>
    </row>
    <row r="170" spans="1:14" ht="33.75" customHeight="1" x14ac:dyDescent="0.2">
      <c r="A170" s="669" t="s">
        <v>1670</v>
      </c>
      <c r="B170" s="671" t="s">
        <v>31</v>
      </c>
      <c r="C170" s="616"/>
      <c r="D170" s="616"/>
      <c r="E170" s="616"/>
      <c r="F170" s="616"/>
      <c r="G170" s="616"/>
      <c r="H170" s="569">
        <v>464966</v>
      </c>
      <c r="I170" s="616"/>
      <c r="J170" s="616"/>
      <c r="K170" s="1671">
        <f>SUM(C170:J170)</f>
        <v>464966</v>
      </c>
      <c r="L170" s="569">
        <v>444100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541966</v>
      </c>
      <c r="I172" s="638"/>
      <c r="J172" s="616"/>
      <c r="K172" s="1677">
        <f>SUM(K168,K169,K170,K171)</f>
        <v>541966</v>
      </c>
      <c r="L172" s="1677">
        <f>SUM(L168,L169,L170,L171)</f>
        <v>517967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541966</v>
      </c>
      <c r="I174" s="638"/>
      <c r="J174" s="616"/>
      <c r="K174" s="1677">
        <f>SUM(K160,K172,K173)</f>
        <v>541966</v>
      </c>
      <c r="L174" s="1677">
        <f>SUM(L160,L172,L173)</f>
        <v>517967</v>
      </c>
    </row>
    <row r="175" spans="1:14" ht="13.5" thickTop="1" x14ac:dyDescent="0.2">
      <c r="A175" s="2152" t="s">
        <v>996</v>
      </c>
      <c r="B175" s="2153"/>
      <c r="C175" s="616"/>
      <c r="D175" s="616"/>
      <c r="E175" s="616"/>
      <c r="F175" s="616"/>
      <c r="G175" s="616"/>
      <c r="H175" s="618"/>
      <c r="I175" s="616"/>
      <c r="J175" s="616"/>
      <c r="K175" s="1684">
        <f>'Revenues 9-14'!E268-'Expenditures 15-22'!K174</f>
        <v>-9310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156992</v>
      </c>
      <c r="D182" s="466">
        <v>18118</v>
      </c>
      <c r="E182" s="466">
        <v>36957</v>
      </c>
      <c r="F182" s="466">
        <v>16240</v>
      </c>
      <c r="G182" s="466">
        <v>197</v>
      </c>
      <c r="H182" s="466">
        <v>60</v>
      </c>
      <c r="I182" s="467"/>
      <c r="J182" s="467"/>
      <c r="K182" s="1671">
        <f>SUM(C182:J182)</f>
        <v>228564</v>
      </c>
      <c r="L182" s="466">
        <v>221717</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156992</v>
      </c>
      <c r="D184" s="1677">
        <f t="shared" ref="D184:J184" si="17">SUM(D180,D182,D183)</f>
        <v>18118</v>
      </c>
      <c r="E184" s="1677">
        <f t="shared" si="17"/>
        <v>36957</v>
      </c>
      <c r="F184" s="1677">
        <f t="shared" si="17"/>
        <v>16240</v>
      </c>
      <c r="G184" s="1677">
        <f t="shared" si="17"/>
        <v>197</v>
      </c>
      <c r="H184" s="1677">
        <f t="shared" si="17"/>
        <v>60</v>
      </c>
      <c r="I184" s="1677">
        <f t="shared" si="17"/>
        <v>0</v>
      </c>
      <c r="J184" s="1677">
        <f t="shared" si="17"/>
        <v>0</v>
      </c>
      <c r="K184" s="1677">
        <f>SUM(K180,K182,K183)</f>
        <v>228564</v>
      </c>
      <c r="L184" s="1677">
        <f>SUM(L180, L182:L183)</f>
        <v>221717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736</v>
      </c>
      <c r="F189" s="616"/>
      <c r="G189" s="616"/>
      <c r="H189" s="466"/>
      <c r="I189" s="477"/>
      <c r="J189" s="616"/>
      <c r="K189" s="1671">
        <f t="shared" si="18"/>
        <v>736</v>
      </c>
      <c r="L189" s="466">
        <v>10000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736</v>
      </c>
      <c r="F194" s="616"/>
      <c r="G194" s="616"/>
      <c r="H194" s="1670">
        <f>SUM(H188:H193)</f>
        <v>0</v>
      </c>
      <c r="I194" s="477"/>
      <c r="J194" s="616"/>
      <c r="K194" s="1670">
        <f>SUM(K188:K193)</f>
        <v>736</v>
      </c>
      <c r="L194" s="1670">
        <f>SUM(L188:L193)</f>
        <v>10000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736</v>
      </c>
      <c r="F196" s="616"/>
      <c r="G196" s="616"/>
      <c r="H196" s="1677">
        <f>SUM(H194,H195)</f>
        <v>0</v>
      </c>
      <c r="I196" s="477"/>
      <c r="J196" s="616"/>
      <c r="K196" s="1677">
        <f>SUM(K194,K195)</f>
        <v>736</v>
      </c>
      <c r="L196" s="1677">
        <f>SUM(L194,L195)</f>
        <v>10000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156992</v>
      </c>
      <c r="D210" s="1670">
        <f>SUM(D184,D185)</f>
        <v>18118</v>
      </c>
      <c r="E210" s="1670">
        <f>SUM(E184,E185,E196)</f>
        <v>37693</v>
      </c>
      <c r="F210" s="1670">
        <f>SUM(F184,F185)</f>
        <v>16240</v>
      </c>
      <c r="G210" s="1670">
        <f>SUM(G184,G185)</f>
        <v>197</v>
      </c>
      <c r="H210" s="1670">
        <f>SUM(H184,H185,H196,H208,H209)</f>
        <v>60</v>
      </c>
      <c r="I210" s="1670">
        <f>SUM(I184,I185)</f>
        <v>0</v>
      </c>
      <c r="J210" s="1670">
        <f>SUM(J184,J185)</f>
        <v>0</v>
      </c>
      <c r="K210" s="1671">
        <f>SUM(K184,K185,K196,K208,K209)</f>
        <v>229300</v>
      </c>
      <c r="L210" s="1670">
        <f>SUM(L184,L185,L196,L208,L209)</f>
        <v>231717</v>
      </c>
    </row>
    <row r="211" spans="1:14" ht="13.5" thickTop="1" x14ac:dyDescent="0.2">
      <c r="A211" s="2152" t="s">
        <v>996</v>
      </c>
      <c r="B211" s="2153"/>
      <c r="C211" s="618"/>
      <c r="D211" s="618"/>
      <c r="E211" s="618"/>
      <c r="F211" s="618"/>
      <c r="G211" s="618"/>
      <c r="H211" s="618"/>
      <c r="I211" s="616"/>
      <c r="J211" s="616"/>
      <c r="K211" s="1684">
        <f>'Revenues 9-14'!F268-'Expenditures 15-22'!K210</f>
        <v>40091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24274</v>
      </c>
      <c r="E215" s="616"/>
      <c r="F215" s="616"/>
      <c r="G215" s="616"/>
      <c r="H215" s="616"/>
      <c r="I215" s="616"/>
      <c r="J215" s="616"/>
      <c r="K215" s="1671">
        <f>D215</f>
        <v>24274</v>
      </c>
      <c r="L215" s="466">
        <v>24714</v>
      </c>
    </row>
    <row r="216" spans="1:14" x14ac:dyDescent="0.2">
      <c r="A216" s="1504" t="s">
        <v>163</v>
      </c>
      <c r="B216" s="614" t="s">
        <v>967</v>
      </c>
      <c r="C216" s="616"/>
      <c r="D216" s="467">
        <v>15431</v>
      </c>
      <c r="E216" s="616"/>
      <c r="F216" s="616"/>
      <c r="G216" s="616"/>
      <c r="H216" s="616"/>
      <c r="I216" s="616"/>
      <c r="J216" s="616"/>
      <c r="K216" s="1671">
        <f t="shared" ref="K216:K228" si="19">D216</f>
        <v>15431</v>
      </c>
      <c r="L216" s="466">
        <v>16795</v>
      </c>
    </row>
    <row r="217" spans="1:14" x14ac:dyDescent="0.2">
      <c r="A217" s="1504" t="s">
        <v>164</v>
      </c>
      <c r="B217" s="614">
        <v>1200</v>
      </c>
      <c r="C217" s="616"/>
      <c r="D217" s="466">
        <v>18353</v>
      </c>
      <c r="E217" s="616"/>
      <c r="F217" s="616"/>
      <c r="G217" s="616"/>
      <c r="H217" s="616"/>
      <c r="I217" s="616"/>
      <c r="J217" s="616"/>
      <c r="K217" s="1671">
        <f t="shared" si="19"/>
        <v>18353</v>
      </c>
      <c r="L217" s="466">
        <v>21444</v>
      </c>
    </row>
    <row r="218" spans="1:14" x14ac:dyDescent="0.2">
      <c r="A218" s="1504" t="s">
        <v>278</v>
      </c>
      <c r="B218" s="614" t="s">
        <v>968</v>
      </c>
      <c r="C218" s="616"/>
      <c r="D218" s="467">
        <v>269</v>
      </c>
      <c r="E218" s="616"/>
      <c r="F218" s="616"/>
      <c r="G218" s="616"/>
      <c r="H218" s="616"/>
      <c r="I218" s="616"/>
      <c r="J218" s="616"/>
      <c r="K218" s="1671">
        <f t="shared" si="19"/>
        <v>269</v>
      </c>
      <c r="L218" s="466">
        <v>312</v>
      </c>
    </row>
    <row r="219" spans="1:14" x14ac:dyDescent="0.2">
      <c r="A219" s="1504" t="s">
        <v>279</v>
      </c>
      <c r="B219" s="614">
        <v>1250</v>
      </c>
      <c r="C219" s="616"/>
      <c r="D219" s="466">
        <v>20839</v>
      </c>
      <c r="E219" s="616"/>
      <c r="F219" s="616"/>
      <c r="G219" s="616"/>
      <c r="H219" s="616"/>
      <c r="I219" s="616"/>
      <c r="J219" s="616"/>
      <c r="K219" s="1671">
        <f t="shared" si="19"/>
        <v>20839</v>
      </c>
      <c r="L219" s="466">
        <v>23034</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v>4716</v>
      </c>
      <c r="E223" s="616"/>
      <c r="F223" s="616"/>
      <c r="G223" s="616"/>
      <c r="H223" s="616"/>
      <c r="I223" s="616"/>
      <c r="J223" s="616"/>
      <c r="K223" s="1671">
        <f t="shared" si="19"/>
        <v>4716</v>
      </c>
      <c r="L223" s="466">
        <v>4935</v>
      </c>
    </row>
    <row r="224" spans="1:14" x14ac:dyDescent="0.2">
      <c r="A224" s="1504" t="s">
        <v>964</v>
      </c>
      <c r="B224" s="614">
        <v>1600</v>
      </c>
      <c r="C224" s="616"/>
      <c r="D224" s="466">
        <v>780</v>
      </c>
      <c r="E224" s="616"/>
      <c r="F224" s="616"/>
      <c r="G224" s="616"/>
      <c r="H224" s="616"/>
      <c r="I224" s="616"/>
      <c r="J224" s="616"/>
      <c r="K224" s="1671">
        <f t="shared" si="19"/>
        <v>780</v>
      </c>
      <c r="L224" s="466">
        <v>494</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84662</v>
      </c>
      <c r="E229" s="616"/>
      <c r="F229" s="616"/>
      <c r="G229" s="616"/>
      <c r="H229" s="616"/>
      <c r="I229" s="616"/>
      <c r="J229" s="616"/>
      <c r="K229" s="1670">
        <f>SUM(K215:K228)</f>
        <v>84662</v>
      </c>
      <c r="L229" s="1670">
        <f>SUM(L215:L228)</f>
        <v>91728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15</v>
      </c>
      <c r="E232" s="616"/>
      <c r="F232" s="616"/>
      <c r="G232" s="616"/>
      <c r="H232" s="616"/>
      <c r="I232" s="616"/>
      <c r="J232" s="616"/>
      <c r="K232" s="1671">
        <f t="shared" ref="K232:K237" si="20">D232</f>
        <v>15</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8635</v>
      </c>
      <c r="E234" s="616"/>
      <c r="F234" s="616"/>
      <c r="G234" s="616"/>
      <c r="H234" s="616"/>
      <c r="I234" s="616"/>
      <c r="J234" s="616"/>
      <c r="K234" s="1671">
        <f t="shared" si="20"/>
        <v>8635</v>
      </c>
      <c r="L234" s="466">
        <v>9485</v>
      </c>
    </row>
    <row r="235" spans="1:12" x14ac:dyDescent="0.2">
      <c r="A235" s="1504" t="s">
        <v>199</v>
      </c>
      <c r="B235" s="614">
        <v>2140</v>
      </c>
      <c r="C235" s="616"/>
      <c r="D235" s="466">
        <v>2012</v>
      </c>
      <c r="E235" s="616"/>
      <c r="F235" s="616"/>
      <c r="G235" s="616"/>
      <c r="H235" s="616"/>
      <c r="I235" s="616"/>
      <c r="J235" s="616"/>
      <c r="K235" s="1671">
        <f t="shared" si="20"/>
        <v>2012</v>
      </c>
      <c r="L235" s="466">
        <v>2071</v>
      </c>
    </row>
    <row r="236" spans="1:12" x14ac:dyDescent="0.2">
      <c r="A236" s="1504" t="s">
        <v>200</v>
      </c>
      <c r="B236" s="614">
        <v>2150</v>
      </c>
      <c r="C236" s="616"/>
      <c r="D236" s="466">
        <v>2038</v>
      </c>
      <c r="E236" s="616"/>
      <c r="F236" s="616"/>
      <c r="G236" s="616"/>
      <c r="H236" s="616"/>
      <c r="I236" s="616"/>
      <c r="J236" s="616"/>
      <c r="K236" s="1671">
        <f t="shared" si="20"/>
        <v>2038</v>
      </c>
      <c r="L236" s="466">
        <v>2240</v>
      </c>
    </row>
    <row r="237" spans="1:12" x14ac:dyDescent="0.2">
      <c r="A237" s="1504" t="s">
        <v>165</v>
      </c>
      <c r="B237" s="614">
        <v>2190</v>
      </c>
      <c r="C237" s="616"/>
      <c r="D237" s="466">
        <v>6364</v>
      </c>
      <c r="E237" s="616"/>
      <c r="F237" s="616"/>
      <c r="G237" s="616"/>
      <c r="H237" s="616"/>
      <c r="I237" s="616"/>
      <c r="J237" s="616"/>
      <c r="K237" s="1671">
        <f t="shared" si="20"/>
        <v>6364</v>
      </c>
      <c r="L237" s="466">
        <v>6527</v>
      </c>
    </row>
    <row r="238" spans="1:12" ht="12.75" customHeight="1" thickBot="1" x14ac:dyDescent="0.25">
      <c r="A238" s="1668" t="s">
        <v>560</v>
      </c>
      <c r="B238" s="1675" t="s">
        <v>716</v>
      </c>
      <c r="C238" s="616"/>
      <c r="D238" s="1670">
        <f>SUM(D232:D237)</f>
        <v>19064</v>
      </c>
      <c r="E238" s="616"/>
      <c r="F238" s="616"/>
      <c r="G238" s="616"/>
      <c r="H238" s="616"/>
      <c r="I238" s="616"/>
      <c r="J238" s="616"/>
      <c r="K238" s="1670">
        <f>SUM(K232:K237)</f>
        <v>19064</v>
      </c>
      <c r="L238" s="1670">
        <f>SUM(L232:L237)</f>
        <v>20323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2065</v>
      </c>
      <c r="E240" s="616"/>
      <c r="F240" s="616"/>
      <c r="G240" s="616"/>
      <c r="H240" s="616"/>
      <c r="I240" s="616"/>
      <c r="J240" s="616"/>
      <c r="K240" s="1672">
        <f>D240</f>
        <v>2065</v>
      </c>
      <c r="L240" s="481">
        <v>1862</v>
      </c>
    </row>
    <row r="241" spans="1:12" x14ac:dyDescent="0.2">
      <c r="A241" s="1504" t="s">
        <v>815</v>
      </c>
      <c r="B241" s="614">
        <v>2220</v>
      </c>
      <c r="C241" s="616"/>
      <c r="D241" s="466">
        <v>13294</v>
      </c>
      <c r="E241" s="616"/>
      <c r="F241" s="616"/>
      <c r="G241" s="616"/>
      <c r="H241" s="616"/>
      <c r="I241" s="616"/>
      <c r="J241" s="616"/>
      <c r="K241" s="1672">
        <f>D241</f>
        <v>13294</v>
      </c>
      <c r="L241" s="466">
        <v>13858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15359</v>
      </c>
      <c r="E243" s="616"/>
      <c r="F243" s="616"/>
      <c r="G243" s="616"/>
      <c r="H243" s="616"/>
      <c r="I243" s="616"/>
      <c r="J243" s="616"/>
      <c r="K243" s="1670">
        <f>SUM(K240:K242)</f>
        <v>15359</v>
      </c>
      <c r="L243" s="1670">
        <f>SUM(L240:L242)</f>
        <v>15720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338</v>
      </c>
      <c r="E245" s="616"/>
      <c r="F245" s="616"/>
      <c r="G245" s="616"/>
      <c r="H245" s="616"/>
      <c r="I245" s="616"/>
      <c r="J245" s="616"/>
      <c r="K245" s="1672">
        <f>D245</f>
        <v>338</v>
      </c>
      <c r="L245" s="481">
        <v>372</v>
      </c>
    </row>
    <row r="246" spans="1:12" x14ac:dyDescent="0.2">
      <c r="A246" s="1504" t="s">
        <v>818</v>
      </c>
      <c r="B246" s="614">
        <v>2320</v>
      </c>
      <c r="C246" s="616"/>
      <c r="D246" s="466">
        <v>11200</v>
      </c>
      <c r="E246" s="616"/>
      <c r="F246" s="616"/>
      <c r="G246" s="616"/>
      <c r="H246" s="616"/>
      <c r="I246" s="616"/>
      <c r="J246" s="616"/>
      <c r="K246" s="1672">
        <f t="shared" ref="K246:K256" si="21">D246</f>
        <v>11200</v>
      </c>
      <c r="L246" s="466">
        <v>12849</v>
      </c>
    </row>
    <row r="247" spans="1:12" x14ac:dyDescent="0.2">
      <c r="A247" s="1504" t="s">
        <v>819</v>
      </c>
      <c r="B247" s="614">
        <v>2330</v>
      </c>
      <c r="C247" s="616"/>
      <c r="D247" s="466">
        <v>14791</v>
      </c>
      <c r="E247" s="616"/>
      <c r="F247" s="616"/>
      <c r="G247" s="616"/>
      <c r="H247" s="616"/>
      <c r="I247" s="616"/>
      <c r="J247" s="616"/>
      <c r="K247" s="1672">
        <f t="shared" si="21"/>
        <v>14791</v>
      </c>
      <c r="L247" s="466">
        <v>21183</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26329</v>
      </c>
      <c r="E257" s="616"/>
      <c r="F257" s="616"/>
      <c r="G257" s="616"/>
      <c r="H257" s="616"/>
      <c r="I257" s="616"/>
      <c r="J257" s="616"/>
      <c r="K257" s="1670">
        <f>SUM(K245:K256)</f>
        <v>26329</v>
      </c>
      <c r="L257" s="1670">
        <f>SUM(L245:L256)</f>
        <v>34404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16210</v>
      </c>
      <c r="E259" s="616"/>
      <c r="F259" s="616"/>
      <c r="G259" s="616"/>
      <c r="H259" s="616"/>
      <c r="I259" s="616"/>
      <c r="J259" s="616"/>
      <c r="K259" s="1672">
        <f>D259</f>
        <v>16210</v>
      </c>
      <c r="L259" s="481">
        <v>18177</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16210</v>
      </c>
      <c r="E261" s="616"/>
      <c r="F261" s="616"/>
      <c r="G261" s="616"/>
      <c r="H261" s="616"/>
      <c r="I261" s="616"/>
      <c r="J261" s="616"/>
      <c r="K261" s="1670">
        <f>SUM(K259:K260)</f>
        <v>16210</v>
      </c>
      <c r="L261" s="1670">
        <f>SUM(L259:L260)</f>
        <v>18177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10211</v>
      </c>
      <c r="E264" s="616"/>
      <c r="F264" s="616"/>
      <c r="G264" s="616"/>
      <c r="H264" s="616"/>
      <c r="I264" s="616"/>
      <c r="J264" s="616"/>
      <c r="K264" s="1672">
        <f t="shared" ref="K264:K269" si="22">D264</f>
        <v>10211</v>
      </c>
      <c r="L264" s="466">
        <v>11534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55079</v>
      </c>
      <c r="E266" s="616"/>
      <c r="F266" s="616"/>
      <c r="G266" s="616"/>
      <c r="H266" s="616"/>
      <c r="I266" s="616"/>
      <c r="J266" s="616"/>
      <c r="K266" s="1672">
        <f t="shared" si="22"/>
        <v>55079</v>
      </c>
      <c r="L266" s="466">
        <v>59816</v>
      </c>
    </row>
    <row r="267" spans="1:14" x14ac:dyDescent="0.2">
      <c r="A267" s="1504" t="s">
        <v>953</v>
      </c>
      <c r="B267" s="614">
        <v>2550</v>
      </c>
      <c r="C267" s="616"/>
      <c r="D267" s="466">
        <v>29826</v>
      </c>
      <c r="E267" s="616"/>
      <c r="F267" s="616"/>
      <c r="G267" s="616"/>
      <c r="H267" s="616"/>
      <c r="I267" s="616"/>
      <c r="J267" s="616"/>
      <c r="K267" s="1672">
        <f t="shared" si="22"/>
        <v>29826</v>
      </c>
      <c r="L267" s="466">
        <v>34359</v>
      </c>
    </row>
    <row r="268" spans="1:14" x14ac:dyDescent="0.2">
      <c r="A268" s="1504" t="s">
        <v>100</v>
      </c>
      <c r="B268" s="614">
        <v>2560</v>
      </c>
      <c r="C268" s="616"/>
      <c r="D268" s="466">
        <v>34364</v>
      </c>
      <c r="E268" s="616"/>
      <c r="F268" s="616"/>
      <c r="G268" s="616"/>
      <c r="H268" s="616"/>
      <c r="I268" s="616"/>
      <c r="J268" s="616"/>
      <c r="K268" s="1672">
        <f t="shared" si="22"/>
        <v>34364</v>
      </c>
      <c r="L268" s="466">
        <v>37218</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129480</v>
      </c>
      <c r="E270" s="616"/>
      <c r="F270" s="616"/>
      <c r="G270" s="616"/>
      <c r="H270" s="616"/>
      <c r="I270" s="616"/>
      <c r="J270" s="616"/>
      <c r="K270" s="1670">
        <f>SUM(K263:K269)</f>
        <v>129480</v>
      </c>
      <c r="L270" s="1670">
        <f>SUM(L263:L269)</f>
        <v>142927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4375</v>
      </c>
      <c r="E276" s="616"/>
      <c r="F276" s="616"/>
      <c r="G276" s="616"/>
      <c r="H276" s="616"/>
      <c r="I276" s="616"/>
      <c r="J276" s="616"/>
      <c r="K276" s="1672">
        <f>D276</f>
        <v>4375</v>
      </c>
      <c r="L276" s="466">
        <v>4619</v>
      </c>
    </row>
    <row r="277" spans="1:12" ht="12.75" customHeight="1" thickBot="1" x14ac:dyDescent="0.25">
      <c r="A277" s="1691" t="s">
        <v>37</v>
      </c>
      <c r="B277" s="1669" t="s">
        <v>36</v>
      </c>
      <c r="C277" s="616"/>
      <c r="D277" s="1670">
        <f>SUM(D272:D276)</f>
        <v>4375</v>
      </c>
      <c r="E277" s="616"/>
      <c r="F277" s="616"/>
      <c r="G277" s="616"/>
      <c r="H277" s="616"/>
      <c r="I277" s="616"/>
      <c r="J277" s="616"/>
      <c r="K277" s="1670">
        <f>SUM(K272:K276)</f>
        <v>4375</v>
      </c>
      <c r="L277" s="1670">
        <f>SUM(L272:L276)</f>
        <v>4619</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210817</v>
      </c>
      <c r="E279" s="616"/>
      <c r="F279" s="616"/>
      <c r="G279" s="616"/>
      <c r="H279" s="616"/>
      <c r="I279" s="616"/>
      <c r="J279" s="616"/>
      <c r="K279" s="1677">
        <f>SUM(K238,K243,K257,K261,K270,K277,K278)</f>
        <v>210817</v>
      </c>
      <c r="L279" s="1677">
        <f>SUM(L238,L243,L257,L261,L270,L277,L278)</f>
        <v>236170</v>
      </c>
    </row>
    <row r="280" spans="1:12" ht="15.75" customHeight="1" thickTop="1" thickBot="1" x14ac:dyDescent="0.25">
      <c r="A280" s="1624" t="s">
        <v>875</v>
      </c>
      <c r="B280" s="1613">
        <v>3000</v>
      </c>
      <c r="C280" s="616"/>
      <c r="D280" s="576">
        <v>39558</v>
      </c>
      <c r="E280" s="616"/>
      <c r="F280" s="616"/>
      <c r="G280" s="616"/>
      <c r="H280" s="616"/>
      <c r="I280" s="616"/>
      <c r="J280" s="616"/>
      <c r="K280" s="1679">
        <f>D280</f>
        <v>39558</v>
      </c>
      <c r="L280" s="576">
        <v>45714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335037</v>
      </c>
      <c r="E295" s="616"/>
      <c r="F295" s="616"/>
      <c r="G295" s="616"/>
      <c r="H295" s="1670">
        <f>H293</f>
        <v>0</v>
      </c>
      <c r="I295" s="616"/>
      <c r="J295" s="616"/>
      <c r="K295" s="1670">
        <f>SUM(K229,K279,K280,K285,K293,K294)</f>
        <v>335037</v>
      </c>
      <c r="L295" s="1670">
        <f>SUM(L229,L279,L280,L285,L293,L294)</f>
        <v>373612</v>
      </c>
    </row>
    <row r="296" spans="1:14" ht="13.5" thickTop="1" x14ac:dyDescent="0.2">
      <c r="A296" s="2152" t="s">
        <v>996</v>
      </c>
      <c r="B296" s="2153"/>
      <c r="C296" s="616"/>
      <c r="D296" s="618"/>
      <c r="E296" s="616"/>
      <c r="F296" s="616"/>
      <c r="G296" s="616"/>
      <c r="H296" s="687"/>
      <c r="I296" s="616"/>
      <c r="J296" s="616"/>
      <c r="K296" s="1684">
        <f>'Revenues 9-14'!G268-'Expenditures 15-22'!K295</f>
        <v>61345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46928</v>
      </c>
      <c r="F320" s="467"/>
      <c r="G320" s="467"/>
      <c r="H320" s="467"/>
      <c r="I320" s="467"/>
      <c r="J320" s="467"/>
      <c r="K320" s="1671">
        <f t="shared" ref="K320:K327" si="24">SUM(C320:J320)</f>
        <v>46928</v>
      </c>
      <c r="L320" s="467">
        <v>50000</v>
      </c>
      <c r="M320" s="665"/>
      <c r="N320" s="665"/>
    </row>
    <row r="321" spans="1:14" s="674" customFormat="1" x14ac:dyDescent="0.2">
      <c r="A321" s="1519" t="s">
        <v>300</v>
      </c>
      <c r="B321" s="697" t="s">
        <v>283</v>
      </c>
      <c r="C321" s="467"/>
      <c r="D321" s="467"/>
      <c r="E321" s="467">
        <v>828</v>
      </c>
      <c r="F321" s="467"/>
      <c r="G321" s="467"/>
      <c r="H321" s="467"/>
      <c r="I321" s="467"/>
      <c r="J321" s="467"/>
      <c r="K321" s="1671">
        <f t="shared" si="24"/>
        <v>828</v>
      </c>
      <c r="L321" s="467">
        <v>12000</v>
      </c>
      <c r="M321" s="665"/>
      <c r="N321" s="665"/>
    </row>
    <row r="322" spans="1:14" s="674" customFormat="1" x14ac:dyDescent="0.2">
      <c r="A322" s="1519" t="s">
        <v>238</v>
      </c>
      <c r="B322" s="697" t="s">
        <v>284</v>
      </c>
      <c r="C322" s="467"/>
      <c r="D322" s="467"/>
      <c r="E322" s="467">
        <v>3367</v>
      </c>
      <c r="F322" s="467"/>
      <c r="G322" s="467"/>
      <c r="H322" s="467"/>
      <c r="I322" s="467"/>
      <c r="J322" s="467"/>
      <c r="K322" s="1671">
        <f t="shared" si="24"/>
        <v>3367</v>
      </c>
      <c r="L322" s="467">
        <v>3367</v>
      </c>
      <c r="M322" s="665"/>
      <c r="N322" s="665"/>
    </row>
    <row r="323" spans="1:14" s="674" customFormat="1" x14ac:dyDescent="0.2">
      <c r="A323" s="1519" t="s">
        <v>702</v>
      </c>
      <c r="B323" s="697" t="s">
        <v>285</v>
      </c>
      <c r="C323" s="467"/>
      <c r="D323" s="467"/>
      <c r="E323" s="467">
        <v>124401</v>
      </c>
      <c r="F323" s="467"/>
      <c r="G323" s="467"/>
      <c r="H323" s="467"/>
      <c r="I323" s="467"/>
      <c r="J323" s="467"/>
      <c r="K323" s="1671">
        <f t="shared" si="24"/>
        <v>124401</v>
      </c>
      <c r="L323" s="467">
        <v>138900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373178</v>
      </c>
      <c r="D325" s="467"/>
      <c r="E325" s="467"/>
      <c r="F325" s="467"/>
      <c r="G325" s="467"/>
      <c r="H325" s="467"/>
      <c r="I325" s="467"/>
      <c r="J325" s="467"/>
      <c r="K325" s="1671">
        <f t="shared" si="24"/>
        <v>373178</v>
      </c>
      <c r="L325" s="467">
        <v>334032</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21193</v>
      </c>
      <c r="F327" s="467"/>
      <c r="G327" s="467"/>
      <c r="H327" s="467"/>
      <c r="I327" s="467"/>
      <c r="J327" s="467"/>
      <c r="K327" s="1671">
        <f t="shared" si="24"/>
        <v>21193</v>
      </c>
      <c r="L327" s="467">
        <v>30000</v>
      </c>
      <c r="M327" s="665"/>
      <c r="N327" s="665"/>
    </row>
    <row r="328" spans="1:14" s="674" customFormat="1" x14ac:dyDescent="0.2">
      <c r="A328" s="1520" t="s">
        <v>472</v>
      </c>
      <c r="B328" s="690" t="s">
        <v>1132</v>
      </c>
      <c r="C328" s="474"/>
      <c r="D328" s="474"/>
      <c r="E328" s="474">
        <v>59640</v>
      </c>
      <c r="F328" s="474"/>
      <c r="G328" s="474"/>
      <c r="H328" s="474"/>
      <c r="I328" s="474"/>
      <c r="J328" s="474"/>
      <c r="K328" s="1699">
        <f>SUM(C328:J328)</f>
        <v>59640</v>
      </c>
      <c r="L328" s="474">
        <v>64000</v>
      </c>
      <c r="M328" s="665"/>
      <c r="N328" s="665"/>
    </row>
    <row r="329" spans="1:14" s="674" customFormat="1" x14ac:dyDescent="0.2">
      <c r="A329" s="1520" t="s">
        <v>1133</v>
      </c>
      <c r="B329" s="690" t="s">
        <v>1134</v>
      </c>
      <c r="C329" s="474"/>
      <c r="D329" s="474"/>
      <c r="E329" s="474">
        <v>15428</v>
      </c>
      <c r="F329" s="474"/>
      <c r="G329" s="474"/>
      <c r="H329" s="474"/>
      <c r="I329" s="474"/>
      <c r="J329" s="474"/>
      <c r="K329" s="1699">
        <f>SUM(C329:J329)</f>
        <v>15428</v>
      </c>
      <c r="L329" s="474">
        <v>17000</v>
      </c>
      <c r="M329" s="665"/>
      <c r="N329" s="665"/>
    </row>
    <row r="330" spans="1:14" s="674" customFormat="1" ht="12.75" customHeight="1" thickBot="1" x14ac:dyDescent="0.25">
      <c r="A330" s="1700" t="s">
        <v>717</v>
      </c>
      <c r="B330" s="1669" t="s">
        <v>569</v>
      </c>
      <c r="C330" s="1670">
        <f>SUM(C319:C329)</f>
        <v>373178</v>
      </c>
      <c r="D330" s="1670">
        <f t="shared" ref="D330:J330" si="25">SUM(D319:D329)</f>
        <v>0</v>
      </c>
      <c r="E330" s="1670">
        <f t="shared" si="25"/>
        <v>271785</v>
      </c>
      <c r="F330" s="1670">
        <f t="shared" si="25"/>
        <v>0</v>
      </c>
      <c r="G330" s="1670">
        <f t="shared" si="25"/>
        <v>0</v>
      </c>
      <c r="H330" s="1670">
        <f t="shared" si="25"/>
        <v>0</v>
      </c>
      <c r="I330" s="1670">
        <f t="shared" si="25"/>
        <v>0</v>
      </c>
      <c r="J330" s="1670">
        <f t="shared" si="25"/>
        <v>0</v>
      </c>
      <c r="K330" s="1670">
        <f>SUM(K319:K329)</f>
        <v>644963</v>
      </c>
      <c r="L330" s="1670">
        <f>SUM(L319:L329)</f>
        <v>649299</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373178</v>
      </c>
      <c r="D342" s="1670">
        <f>SUM(D330)</f>
        <v>0</v>
      </c>
      <c r="E342" s="1670">
        <f>SUM(E330)</f>
        <v>271785</v>
      </c>
      <c r="F342" s="1670">
        <f>SUM(F330)</f>
        <v>0</v>
      </c>
      <c r="G342" s="1670">
        <f>SUM(G330)</f>
        <v>0</v>
      </c>
      <c r="H342" s="1670">
        <f>SUM(H330,H334,H340)</f>
        <v>0</v>
      </c>
      <c r="I342" s="1670">
        <f>SUM(I330)</f>
        <v>0</v>
      </c>
      <c r="J342" s="1670">
        <f>SUM(J330)</f>
        <v>0</v>
      </c>
      <c r="K342" s="1670">
        <f>SUM(K330,K334,K340)</f>
        <v>644963</v>
      </c>
      <c r="L342" s="1677">
        <f>SUM(L330,L340,L341)</f>
        <v>649299</v>
      </c>
    </row>
    <row r="343" spans="1:14" ht="12.75" customHeight="1" thickTop="1" x14ac:dyDescent="0.2">
      <c r="A343" s="2165" t="s">
        <v>996</v>
      </c>
      <c r="B343" s="2166"/>
      <c r="C343" s="616"/>
      <c r="D343" s="616"/>
      <c r="E343" s="616"/>
      <c r="F343" s="616"/>
      <c r="G343" s="616"/>
      <c r="H343" s="616"/>
      <c r="I343" s="616"/>
      <c r="J343" s="616"/>
      <c r="K343" s="1684">
        <f>'Revenues 9-14'!J268-'Expenditures 15-22'!K342</f>
        <v>21715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2" t="s">
        <v>996</v>
      </c>
      <c r="B368" s="2153"/>
      <c r="C368" s="654"/>
      <c r="D368" s="654"/>
      <c r="E368" s="626"/>
      <c r="F368" s="626"/>
      <c r="G368" s="626"/>
      <c r="H368" s="626"/>
      <c r="I368" s="626"/>
      <c r="J368" s="623"/>
      <c r="K368" s="1671">
        <f>'Revenues 9-14'!K268-'Expenditures 15-22'!K367</f>
        <v>2100</v>
      </c>
      <c r="L368" s="654"/>
    </row>
  </sheetData>
  <sheetProtection password="F60E" sheet="1" objects="1" scenarios="1"/>
  <customSheetViews>
    <customSheetView guid="{58008B32-E4E8-4E32-8B1E-F6CE50059F4A}" scale="130" colorId="8" showGridLines="0">
      <pane ySplit="2" topLeftCell="A63" activePane="bottomLeft" state="frozen"/>
      <selection pane="bottomLeft" activeCell="L76" sqref="L76"/>
      <rowBreaks count="6" manualBreakCount="6">
        <brk id="53" max="16383" man="1"/>
        <brk id="107" max="16383" man="1"/>
        <brk id="160" max="16383" man="1"/>
        <brk id="206" max="16383" man="1"/>
        <brk id="261" max="16383" man="1"/>
        <brk id="315" max="16383" man="1"/>
      </rowBreaks>
      <pageMargins left="0.75" right="0.75" top="1.1000000000000001" bottom="0.5" header="0.5" footer="0.5"/>
      <printOptions horizontalCentered="1"/>
      <pageSetup scale="60" firstPageNumber="20" fitToHeight="0" orientation="landscape" useFirstPageNumber="1" r:id="rId1"/>
      <headerFooter>
        <oddHeader>&amp;C&amp;"Times New Roman,Regular"EAST ALTON ELEMENTARY SCHOOL DISTRICT NO. 13
STATEMENT OF DISBURSEMENTS - CASH - REGULATORY BASIS
(ACTUAL AND BUDGET)
ALL FUNDS
FOR THE YEAR ENDED JUNE 30, 2019</oddHeader>
        <oddFooter>&amp;C&amp;"Times New Roman,Regular"See Notes to Financial Statements and Independent Auditor's Reports
&amp;P</oddFooter>
      </headerFooter>
    </customSheetView>
    <customSheetView guid="{D43C6297-AC1B-41E2-A8C4-03E94593B8FB}" scale="130" colorId="8" showGridLines="0">
      <pane ySplit="2" topLeftCell="A63" activePane="bottomLeft" state="frozen"/>
      <selection pane="bottomLeft" activeCell="L76" sqref="L76"/>
      <rowBreaks count="6" manualBreakCount="6">
        <brk id="53" max="16383" man="1"/>
        <brk id="107" max="16383" man="1"/>
        <brk id="160" max="16383" man="1"/>
        <brk id="206" max="16383" man="1"/>
        <brk id="261" max="16383" man="1"/>
        <brk id="315" max="16383" man="1"/>
      </rowBreaks>
      <pageMargins left="0.75" right="0.75" top="1.1000000000000001" bottom="0.5" header="0.5" footer="0.5"/>
      <printOptions horizontalCentered="1"/>
      <pageSetup scale="60" firstPageNumber="20" fitToHeight="0" orientation="landscape" useFirstPageNumber="1" r:id="rId2"/>
      <headerFooter>
        <oddHeader>&amp;C&amp;"Times New Roman,Regular"EAST ALTON ELEMENTARY SCHOOL DISTRICT NO. 13
STATEMENT OF DISBURSEMENTS - CASH - REGULATORY BASIS
(ACTUAL AND BUDGET)
ALL FUNDS
FOR THE YEAR ENDED JUNE 30, 2019</oddHeader>
        <oddFooter>&amp;C&amp;"Times New Roman,Regular"See Notes to Financial Statements and Independent Auditor's Reports
&amp;P</oddFooter>
      </headerFooter>
    </customSheetView>
    <customSheetView guid="{1CEE81F4-A6A8-4CF6-96C8-1AACCC28872D}" scale="130" colorId="8" showGridLines="0">
      <pane ySplit="2" topLeftCell="A63" activePane="bottomLeft" state="frozen"/>
      <selection pane="bottomLeft" activeCell="L76" sqref="L76"/>
      <rowBreaks count="6" manualBreakCount="6">
        <brk id="53" max="16383" man="1"/>
        <brk id="107" max="16383" man="1"/>
        <brk id="160" max="16383" man="1"/>
        <brk id="206" max="16383" man="1"/>
        <brk id="261" max="16383" man="1"/>
        <brk id="315" max="16383" man="1"/>
      </rowBreaks>
      <pageMargins left="0.75" right="0.75" top="1.1000000000000001" bottom="0.5" header="0.5" footer="0.5"/>
      <printOptions horizontalCentered="1"/>
      <pageSetup scale="60" firstPageNumber="20" fitToHeight="0" orientation="landscape" useFirstPageNumber="1" r:id="rId3"/>
      <headerFooter>
        <oddHeader>&amp;C&amp;"Times New Roman,Regular"EAST ALTON ELEMENTARY SCHOOL DISTRICT NO. 13
STATEMENT OF DISBURSEMENTS - CASH - REGULATORY BASIS
(ACTUAL AND BUDGET)
ALL FUNDS
FOR THE YEAR ENDED JUNE 30, 2019</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gridLinesSet="0"/>
  <pageMargins left="0.75" right="0.75" top="1.1000000000000001" bottom="0.5" header="0.5" footer="0.5"/>
  <pageSetup scale="60" firstPageNumber="20" fitToHeight="0" orientation="landscape" useFirstPageNumber="1" r:id="rId4"/>
  <headerFooter>
    <oddHeader>&amp;C&amp;"Times New Roman,Regular"EAST ALTON ELEMENTARY SCHOOL DISTRICT NO. 13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d21dc803-237d-4c68-8692-8d731fd29118"/>
    <ds:schemaRef ds:uri="http://purl.org/dc/dcmitype/"/>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25</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'Itemization 33'!Print_Area</vt:lpstr>
      <vt:lpstr>'Rest Tax Levies-Tort Im 25'!Print_Area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2019-10-02T18:15:22Z</cp:lastPrinted>
  <dcterms:created xsi:type="dcterms:W3CDTF">2003-10-29T19:06:34Z</dcterms:created>
  <dcterms:modified xsi:type="dcterms:W3CDTF">2019-11-20T18:23:02Z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