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FE85454-3CE4-4F44-8851-A03F7FDE54D8}" xr6:coauthVersionLast="36" xr6:coauthVersionMax="36" xr10:uidLastSave="{00000000-0000-0000-0000-000000000000}"/>
  <bookViews>
    <workbookView xWindow="2293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SEFA'!$B$1:$M$127</definedName>
    <definedName name="_xlnm.Print_Area" localSheetId="28">'SEFA NOTES'!$A$1:$F$53</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9" i="179" l="1"/>
  <c r="I48" i="179"/>
  <c r="G48" i="179"/>
  <c r="G49" i="179"/>
  <c r="F49" i="179"/>
  <c r="F48" i="179"/>
  <c r="E49" i="179"/>
  <c r="E48" i="179"/>
  <c r="G47" i="179"/>
  <c r="E47" i="179"/>
  <c r="I47" i="179"/>
  <c r="F47" i="179"/>
  <c r="F50" i="179" l="1"/>
  <c r="I50" i="179"/>
  <c r="E50" i="179"/>
  <c r="G50" i="179"/>
  <c r="I37" i="179"/>
  <c r="F37" i="179"/>
  <c r="L23" i="179" l="1"/>
  <c r="F19" i="179"/>
  <c r="F21" i="179" s="1"/>
  <c r="I19" i="179"/>
  <c r="I21" i="179" s="1"/>
  <c r="I30" i="179" l="1"/>
  <c r="I51" i="179" s="1"/>
  <c r="F30" i="179"/>
  <c r="F51" i="179"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0" i="179" l="1"/>
  <c r="L18" i="179"/>
  <c r="L17" i="179"/>
  <c r="L14" i="179"/>
  <c r="L13" i="179"/>
  <c r="D14" i="171" l="1"/>
  <c r="D12" i="171"/>
  <c r="A10" i="169"/>
  <c r="A16" i="169"/>
  <c r="A15" i="169"/>
  <c r="A14" i="169"/>
  <c r="K18" i="169"/>
  <c r="G18" i="169"/>
  <c r="G15" i="169"/>
  <c r="I13" i="169"/>
  <c r="G11" i="169"/>
  <c r="G10" i="169"/>
  <c r="G9" i="169"/>
  <c r="G7" i="169"/>
  <c r="E7" i="169"/>
  <c r="B2" i="179" s="1"/>
  <c r="A7" i="169"/>
  <c r="B4" i="177"/>
  <c r="B4" i="176"/>
  <c r="B4" i="175"/>
  <c r="D47" i="174"/>
  <c r="B4" i="174"/>
  <c r="E35"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B7758" i="106"/>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35" i="127"/>
  <c r="B36" i="127"/>
  <c r="D26" i="108"/>
  <c r="F26" i="108"/>
  <c r="G26" i="108"/>
  <c r="D27" i="108"/>
  <c r="E27" i="108"/>
  <c r="F27" i="108"/>
  <c r="G27" i="108"/>
  <c r="F31" i="108"/>
  <c r="F37"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D7" i="118"/>
  <c r="D8" i="118"/>
  <c r="D9" i="118"/>
  <c r="H14" i="118"/>
  <c r="H19" i="118"/>
  <c r="H24" i="118"/>
  <c r="D22" i="37"/>
  <c r="J22" i="37"/>
  <c r="L5" i="11"/>
  <c r="B2056" i="106" s="1"/>
  <c r="D2056" i="106" s="1"/>
  <c r="E28" i="108" l="1"/>
  <c r="F70" i="34"/>
  <c r="F46" i="34"/>
  <c r="F44" i="34"/>
  <c r="G30" i="108"/>
  <c r="F36" i="108"/>
  <c r="F42" i="34"/>
  <c r="E30" i="108"/>
  <c r="D54" i="36"/>
  <c r="H33" i="118"/>
  <c r="G34" i="108"/>
  <c r="D37" i="108"/>
  <c r="D41" i="108" s="1"/>
  <c r="E43" i="108" s="1"/>
  <c r="J210" i="29"/>
  <c r="B7072" i="106" s="1"/>
  <c r="D7072" i="106" s="1"/>
  <c r="F71" i="34"/>
  <c r="F68" i="34"/>
  <c r="F38" i="34"/>
  <c r="F28" i="108"/>
  <c r="E26" i="108"/>
  <c r="B1124" i="106"/>
  <c r="D1124" i="106" s="1"/>
  <c r="G14" i="4"/>
  <c r="B2609" i="106" s="1"/>
  <c r="D2609" i="106" s="1"/>
  <c r="G35" i="108"/>
  <c r="J352" i="29"/>
  <c r="J367" i="29" s="1"/>
  <c r="B7245" i="106" s="1"/>
  <c r="D7245" i="106" s="1"/>
  <c r="H76" i="4"/>
  <c r="B3298" i="106" s="1"/>
  <c r="D3298" i="106" s="1"/>
  <c r="J77" i="4"/>
  <c r="B6262" i="106" s="1"/>
  <c r="D6262" i="106" s="1"/>
  <c r="F52" i="34"/>
  <c r="H342" i="29"/>
  <c r="B7221" i="106" s="1"/>
  <c r="D7221" i="106" s="1"/>
  <c r="F72" i="34"/>
  <c r="C352" i="29"/>
  <c r="B3621" i="106" s="1"/>
  <c r="D3621" i="106" s="1"/>
  <c r="G33" i="108"/>
  <c r="G15" i="145"/>
  <c r="I24" i="12"/>
  <c r="H28" i="118"/>
  <c r="D69" i="36"/>
  <c r="D68" i="36"/>
  <c r="L367" i="29"/>
  <c r="H365" i="29"/>
  <c r="B7242" i="106" s="1"/>
  <c r="D7242" i="106" s="1"/>
  <c r="N22" i="3"/>
  <c r="B283" i="106" s="1"/>
  <c r="D283" i="106" s="1"/>
  <c r="L22" i="37"/>
  <c r="F77" i="4"/>
  <c r="B3255" i="106" s="1"/>
  <c r="D3255" i="106" s="1"/>
  <c r="I210" i="29"/>
  <c r="B7071" i="106" s="1"/>
  <c r="D7071" i="106" s="1"/>
  <c r="D24" i="37"/>
  <c r="B4270" i="106" s="1"/>
  <c r="D4270" i="106" s="1"/>
  <c r="D11" i="37"/>
  <c r="F69" i="34"/>
  <c r="G39" i="108"/>
  <c r="E35" i="108"/>
  <c r="G29" i="108"/>
  <c r="C342" i="29"/>
  <c r="B7216" i="106" s="1"/>
  <c r="D7216" i="106" s="1"/>
  <c r="B7074" i="106"/>
  <c r="D7074" i="106" s="1"/>
  <c r="C129" i="29"/>
  <c r="B1225" i="106" s="1"/>
  <c r="D1225" i="106" s="1"/>
  <c r="F19" i="7"/>
  <c r="B1807" i="106" s="1"/>
  <c r="D1807" i="106" s="1"/>
  <c r="G38" i="108"/>
  <c r="E29" i="108"/>
  <c r="H29" i="118"/>
  <c r="F49" i="34"/>
  <c r="F34" i="34"/>
  <c r="E38" i="108"/>
  <c r="D31" i="36"/>
  <c r="D6103" i="106"/>
  <c r="B2724" i="106"/>
  <c r="D2724" i="106" s="1"/>
  <c r="K184" i="29"/>
  <c r="F13" i="4" s="1"/>
  <c r="B2596" i="106" s="1"/>
  <c r="D2596" i="106" s="1"/>
  <c r="G210" i="29"/>
  <c r="J129" i="29"/>
  <c r="B7038" i="106" s="1"/>
  <c r="D7038" i="106" s="1"/>
  <c r="D17" i="7"/>
  <c r="B4104" i="106" s="1"/>
  <c r="D4104" i="106" s="1"/>
  <c r="D9" i="7"/>
  <c r="B1767" i="106" s="1"/>
  <c r="D1767" i="106" s="1"/>
  <c r="L342" i="29"/>
  <c r="F36" i="34"/>
  <c r="K76" i="4"/>
  <c r="B3586" i="106" s="1"/>
  <c r="D3586" i="106" s="1"/>
  <c r="B1308" i="106"/>
  <c r="D1308" i="106" s="1"/>
  <c r="E174" i="29"/>
  <c r="B1309" i="106" s="1"/>
  <c r="D1309" i="106" s="1"/>
  <c r="B1126" i="106"/>
  <c r="D1126" i="106" s="1"/>
  <c r="B3647" i="106"/>
  <c r="D3647" i="106" s="1"/>
  <c r="K41" i="3"/>
  <c r="J41" i="3"/>
  <c r="B6216" i="106" s="1"/>
  <c r="D6216" i="106" s="1"/>
  <c r="L15" i="11"/>
  <c r="B3459" i="106" s="1"/>
  <c r="D3459" i="106" s="1"/>
  <c r="L13" i="11"/>
  <c r="B2060" i="106" s="1"/>
  <c r="D2060"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K365" i="29"/>
  <c r="L114" i="29"/>
  <c r="H151" i="29"/>
  <c r="B1273" i="106" s="1"/>
  <c r="D1273" i="106" s="1"/>
  <c r="K28" i="118"/>
  <c r="O27" i="118" s="1"/>
  <c r="O29" i="118" s="1"/>
  <c r="I7" i="4"/>
  <c r="B4444" i="106" s="1"/>
  <c r="D4444" i="106" s="1"/>
  <c r="B5527" i="106"/>
  <c r="D5527" i="106" s="1"/>
  <c r="H77" i="4"/>
  <c r="B3299" i="106" s="1"/>
  <c r="D3299" i="106" s="1"/>
  <c r="B1328" i="106"/>
  <c r="D1328" i="106" s="1"/>
  <c r="B7235" i="106"/>
  <c r="D7235" i="106" s="1"/>
  <c r="J151" i="29"/>
  <c r="B7052" i="106" s="1"/>
  <c r="D7052" i="106" s="1"/>
  <c r="J16" i="4"/>
  <c r="B6226" i="106" s="1"/>
  <c r="D6226" i="106" s="1"/>
  <c r="D7252" i="106"/>
  <c r="C367" i="29"/>
  <c r="B3622" i="106" s="1"/>
  <c r="D3622" i="106" s="1"/>
  <c r="D51" i="36"/>
  <c r="B1996" i="106"/>
  <c r="D1996" i="106" s="1"/>
  <c r="I26" i="12"/>
  <c r="B7741" i="106" s="1"/>
  <c r="D7741" i="106" s="1"/>
  <c r="N23" i="3"/>
  <c r="B284" i="106" s="1"/>
  <c r="D284" i="106" s="1"/>
  <c r="D44" i="36"/>
  <c r="D7255" i="106"/>
  <c r="D7253" i="106"/>
  <c r="D7256" i="106"/>
  <c r="D7251" i="106"/>
  <c r="D7254" i="106"/>
  <c r="D7250" i="106"/>
  <c r="C114" i="29"/>
  <c r="B757" i="106" s="1"/>
  <c r="D757" i="106" s="1"/>
  <c r="K342" i="29"/>
  <c r="F13" i="34" s="1"/>
  <c r="B5770" i="106"/>
  <c r="D5770" i="106" s="1"/>
  <c r="B1365" i="106"/>
  <c r="D1365" i="106" s="1"/>
  <c r="F65" i="34"/>
  <c r="B5778" i="106"/>
  <c r="D5778" i="106" s="1"/>
  <c r="G6" i="4"/>
  <c r="B2604" i="106" s="1"/>
  <c r="D2604" i="106" s="1"/>
  <c r="B3568" i="106"/>
  <c r="D3568" i="106" s="1"/>
  <c r="D52" i="36"/>
  <c r="F174" i="34"/>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K367" i="29" l="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F8" i="4"/>
  <c r="F10" i="4" s="1"/>
  <c r="B4125" i="106" s="1"/>
  <c r="D4125" i="106" s="1"/>
  <c r="B6223" i="106"/>
  <c r="D6223" i="106" s="1"/>
  <c r="J20" i="4"/>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239" i="106" s="1"/>
  <c r="D3239" i="106" s="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<sst xmlns="http://schemas.openxmlformats.org/spreadsheetml/2006/main" count="5169" uniqueCount="2169">
  <si>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</si>
  <si>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</si>
  <si>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</si>
  <si>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</si>
  <si>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</si>
  <si>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</si>
  <si>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</si>
  <si>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</si>
  <si>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</si>
  <si>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</si>
  <si>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</si>
  <si>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</si>
  <si>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</si>
  <si>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</si>
  <si>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</si>
  <si>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</si>
  <si>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</si>
  <si>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</si>
  <si>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</si>
  <si>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</si>
  <si>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</si>
  <si>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</si>
  <si>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</si>
  <si>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</si>
  <si>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</si>
  <si>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</si>
  <si>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</si>
  <si>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</si>
  <si>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</si>
  <si>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</si>
  <si>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</si>
  <si>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</si>
  <si>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</si>
  <si>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</si>
  <si>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</si>
  <si>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</si>
  <si>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</si>
  <si>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</si>
  <si>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</si>
  <si>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</si>
  <si>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</si>
  <si>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</si>
  <si>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</si>
  <si>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</si>
  <si>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</si>
  <si>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</si>
  <si>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</si>
  <si>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</si>
  <si>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</si>
  <si>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</si>
  <si>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</si>
  <si>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</si>
  <si>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</si>
  <si>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</si>
  <si>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</si>
  <si>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</si>
  <si>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</si>
  <si>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</si>
  <si>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</si>
  <si>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</si>
  <si>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</si>
  <si>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</si>
  <si>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</si>
  <si>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</si>
  <si>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</si>
  <si>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</si>
  <si>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</si>
  <si>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</si>
  <si>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</si>
  <si>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</si>
  <si>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</si>
  <si>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</si>
  <si>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</si>
  <si>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</si>
  <si>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</si>
  <si>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</si>
  <si>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</si>
  <si>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</si>
  <si>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</si>
  <si>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</si>
  <si>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</si>
  <si>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</si>
  <si>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</si>
  <si>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</si>
  <si>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</si>
  <si>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</si>
  <si>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</si>
  <si>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</si>
  <si>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</si>
  <si>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</si>
  <si>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</si>
  <si>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</si>
  <si>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</si>
  <si>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</si>
  <si>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</si>
  <si>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</si>
  <si>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</si>
  <si>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</si>
  <si>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</si>
  <si>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</si>
  <si>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</si>
  <si>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</si>
  <si>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</si>
  <si>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</si>
  <si>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</si>
  <si>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</si>
  <si>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</si>
  <si>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</si>
  <si>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</si>
  <si>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</si>
  <si>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</si>
  <si>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</si>
  <si>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</si>
  <si>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</si>
  <si>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</si>
  <si>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</si>
  <si>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</si>
  <si>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</si>
  <si>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</si>
  <si>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</si>
  <si>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</si>
  <si>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</si>
  <si>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</si>
  <si>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</si>
  <si>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</si>
  <si>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</si>
  <si>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</si>
  <si>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</si>
  <si>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</si>
  <si>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</si>
  <si>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</si>
  <si>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</si>
  <si>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</si>
  <si>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</si>
  <si>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</si>
  <si>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</si>
  <si>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</si>
  <si>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</si>
  <si>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</si>
  <si>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</si>
  <si>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</si>
  <si>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</si>
  <si>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</si>
  <si>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</si>
  <si>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</si>
  <si>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</si>
  <si>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</si>
  <si>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</si>
  <si>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</si>
  <si>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</si>
  <si>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</si>
  <si>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</si>
  <si>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</si>
  <si>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</si>
  <si>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</si>
  <si>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</si>
  <si>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</si>
  <si>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</si>
  <si>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</si>
  <si>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</si>
  <si>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</si>
  <si>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</si>
  <si>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</si>
  <si>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</si>
  <si>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</si>
  <si>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</si>
  <si>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</si>
  <si>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</si>
  <si>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</si>
  <si>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</si>
  <si>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</si>
  <si>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</si>
  <si>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</si>
  <si>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</si>
  <si>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</si>
  <si>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</si>
  <si>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</si>
  <si>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</si>
  <si>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</si>
  <si>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</si>
  <si>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</si>
  <si>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</si>
  <si>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</si>
  <si>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</si>
  <si>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</si>
  <si>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</si>
  <si>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</si>
  <si>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</si>
  <si>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</si>
  <si>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</si>
  <si>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</si>
  <si>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</si>
  <si>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</si>
  <si>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</si>
  <si>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</si>
  <si>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</si>
  <si>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</si>
  <si>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</si>
  <si>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</si>
  <si>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</si>
  <si>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</si>
  <si>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</si>
  <si>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</si>
  <si>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</si>
  <si>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</si>
  <si>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</si>
  <si>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</si>
  <si>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</si>
  <si>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</si>
  <si>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</si>
  <si>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</si>
  <si>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</si>
  <si>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</si>
  <si>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</si>
  <si>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</si>
  <si>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</si>
  <si>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</si>
  <si>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</si>
  <si>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</si>
  <si>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</si>
  <si>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</si>
  <si>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</si>
  <si>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</si>
  <si>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</si>
  <si>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</si>
  <si>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</si>
  <si>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</si>
  <si>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</si>
  <si>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</si>
  <si>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</si>
  <si>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</si>
  <si>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</si>
  <si>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</si>
  <si>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</si>
  <si>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</si>
  <si>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</si>
  <si>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</si>
  <si>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</si>
  <si>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</si>
  <si>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</si>
  <si>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</si>
  <si>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</si>
  <si>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</si>
  <si>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</si>
  <si>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</si>
  <si>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</si>
  <si>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</si>
  <si>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</si>
  <si>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</si>
  <si>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</si>
  <si>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</si>
  <si>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</si>
  <si>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</si>
  <si>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</si>
  <si>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</si>
  <si>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</si>
  <si>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</si>
  <si>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</si>
  <si>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</si>
  <si>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</si>
  <si>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</si>
  <si>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</si>
  <si>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</si>
  <si>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</si>
  <si>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</si>
  <si>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</si>
  <si>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</si>
  <si>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</si>
  <si>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</si>
  <si>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</si>
  <si>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</si>
  <si>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</si>
  <si>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</si>
  <si>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</si>
  <si>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</si>
  <si>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</si>
  <si>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</si>
  <si>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</si>
  <si>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</si>
  <si>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</si>
  <si>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</si>
  <si>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</si>
  <si>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</si>
  <si>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</si>
  <si>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</si>
  <si>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</si>
  <si>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</si>
  <si>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</si>
  <si>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</si>
  <si>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</si>
  <si>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</si>
  <si>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</si>
  <si>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</si>
  <si>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</si>
  <si>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</si>
  <si>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</si>
  <si>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</si>
  <si>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</si>
  <si>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</si>
  <si>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</si>
  <si>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</si>
  <si>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</si>
  <si>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</si>
  <si>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</si>
  <si>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</si>
  <si>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</si>
  <si>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</si>
  <si>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</si>
  <si>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</si>
  <si>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</si>
  <si>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</si>
  <si>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</si>
  <si>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</si>
  <si>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</si>
  <si>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</si>
  <si>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</si>
  <si>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</si>
  <si>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</si>
  <si>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</si>
  <si>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</si>
  <si>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</si>
  <si>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</si>
  <si>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</si>
  <si>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</si>
  <si>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</si>
  <si>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</si>
  <si>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</si>
  <si>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</si>
  <si>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</si>
  <si>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</si>
  <si>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</si>
  <si>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</si>
  <si>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</si>
  <si>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</si>
  <si>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</si>
  <si>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</si>
  <si>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</si>
  <si>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</si>
  <si>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</si>
  <si>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</si>
  <si>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</si>
  <si>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</si>
  <si>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</si>
  <si>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</si>
  <si>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</si>
  <si>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</si>
  <si>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</si>
  <si>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</si>
  <si>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</si>
  <si>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</si>
  <si>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</si>
  <si>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</si>
  <si>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</si>
  <si>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</si>
  <si>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</si>
  <si>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</si>
  <si>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</si>
  <si>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</si>
  <si>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</si>
  <si>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</si>
  <si>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</si>
  <si>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</si>
  <si>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</si>
  <si>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</si>
  <si>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</si>
  <si>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</si>
  <si>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</si>
  <si>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</si>
  <si>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</si>
  <si>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</si>
  <si>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</si>
  <si>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</si>
  <si>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</si>
  <si>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</si>
  <si>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</si>
  <si>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</si>
  <si>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</si>
  <si>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</si>
  <si>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</si>
  <si>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</si>
  <si>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</si>
  <si>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</si>
  <si>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</si>
  <si>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</si>
  <si>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</si>
  <si>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</si>
  <si>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</si>
  <si>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</si>
  <si>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</si>
  <si>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</si>
  <si>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</si>
  <si>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</si>
  <si>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</si>
  <si>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</si>
  <si>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</si>
  <si>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</si>
  <si>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</si>
  <si>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</si>
  <si>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</si>
  <si>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</si>
  <si>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</si>
  <si>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</si>
  <si>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</si>
  <si>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</si>
  <si>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</si>
  <si>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</si>
  <si>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</si>
  <si>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</si>
  <si>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</si>
  <si>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</si>
  <si>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</si>
  <si>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</si>
  <si>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</si>
  <si>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</si>
  <si>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</si>
  <si>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</si>
  <si>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</si>
  <si>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</si>
  <si>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</si>
  <si>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</si>
  <si>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</si>
  <si>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</si>
  <si>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</si>
  <si>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</si>
  <si>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</si>
  <si>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</si>
  <si>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</si>
  <si>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</si>
  <si>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</si>
  <si>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</si>
  <si>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</si>
  <si>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</si>
  <si>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</si>
  <si>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</si>
  <si>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</si>
  <si>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</si>
  <si>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</si>
  <si>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</si>
  <si>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</si>
  <si>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</si>
  <si>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</si>
  <si>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</si>
  <si>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</si>
  <si>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</si>
  <si>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</si>
  <si>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</si>
  <si>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</si>
  <si>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</si>
  <si>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</si>
  <si>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</si>
  <si>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</si>
  <si>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</si>
  <si>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</si>
  <si>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</si>
  <si>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</si>
  <si>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</si>
  <si>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</si>
  <si>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</si>
  <si>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</si>
  <si>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</si>
  <si>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</si>
  <si>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</si>
  <si>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</si>
  <si>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</si>
  <si>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</si>
  <si>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</si>
  <si>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</si>
  <si>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</si>
  <si>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</si>
  <si>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</si>
  <si>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</si>
  <si>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</si>
  <si>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</si>
  <si>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</si>
  <si>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</si>
  <si>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</si>
  <si>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</si>
  <si>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</si>
  <si>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</si>
  <si>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</si>
  <si>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</si>
  <si>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</si>
  <si>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</si>
  <si>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</si>
  <si>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</si>
  <si>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</si>
  <si>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</si>
  <si>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</si>
  <si>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</si>
  <si>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</si>
  <si>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</si>
  <si>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</si>
  <si>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</si>
  <si>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</si>
  <si>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</si>
  <si>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</si>
  <si>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</si>
  <si>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</si>
  <si>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</si>
  <si>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</si>
  <si>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</si>
  <si>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</si>
  <si>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</si>
  <si>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</si>
  <si>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</si>
  <si>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</si>
  <si>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</si>
  <si>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</si>
  <si>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</si>
  <si>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</si>
  <si>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</si>
  <si>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</si>
  <si>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</si>
  <si>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</si>
  <si>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</si>
  <si>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</si>
  <si>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</si>
  <si>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</si>
  <si>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</si>
  <si>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</si>
  <si>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</si>
  <si>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</si>
  <si>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</si>
  <si>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</si>
  <si>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</si>
  <si>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</si>
  <si>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</si>
  <si>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</si>
  <si>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</si>
  <si>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</si>
  <si>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</si>
  <si>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</si>
  <si>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</si>
  <si>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</si>
  <si>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</si>
  <si>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</si>
  <si>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</si>
  <si>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</si>
  <si>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</si>
  <si>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</si>
  <si>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</si>
  <si>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</si>
  <si>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</si>
  <si>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</si>
  <si>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</si>
  <si>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</si>
  <si>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</si>
  <si>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</si>
  <si>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</si>
  <si>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</si>
  <si>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</si>
  <si>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</si>
  <si>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</si>
  <si>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</si>
  <si>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</si>
  <si>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</si>
  <si>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</si>
  <si>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</si>
  <si>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</si>
  <si>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</si>
  <si>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</si>
  <si>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</si>
  <si>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</si>
  <si>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</si>
  <si>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</si>
  <si>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</si>
  <si>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</si>
  <si>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</si>
  <si>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</si>
  <si>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</si>
  <si>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</si>
  <si>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</si>
  <si>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</si>
  <si>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</si>
  <si>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</si>
  <si>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</si>
  <si>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</si>
  <si>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</si>
  <si>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</si>
  <si>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</si>
  <si>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</si>
  <si>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</si>
  <si>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</si>
  <si>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</si>
  <si>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</si>
  <si>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</si>
  <si>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</si>
  <si>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</si>
  <si>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</si>
  <si>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</si>
  <si>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</si>
  <si>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</si>
  <si>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</si>
  <si>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</si>
  <si>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</si>
  <si>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</si>
  <si>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</si>
  <si>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</si>
  <si>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</si>
  <si>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</si>
  <si>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</si>
  <si>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</si>
  <si>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</si>
  <si>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</si>
  <si>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</si>
  <si>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</si>
  <si>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</si>
  <si>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</si>
  <si>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</si>
  <si>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</si>
  <si>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</si>
  <si>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</si>
  <si>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</si>
  <si>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</si>
  <si>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</si>
  <si>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</si>
  <si>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</si>
  <si>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</si>
  <si>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</si>
  <si>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</si>
  <si>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</si>
  <si>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</si>
  <si>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</si>
  <si>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</si>
  <si>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</si>
  <si>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</si>
  <si>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</si>
  <si>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</si>
  <si>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</si>
  <si>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</si>
  <si>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</si>
  <si>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</si>
  <si>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</si>
  <si>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</si>
  <si>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</si>
  <si>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</si>
  <si>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</si>
  <si>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</si>
  <si>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</si>
  <si>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</si>
  <si>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</si>
  <si>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</si>
  <si>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</si>
  <si>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</si>
  <si>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</si>
  <si>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</si>
  <si>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</si>
  <si>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</si>
  <si>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</si>
  <si>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</si>
  <si>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</si>
  <si>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</si>
  <si>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</si>
  <si>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</si>
  <si>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</si>
  <si>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</si>
  <si>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</si>
  <si>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</si>
  <si>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</si>
  <si>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</si>
  <si>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</si>
  <si>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</si>
  <si>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</si>
  <si>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</si>
  <si>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</si>
  <si>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</si>
  <si>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</si>
  <si>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</si>
  <si>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</si>
  <si>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</si>
  <si>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</si>
  <si>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</si>
  <si>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</si>
  <si>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</si>
  <si>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</si>
  <si>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</si>
  <si>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</si>
  <si>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</si>
  <si>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</si>
  <si>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</si>
  <si>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</si>
  <si>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</si>
  <si>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</si>
  <si>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</si>
  <si>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</si>
  <si>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</si>
  <si>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</si>
  <si>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</si>
  <si>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</si>
  <si>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</si>
  <si>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</si>
  <si>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</si>
  <si>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</si>
  <si>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</si>
  <si>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</si>
  <si>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</si>
  <si>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</si>
  <si>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</si>
  <si>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</si>
  <si>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</si>
  <si>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</si>
  <si>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</si>
  <si>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</si>
  <si>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</si>
  <si>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</si>
  <si>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</si>
  <si>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</si>
  <si>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</si>
  <si>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</si>
  <si>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</si>
  <si>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</si>
  <si>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</si>
  <si>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</si>
  <si>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</si>
  <si>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</si>
  <si>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</si>
  <si>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</si>
  <si>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</si>
  <si>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</si>
  <si>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</si>
  <si>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</si>
  <si>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</si>
  <si>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</si>
  <si>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</si>
  <si>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</si>
  <si>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</si>
  <si>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</si>
  <si>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</si>
  <si>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</si>
  <si>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</si>
  <si>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</si>
  <si>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</si>
  <si>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</si>
  <si>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</si>
  <si>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</si>
  <si>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</si>
  <si>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</si>
  <si>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</si>
  <si>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</si>
  <si>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</si>
  <si>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</si>
  <si>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</si>
  <si>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</si>
  <si>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</si>
  <si>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</si>
  <si>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</si>
  <si>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</si>
  <si>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</si>
  <si>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</si>
  <si>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</si>
  <si>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</si>
  <si>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</si>
  <si>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</si>
  <si>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</si>
  <si>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</si>
  <si>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</si>
  <si>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</si>
  <si>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</si>
  <si>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</si>
  <si>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</si>
  <si>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</si>
  <si>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</si>
  <si>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</si>
  <si>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</si>
  <si>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</si>
  <si>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</si>
  <si>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</si>
  <si>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</si>
  <si>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</si>
  <si>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</si>
  <si>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</si>
  <si>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</si>
  <si>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</si>
  <si>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</si>
  <si>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</si>
  <si>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</si>
  <si>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</si>
  <si>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</si>
  <si>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</si>
  <si>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</si>
  <si>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</si>
  <si>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</si>
  <si>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</si>
  <si>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</si>
  <si>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</si>
  <si>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</si>
  <si>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</si>
  <si>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</si>
  <si>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</si>
  <si>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</si>
  <si>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</si>
  <si>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</si>
  <si>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</si>
  <si>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</si>
  <si>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</si>
  <si>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</si>
  <si>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</si>
  <si>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</si>
  <si>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</si>
  <si>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</si>
  <si>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</si>
  <si>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</si>
  <si>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</si>
  <si>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</si>
  <si>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</si>
  <si>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</si>
  <si>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</si>
  <si>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</si>
  <si>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</si>
  <si>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</si>
  <si>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</si>
  <si>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</si>
  <si>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</si>
  <si>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</si>
  <si>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</si>
  <si>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</si>
  <si>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</si>
  <si>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</si>
  <si>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</si>
  <si>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</si>
  <si>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</si>
  <si>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</si>
  <si>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</si>
  <si>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</si>
  <si>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</si>
  <si>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</si>
  <si>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</si>
  <si>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</si>
  <si>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</si>
  <si>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</si>
  <si>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</si>
  <si>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</si>
  <si>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</si>
  <si>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</si>
  <si>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</si>
  <si>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</si>
  <si>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</si>
  <si>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</si>
  <si>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</si>
  <si>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</si>
  <si>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</si>
  <si>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</si>
  <si>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</si>
  <si>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</si>
  <si>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</si>
  <si>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</si>
  <si>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</si>
  <si>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</si>
  <si>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</si>
  <si>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</si>
  <si>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</si>
  <si>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</si>
  <si>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</si>
  <si>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</si>
  <si>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</si>
  <si>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</si>
  <si>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</si>
  <si>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</si>
  <si>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</si>
  <si>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</si>
  <si>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</si>
  <si>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</si>
  <si>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</si>
  <si>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</si>
  <si>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</si>
  <si>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</si>
  <si>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</si>
  <si>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</si>
  <si>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</si>
  <si>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</si>
  <si>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</si>
  <si>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</si>
  <si>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</si>
  <si>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</si>
  <si>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</si>
  <si>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</si>
  <si>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</si>
  <si>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</si>
  <si>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</si>
  <si>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</si>
  <si>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</si>
  <si>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</si>
  <si>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</si>
  <si>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</si>
  <si>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</si>
  <si>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</si>
  <si>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</si>
  <si>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</si>
  <si>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</si>
  <si>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</si>
  <si>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</si>
  <si>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</si>
  <si>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</si>
  <si>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</si>
  <si>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</si>
  <si>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</si>
  <si>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</si>
  <si>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</si>
  <si>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</si>
  <si>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</si>
  <si>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</si>
  <si>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</si>
  <si>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</si>
  <si>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</si>
  <si>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</si>
  <si>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</si>
  <si>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</si>
  <si>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</si>
  <si>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</si>
  <si>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</si>
  <si>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</si>
  <si>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</si>
  <si>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</si>
  <si>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</si>
  <si>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</si>
  <si>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</si>
  <si>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</si>
  <si>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</si>
  <si>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</si>
  <si>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</si>
  <si>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</si>
  <si>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</si>
  <si>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</si>
  <si>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</si>
  <si>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</si>
  <si>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</si>
  <si>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</si>
  <si>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</si>
  <si>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</si>
  <si>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</si>
  <si>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</si>
  <si>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</si>
  <si>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</si>
  <si>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</si>
  <si>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</si>
  <si>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</si>
  <si>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</si>
  <si>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</si>
  <si>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</si>
  <si>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</si>
  <si>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</si>
  <si>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</si>
  <si>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</si>
  <si>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</si>
  <si>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</si>
  <si>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</si>
  <si>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</si>
  <si>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</si>
  <si>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</si>
  <si>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</si>
  <si>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</si>
  <si>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</si>
  <si>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</si>
  <si>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</si>
  <si>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</si>
  <si>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</si>
  <si>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</si>
  <si>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</si>
  <si>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</si>
  <si>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</si>
  <si>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</si>
  <si>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</si>
  <si>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</si>
  <si>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</si>
  <si>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</si>
  <si>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</si>
  <si>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</si>
  <si>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</si>
  <si>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</si>
  <si>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</si>
  <si>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</si>
  <si>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</si>
  <si>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</si>
  <si>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</si>
  <si>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</si>
  <si>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</si>
  <si>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</si>
  <si>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</si>
  <si>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</si>
  <si>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</si>
  <si>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</si>
  <si>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</si>
  <si>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</si>
  <si>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</si>
  <si>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</si>
  <si>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</si>
  <si>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</si>
  <si>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</si>
  <si>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</si>
  <si>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</si>
  <si>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</si>
  <si>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</si>
  <si>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</si>
  <si>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</si>
  <si>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</si>
  <si>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</si>
  <si>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</si>
  <si>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</si>
  <si>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</si>
  <si>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</si>
  <si>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</si>
  <si>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</si>
  <si>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</si>
  <si>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</si>
  <si>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</si>
  <si>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</si>
  <si>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</si>
  <si>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</si>
  <si>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</si>
  <si>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</si>
  <si>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</si>
  <si>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</si>
  <si>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</si>
  <si>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</si>
  <si>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</si>
  <si>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</si>
  <si>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</si>
  <si>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</si>
  <si>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</si>
  <si>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</si>
  <si>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</si>
  <si>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</si>
  <si>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</si>
  <si>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</si>
  <si>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</si>
  <si>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</si>
  <si>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</si>
  <si>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</si>
  <si>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</si>
  <si>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</si>
  <si>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</si>
  <si>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</si>
  <si>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</si>
  <si>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</si>
  <si>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</si>
  <si>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</si>
  <si>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</si>
  <si>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</si>
  <si>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</si>
  <si>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</si>
  <si>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</si>
  <si>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</si>
  <si>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</si>
  <si>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</si>
  <si>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</si>
  <si>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</si>
  <si>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</si>
  <si>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</si>
  <si>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</si>
  <si>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</si>
  <si>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</si>
  <si>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</si>
  <si>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</si>
  <si>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</si>
  <si>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</si>
  <si>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</si>
  <si>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</si>
  <si>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</si>
  <si>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</si>
  <si>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</si>
  <si>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</si>
  <si>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</si>
  <si>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</si>
  <si>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</si>
  <si>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</si>
  <si>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</si>
  <si>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</si>
  <si>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</si>
  <si>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</si>
  <si>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</si>
  <si>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</si>
  <si>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</si>
  <si>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</si>
  <si>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</si>
  <si>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</si>
  <si>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</si>
  <si>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</si>
  <si>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</si>
  <si>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</si>
  <si>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</si>
  <si>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</si>
  <si>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</si>
  <si>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</si>
  <si>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</si>
  <si>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</si>
  <si>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</si>
  <si>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</si>
  <si>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</si>
  <si>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</si>
  <si>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</si>
  <si>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</si>
  <si>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</si>
  <si>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</si>
  <si>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</si>
  <si>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</si>
  <si>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</si>
  <si>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</si>
  <si>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</si>
  <si>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</si>
  <si>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</si>
  <si>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</si>
  <si>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</si>
  <si>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</si>
  <si>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</si>
  <si>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</si>
  <si>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</si>
  <si>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</si>
  <si>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</si>
  <si>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</si>
  <si>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</si>
  <si>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</si>
  <si>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</si>
  <si>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</si>
  <si>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</si>
  <si>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</si>
  <si>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</si>
  <si>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</si>
  <si>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</si>
  <si>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</si>
  <si>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</si>
  <si>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</si>
  <si>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</si>
  <si>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</si>
  <si>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</si>
  <si>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</si>
  <si>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</si>
  <si>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</si>
  <si>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</si>
  <si>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</si>
  <si>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</si>
  <si>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</si>
  <si>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</si>
  <si>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</si>
  <si>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</si>
  <si>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</si>
  <si>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</si>
  <si>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</si>
  <si>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</si>
  <si>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</si>
  <si>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</si>
  <si>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</si>
  <si>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</si>
  <si>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</si>
  <si>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</si>
  <si>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</si>
  <si>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</si>
  <si>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</si>
  <si>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</si>
  <si>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</si>
  <si>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</si>
  <si>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</si>
  <si>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</si>
  <si>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</si>
  <si>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</si>
  <si>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</si>
  <si>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</si>
  <si>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</si>
  <si>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</si>
  <si>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</si>
  <si>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</si>
  <si>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</si>
  <si>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</si>
  <si>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</si>
  <si>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</si>
  <si>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</si>
  <si>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</si>
  <si>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</si>
  <si>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</si>
  <si>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</si>
  <si>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</si>
  <si>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</si>
  <si>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</si>
  <si>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</si>
  <si>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</si>
  <si>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</si>
  <si>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</si>
  <si>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</si>
  <si>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</si>
  <si>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</si>
  <si>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</si>
  <si>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</si>
  <si>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</si>
  <si>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</si>
  <si>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</si>
  <si>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</si>
  <si>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</si>
  <si>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</si>
  <si>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</si>
  <si>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</si>
  <si>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</si>
  <si>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</si>
  <si>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</si>
  <si>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</si>
  <si>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</si>
  <si>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</si>
  <si>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</si>
  <si>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</si>
  <si>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</si>
  <si>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</si>
  <si>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</si>
  <si>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</si>
  <si>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</si>
  <si>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</si>
  <si>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</si>
  <si>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</si>
  <si>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</si>
  <si>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</si>
  <si>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</si>
  <si>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</si>
  <si>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</si>
  <si>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</si>
  <si>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</si>
  <si>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</si>
  <si>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</si>
  <si>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</si>
  <si>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</si>
  <si>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</si>
  <si>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</si>
  <si>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</si>
  <si>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</si>
  <si>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</si>
  <si>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</si>
  <si>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</si>
  <si>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</si>
  <si>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</si>
  <si>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</si>
  <si>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</si>
  <si>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</si>
  <si>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</si>
  <si>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</si>
  <si>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</si>
  <si>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</si>
  <si>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</si>
  <si>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</si>
  <si>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</si>
  <si>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</si>
  <si>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</si>
  <si>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</si>
  <si>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</si>
  <si>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</si>
  <si>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</si>
  <si>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</si>
  <si>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</si>
  <si>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</si>
  <si>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</si>
  <si>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</si>
  <si>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</si>
  <si>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</si>
  <si>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</si>
  <si>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</si>
  <si>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</si>
  <si>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</si>
  <si>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</si>
  <si>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</si>
  <si>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</si>
  <si>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</si>
  <si>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</si>
  <si>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</si>
  <si>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</si>
  <si>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</si>
  <si>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</si>
  <si>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</si>
  <si>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</si>
  <si>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</si>
  <si>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</si>
  <si>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</si>
  <si>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</si>
  <si>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</si>
  <si>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</si>
  <si>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</si>
  <si>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</si>
  <si>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</si>
  <si>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</si>
  <si>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</si>
  <si>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</si>
  <si>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</si>
  <si>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</si>
  <si>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</si>
  <si>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</si>
  <si>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</si>
  <si>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</si>
  <si>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</si>
  <si>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</si>
  <si>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</si>
  <si>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</si>
  <si>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</si>
  <si>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</si>
  <si>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</si>
  <si>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</si>
  <si>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</si>
  <si>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</si>
  <si>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</si>
  <si>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</si>
  <si>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</si>
  <si>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</si>
  <si>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</si>
  <si>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</si>
  <si>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</si>
  <si>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</si>
  <si>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</si>
  <si>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</si>
  <si>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</si>
  <si>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</si>
  <si>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</si>
  <si>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</si>
  <si>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</si>
  <si>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</si>
  <si>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</si>
  <si>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</si>
  <si>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</si>
  <si>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</si>
  <si>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</si>
  <si>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</si>
  <si>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</si>
  <si>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</si>
  <si>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</si>
  <si>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</si>
  <si>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</si>
  <si>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</si>
  <si>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</si>
  <si>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</si>
  <si>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</si>
  <si>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</si>
  <si>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</si>
  <si>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</si>
  <si>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</si>
  <si>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</si>
  <si>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</si>
  <si>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</si>
  <si>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</si>
  <si>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</si>
  <si>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</si>
  <si>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</si>
  <si>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</si>
  <si>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</si>
  <si>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</si>
  <si>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</si>
  <si>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</si>
  <si>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</si>
  <si>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</si>
  <si>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</si>
  <si>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</si>
  <si>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</si>
  <si>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</si>
  <si>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</si>
  <si>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</si>
  <si>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</si>
  <si>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</si>
  <si>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</si>
  <si>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</si>
  <si>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</si>
  <si>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</si>
  <si>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</si>
  <si>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</si>
  <si>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</si>
  <si>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</si>
  <si>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</si>
  <si>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</si>
  <si>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</si>
  <si>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</si>
  <si>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</si>
  <si>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</si>
  <si>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</si>
  <si>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</si>
  <si>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</si>
  <si>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</si>
  <si>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</si>
  <si>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</si>
  <si>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</si>
  <si>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</si>
  <si>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</si>
  <si>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</si>
  <si>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</si>
  <si>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</si>
  <si>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</si>
  <si>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</si>
  <si>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</si>
  <si>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</si>
  <si>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</si>
  <si>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</si>
  <si>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</si>
  <si>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</si>
  <si>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</si>
  <si>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</si>
  <si>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</si>
  <si>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</si>
  <si>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</si>
  <si>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</si>
  <si>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</si>
  <si>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</si>
  <si>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</si>
  <si>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</si>
  <si>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</si>
  <si>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</si>
  <si>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</si>
  <si>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</si>
  <si>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</si>
  <si>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</si>
  <si>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</si>
  <si>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</si>
  <si>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</si>
  <si>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</si>
  <si>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</si>
  <si>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</si>
  <si>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</si>
  <si>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</si>
  <si>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</si>
  <si>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</si>
  <si>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</si>
  <si>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</si>
  <si>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</si>
  <si>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</si>
  <si>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</si>
  <si>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</si>
  <si>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</si>
  <si>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</si>
  <si>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</si>
  <si>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</si>
  <si>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</si>
  <si>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</si>
  <si>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</si>
  <si>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</si>
  <si>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</si>
  <si>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</si>
  <si>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</si>
  <si>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</si>
  <si>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</si>
  <si>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</si>
  <si>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</si>
  <si>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</si>
  <si>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</si>
  <si>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</si>
  <si>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</si>
  <si>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</si>
  <si>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</si>
  <si>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</si>
  <si>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</si>
  <si>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</si>
  <si>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</si>
  <si>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</si>
  <si>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</si>
  <si>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</si>
  <si>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</si>
  <si>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</si>
  <si>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</si>
  <si>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</si>
  <si>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</si>
  <si>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</si>
  <si>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</si>
  <si>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</si>
  <si>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</si>
  <si>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</si>
  <si>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</si>
  <si>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</si>
  <si>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</si>
  <si>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</si>
  <si>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</si>
  <si>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</si>
  <si>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</si>
  <si>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</si>
  <si>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</si>
  <si>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</si>
  <si>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</si>
  <si>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</si>
  <si>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</si>
  <si>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</si>
  <si>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</si>
  <si>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</si>
  <si>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</si>
  <si>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</si>
  <si>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</si>
  <si>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</si>
  <si>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</si>
  <si>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</si>
  <si>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</si>
  <si>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</si>
  <si>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</si>
  <si>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</si>
  <si>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</si>
  <si>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</si>
  <si>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</si>
  <si>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</si>
  <si>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</si>
  <si>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</si>
  <si>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</si>
  <si>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</si>
  <si>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</si>
  <si>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</si>
  <si>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</si>
  <si>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</si>
  <si>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</si>
  <si>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</si>
  <si>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</si>
  <si>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</si>
  <si>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</si>
  <si>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</si>
  <si>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</si>
  <si>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</si>
  <si>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</si>
  <si>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</si>
  <si>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</si>
  <si>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</si>
  <si>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</si>
  <si>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</si>
  <si>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</si>
  <si>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</si>
  <si>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</si>
  <si>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</si>
  <si>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</si>
  <si>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</si>
  <si>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</si>
  <si>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</si>
  <si>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</si>
  <si>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</si>
  <si>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</si>
  <si>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</si>
  <si>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</si>
  <si>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</si>
  <si>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</si>
  <si>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</si>
  <si>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</si>
  <si>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</si>
  <si>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</si>
  <si>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</si>
  <si>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</si>
  <si>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</si>
  <si>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</si>
  <si>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</si>
  <si>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</si>
  <si>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</si>
  <si>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</si>
  <si>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</si>
  <si>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</si>
  <si>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</si>
  <si>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</si>
  <si>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</si>
  <si>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</si>
  <si>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</si>
  <si>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</si>
  <si>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</si>
  <si>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</si>
  <si>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</si>
  <si>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</si>
  <si>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</si>
  <si>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</si>
  <si>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</si>
  <si>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</si>
  <si>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</si>
  <si>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</si>
  <si>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</si>
  <si>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</si>
  <si>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</si>
  <si>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</si>
  <si>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</si>
  <si>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</si>
  <si>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</si>
  <si>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</si>
  <si>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</si>
  <si>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</si>
  <si>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</si>
  <si>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</si>
  <si>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</si>
  <si>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</si>
  <si>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</si>
  <si>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</si>
  <si>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</si>
  <si>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</si>
  <si>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</si>
  <si>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</si>
  <si>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</si>
  <si>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</si>
  <si>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</si>
  <si>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</si>
  <si>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</si>
  <si>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</si>
  <si>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</si>
  <si>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</si>
  <si>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</si>
  <si>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</si>
  <si>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</si>
  <si>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</si>
  <si>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</si>
  <si>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</si>
  <si>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</si>
  <si>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</si>
  <si>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</si>
  <si>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</si>
  <si>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</si>
  <si>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</si>
  <si>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</si>
  <si>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</si>
  <si>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</si>
  <si>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</si>
  <si>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</si>
  <si>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</si>
  <si>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</si>
  <si>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</si>
  <si>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</si>
  <si>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</si>
  <si>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</si>
  <si>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</si>
  <si>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</si>
  <si>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</si>
  <si>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</si>
  <si>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</si>
  <si>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</si>
  <si>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</si>
  <si>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</si>
  <si>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</si>
  <si>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</si>
  <si>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</si>
  <si>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</si>
  <si>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</si>
  <si>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</si>
  <si>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</si>
  <si>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</si>
  <si>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</si>
  <si>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</si>
  <si>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</si>
  <si>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</si>
  <si>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</si>
  <si>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</si>
  <si>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</si>
  <si>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</si>
  <si>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</si>
  <si>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</si>
  <si>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</si>
  <si>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</si>
  <si>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</si>
  <si>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</si>
  <si>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</si>
  <si>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</si>
  <si>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</si>
  <si>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</si>
  <si>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</si>
  <si>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</si>
  <si>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</si>
  <si>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</si>
  <si>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</si>
  <si>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</si>
  <si>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</si>
  <si>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</si>
  <si>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</si>
  <si>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</si>
  <si>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</si>
  <si>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</si>
  <si>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</si>
  <si>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</si>
  <si>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</si>
  <si>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</si>
  <si>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</si>
  <si>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</si>
  <si>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</si>
  <si>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</si>
  <si>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</si>
  <si>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</si>
  <si>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</si>
  <si>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</si>
  <si>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</si>
  <si>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</si>
  <si>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</si>
  <si>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</si>
  <si>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</si>
  <si>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</si>
  <si>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</si>
  <si>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</si>
  <si>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</si>
  <si>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</si>
  <si>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</si>
  <si>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</si>
  <si>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</si>
  <si>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</si>
  <si>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</si>
  <si>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</si>
  <si>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</si>
  <si>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</si>
  <si>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</si>
  <si>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</si>
  <si>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</si>
  <si>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</si>
  <si>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</si>
  <si>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</si>
  <si>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</si>
  <si>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</si>
  <si>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</si>
  <si>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</si>
  <si>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</si>
  <si>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</si>
  <si>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</si>
  <si>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</si>
  <si>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</si>
  <si>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</si>
  <si>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</si>
  <si>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</si>
  <si>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</si>
  <si>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</si>
  <si>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</si>
  <si>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</si>
  <si>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</si>
  <si>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</si>
  <si>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</si>
  <si>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</si>
  <si>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</si>
  <si>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</si>
  <si>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</si>
  <si>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</si>
  <si>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</si>
  <si>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</si>
  <si>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</si>
  <si>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</si>
  <si>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</si>
  <si>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</si>
  <si>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</si>
  <si>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</si>
  <si>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</si>
  <si>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</si>
  <si>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</si>
  <si>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</si>
  <si>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</si>
  <si>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</si>
  <si>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</si>
  <si>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</si>
  <si>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</si>
  <si>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</si>
  <si>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</si>
  <si>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</si>
  <si>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</si>
  <si>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</si>
  <si>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</si>
  <si>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</si>
  <si>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</si>
  <si>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</si>
  <si>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</si>
  <si>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</si>
  <si>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</si>
  <si>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</si>
  <si>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</si>
  <si>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</si>
  <si>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</si>
  <si>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</si>
  <si>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</si>
  <si>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</si>
  <si>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</si>
  <si>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</si>
  <si>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</si>
  <si>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</si>
  <si>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</si>
  <si>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</si>
  <si>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</si>
  <si>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</si>
  <si>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</si>
  <si>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</si>
  <si>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</si>
  <si>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</si>
  <si>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</si>
  <si>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</si>
  <si>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</si>
  <si>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</si>
  <si>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</si>
  <si>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</si>
  <si>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</si>
  <si>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</si>
  <si>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</si>
  <si>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</si>
  <si>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</si>
  <si>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</si>
  <si>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</si>
  <si>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</si>
  <si>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</si>
  <si>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</si>
  <si>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</si>
  <si>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</si>
  <si>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</si>
  <si>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</si>
  <si>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</si>
  <si>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</si>
  <si>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</si>
  <si>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</si>
  <si>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</si>
  <si>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</si>
  <si>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</si>
  <si>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</si>
  <si>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</si>
  <si>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</si>
  <si>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</si>
  <si>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</si>
  <si>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</si>
  <si>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</si>
  <si>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</si>
  <si>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</si>
  <si>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</si>
  <si>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</si>
  <si>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</si>
  <si>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</si>
  <si>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</si>
  <si>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</si>
  <si>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</si>
  <si>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</si>
  <si>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</si>
  <si>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</si>
  <si>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</si>
  <si>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</si>
  <si>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</si>
  <si>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</si>
  <si>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</si>
  <si>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</si>
  <si>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</si>
  <si>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</si>
  <si>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</si>
  <si>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</si>
  <si>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</si>
  <si>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</si>
  <si>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</si>
  <si>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</si>
  <si>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</si>
  <si>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</si>
  <si>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</si>
  <si>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</si>
  <si>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</si>
  <si>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</si>
  <si>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</si>
  <si>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</si>
  <si>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</si>
  <si>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</si>
  <si>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</si>
  <si>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</si>
  <si>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</si>
  <si>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</si>
  <si>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</si>
  <si>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</si>
  <si>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</si>
  <si>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</si>
  <si>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</si>
  <si>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</si>
  <si>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</si>
  <si>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</si>
  <si>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</si>
  <si>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</si>
  <si>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</si>
  <si>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</si>
  <si>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</si>
  <si>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</si>
  <si>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</si>
  <si>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</si>
  <si>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</si>
  <si>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</si>
  <si>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</si>
  <si>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</si>
  <si>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</si>
  <si>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</si>
  <si>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</si>
  <si>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</si>
  <si>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</si>
  <si>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</si>
  <si>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</si>
  <si>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</si>
  <si>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</si>
  <si>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</si>
  <si>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</si>
  <si>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</si>
  <si>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</si>
  <si>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</si>
  <si>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</si>
  <si>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</si>
  <si>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</si>
  <si>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</si>
  <si>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</si>
  <si>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</si>
  <si>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</si>
  <si>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</si>
  <si>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</si>
  <si>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</si>
  <si>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</si>
  <si>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</si>
  <si>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</si>
  <si>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</si>
  <si>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</si>
  <si>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</si>
  <si>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</si>
  <si>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</si>
  <si>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</si>
  <si>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</si>
  <si>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</si>
  <si>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</si>
  <si>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</si>
  <si>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</si>
  <si>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</si>
  <si>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</si>
  <si>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</si>
  <si>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</si>
  <si>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</si>
  <si>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</si>
  <si>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</si>
  <si>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</si>
  <si>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</si>
  <si>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</si>
  <si>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</si>
  <si>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</si>
  <si>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</si>
  <si>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</si>
  <si>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</si>
  <si>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</si>
  <si>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</si>
  <si>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</si>
  <si>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</si>
  <si>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</si>
  <si>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</si>
  <si>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</si>
  <si>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</si>
  <si>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</si>
  <si>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</si>
  <si>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</si>
  <si>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</si>
  <si>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</si>
  <si>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</si>
  <si>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</si>
  <si>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</si>
  <si>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</si>
  <si>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</si>
  <si>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</si>
  <si>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</si>
  <si>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</si>
  <si>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</si>
  <si>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</si>
  <si>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</si>
  <si>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</si>
  <si>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</si>
  <si>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</si>
  <si>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</si>
  <si>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</si>
  <si>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</si>
  <si>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</si>
  <si>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</si>
  <si>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</si>
  <si>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</si>
  <si>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</si>
  <si>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</si>
  <si>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</si>
  <si>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</si>
  <si>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</si>
  <si>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</si>
  <si>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</si>
  <si>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</si>
  <si>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</si>
  <si>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</si>
  <si>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</si>
  <si>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</si>
  <si>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</si>
  <si>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</si>
  <si>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</si>
  <si>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</si>
  <si>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</si>
  <si>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</si>
  <si>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</si>
  <si>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</si>
  <si>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</si>
  <si>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</si>
  <si>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</si>
  <si>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</si>
  <si>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</si>
  <si>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</si>
  <si>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</si>
  <si>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</si>
  <si>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</si>
  <si>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</si>
  <si>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</si>
  <si>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</si>
  <si>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</si>
  <si>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</si>
  <si>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</si>
  <si>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</si>
  <si>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</si>
  <si>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</si>
  <si>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</si>
  <si>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</si>
  <si>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</si>
  <si>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</si>
  <si>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</si>
  <si>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</si>
  <si>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</si>
  <si>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</si>
  <si>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</si>
  <si>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</si>
  <si>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</si>
  <si>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</si>
  <si>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</si>
  <si>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</si>
  <si>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</si>
  <si>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</si>
  <si>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</si>
  <si>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</si>
  <si>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</si>
  <si>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</si>
  <si>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</si>
  <si>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</si>
  <si>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</si>
  <si>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</si>
  <si>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</si>
  <si>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</si>
  <si>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</si>
  <si>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</si>
  <si>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</si>
  <si>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</si>
  <si>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</si>
  <si>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</si>
  <si>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</si>
  <si>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</si>
  <si>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</si>
  <si>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</si>
  <si>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</si>
  <si>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</si>
  <si>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</si>
  <si>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</si>
  <si>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</si>
  <si>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</si>
  <si>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</si>
  <si>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</si>
  <si>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</si>
  <si>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</si>
  <si>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</si>
  <si>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</si>
  <si>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</si>
  <si>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</si>
  <si>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</si>
  <si>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</si>
  <si>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</si>
  <si>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</si>
  <si>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</si>
  <si>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</si>
  <si>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</si>
  <si>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</si>
  <si>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</si>
  <si>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</si>
  <si>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</si>
  <si>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</si>
  <si>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</si>
  <si>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</si>
  <si>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</si>
  <si>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</si>
  <si>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</si>
  <si>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</si>
  <si>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</si>
  <si>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</si>
  <si>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</si>
  <si>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</si>
  <si>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</si>
  <si>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</si>
  <si>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</si>
  <si>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</si>
  <si>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</si>
  <si>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</si>
  <si>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</si>
  <si>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</si>
  <si>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</si>
  <si>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</si>
  <si>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</si>
  <si>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</si>
  <si>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</si>
  <si>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</si>
  <si>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</si>
  <si>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</si>
  <si>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Madison</t>
  </si>
  <si>
    <t>James K. Torti</t>
  </si>
  <si>
    <t>Schowalter &amp; Jabouri, P.C.</t>
  </si>
  <si>
    <t>708 St. Louis Street</t>
  </si>
  <si>
    <t>Edwardsville</t>
  </si>
  <si>
    <t>314-849-4999</t>
  </si>
  <si>
    <t>11878 Gravois Road</t>
  </si>
  <si>
    <t>St.  Louis</t>
  </si>
  <si>
    <t>MO</t>
  </si>
  <si>
    <t>314-849-3486</t>
  </si>
  <si>
    <t>065-023270</t>
  </si>
  <si>
    <t>jtorti@sjcpa.com</t>
  </si>
  <si>
    <t>dcourtney@ecusd7.org</t>
  </si>
  <si>
    <t>Dr. Jason Henderson</t>
  </si>
  <si>
    <t>jhenderson@ecusd7.org</t>
  </si>
  <si>
    <t>618-656-1182</t>
  </si>
  <si>
    <t>618-692-7423</t>
  </si>
  <si>
    <t>School Building Bond Issue 2007B</t>
  </si>
  <si>
    <t>School Building Bond Issue HLS 2007B</t>
  </si>
  <si>
    <t>School Refunding Bond Issue 2014A</t>
  </si>
  <si>
    <t>Working Cash Fund Bond Issue 2014B</t>
  </si>
  <si>
    <t>School Refunding Bond Issue 2015</t>
  </si>
  <si>
    <t>School Refunding Bond Issue 2017</t>
  </si>
  <si>
    <t>Capital Lease technology upgrades</t>
  </si>
  <si>
    <t>Promissory Note-real estate</t>
  </si>
  <si>
    <t>Capital lease</t>
  </si>
  <si>
    <t>Real estate purchase</t>
  </si>
  <si>
    <t>10-2560-300</t>
  </si>
  <si>
    <t>ED-Food Services</t>
  </si>
  <si>
    <t>Alpha Baking</t>
  </si>
  <si>
    <t>BNCN-Little Caesar's Pizza</t>
  </si>
  <si>
    <t>Kohl Wholesale</t>
  </si>
  <si>
    <t>Prairie Farms</t>
  </si>
  <si>
    <t>Royal Papers</t>
  </si>
  <si>
    <t>U.S. Department of Education</t>
  </si>
  <si>
    <t>Title IV - Student Support and Academic Enrichment</t>
  </si>
  <si>
    <t>Passed through Illinois State Board of Education</t>
  </si>
  <si>
    <t>Special Education (IDEA) Cluster</t>
  </si>
  <si>
    <t>IDEA Part B Flow-Through</t>
  </si>
  <si>
    <t>IDEA Room and Board</t>
  </si>
  <si>
    <t>Subtotal CFDA 84.027</t>
  </si>
  <si>
    <t>IDEA Preschool Flow Through</t>
  </si>
  <si>
    <t>Total Special Education (IDEA) Cluster</t>
  </si>
  <si>
    <t>Passed through Madison County Regional Office of Education</t>
  </si>
  <si>
    <t>Passed through Madison County Career &amp; Technical Education System</t>
  </si>
  <si>
    <t>Career &amp; Technical Education</t>
  </si>
  <si>
    <t>2019-4400</t>
  </si>
  <si>
    <t>2019-4300</t>
  </si>
  <si>
    <t>2019-4620</t>
  </si>
  <si>
    <t>2019-4625</t>
  </si>
  <si>
    <t>2019-4600</t>
  </si>
  <si>
    <t>2019-4932</t>
  </si>
  <si>
    <t>Total U.S. Department of Education</t>
  </si>
  <si>
    <t>U.S. Departement of Health and Human Services</t>
  </si>
  <si>
    <t>Passed through Illinois Department of Healthcare and Family Services</t>
  </si>
  <si>
    <t>Medicaid Cluster:</t>
  </si>
  <si>
    <t>Medical Assistance Program</t>
  </si>
  <si>
    <t>Total Medicaid Cluster</t>
  </si>
  <si>
    <t>Total U.S. Department of Health and Human Services</t>
  </si>
  <si>
    <t>U.S. Department of Agriculture</t>
  </si>
  <si>
    <t>Child Nutrition Cluster:</t>
  </si>
  <si>
    <t>National School Lunch Program *(M)</t>
  </si>
  <si>
    <t>National School Breakfast Program *(M)</t>
  </si>
  <si>
    <t>USDA Food Distribution *(M)</t>
  </si>
  <si>
    <t>Total Child Nutrition Cluster</t>
  </si>
  <si>
    <t>2018-4210</t>
  </si>
  <si>
    <t>2019-4210</t>
  </si>
  <si>
    <t>2018-4220</t>
  </si>
  <si>
    <t>Total U.S. Department of Agriculture</t>
  </si>
  <si>
    <t>Subtotal CFDA 10.553</t>
  </si>
  <si>
    <t>Subtotal CFDA 10.555</t>
  </si>
  <si>
    <t>Account summary includes Value of Commodities</t>
  </si>
  <si>
    <t>Alton #11, Cahokia #187, Calhoun #40, see below….</t>
  </si>
  <si>
    <t>Alton #11, Brussels #42, Cahokia #187, see below</t>
  </si>
  <si>
    <t>Employee Benefits:  Collinsville #10, Columbia #4, Granite City #9, Madison #12, Roxana #1, Triad #2, Venice #3</t>
  </si>
  <si>
    <t>Insurance: Calhoun #40, Collinsville #10, Columbia #4, Granite City #9, Madison #12, Roxana #1, Venice #3, East-Alton Wood River #14, Marissa #40, Jacksonville #117</t>
  </si>
  <si>
    <t>Line</t>
  </si>
  <si>
    <t>Fund 10</t>
  </si>
  <si>
    <t>Fund 20</t>
  </si>
  <si>
    <t>Fund 40</t>
  </si>
  <si>
    <t>Fund 60</t>
  </si>
  <si>
    <t>Other Food Service (local): In-district catering and net prepaid student cafeteria accounts</t>
  </si>
  <si>
    <t>Admissions other: performing arts event tickets</t>
  </si>
  <si>
    <t>Other Local Fees: Kid Zone and Summer Zone</t>
  </si>
  <si>
    <t xml:space="preserve">  Athletic &amp; Performing Arts camps</t>
  </si>
  <si>
    <t xml:space="preserve">  Miscellaneous</t>
  </si>
  <si>
    <t xml:space="preserve">  Insurance proceeds</t>
  </si>
  <si>
    <t xml:space="preserve">  Madison County Green schools grant</t>
  </si>
  <si>
    <t xml:space="preserve">  Field trip/charter reimbursements</t>
  </si>
  <si>
    <t>Other Restricted Revenue from State Sources:</t>
  </si>
  <si>
    <t>Other Local Revenues:</t>
  </si>
  <si>
    <t xml:space="preserve">  DHS/DCFS childcare reimbursement</t>
  </si>
  <si>
    <t xml:space="preserve">  Orphanage tuition reimbursement</t>
  </si>
  <si>
    <t xml:space="preserve">  DHS Prevocational grant</t>
  </si>
  <si>
    <t>Food Service-Other (federal): USDA food distribution</t>
  </si>
  <si>
    <t>CTE Other-Perkins federal grant</t>
  </si>
  <si>
    <t>Other Support Services: Medicaid claims processing fees</t>
  </si>
  <si>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</si>
  <si>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</si>
  <si>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</si>
  <si>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</si>
  <si>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X</t>
  </si>
  <si>
    <t>10.553, 10.555</t>
  </si>
  <si>
    <t>Child Nutrition Cluster</t>
  </si>
  <si>
    <t>$836,914</t>
  </si>
  <si>
    <t>The accompanying schedule of expenditures of federal awards (the "Schedule") includes the federal award activity of the District under programs of the federal government for the year ended June 30, 2019. The District's reporting entity is defined in Note 1 to the District's financial statements. The information reported in this Schedule is presented in accordance with the requirements of Title 2 U.S. Code of Federal Regulations Part 200, Uniform Administration Requirements, Cost Principles, and Audit Requirements for Federal Awards (Uniform Guidance). Because the Schedule presents only a selected portion of the operations of the District, it is not intended to and does not present the financial position, changes in net position or cash flows of the District.</t>
  </si>
  <si>
    <r>
      <t xml:space="preserve">Expenditures reported on the Schedule are reported on the modified accrual basis of accounting which is described in Note 1 to the District's financial statements. Such expenditures are recognized following, as applicable, either the cost principles in OMB Circular A-87, </t>
    </r>
    <r>
      <rPr>
        <i/>
        <sz val="9"/>
        <rFont val="Calibri"/>
        <family val="2"/>
        <scheme val="minor"/>
      </rPr>
      <t>Cost Principles for State, Local, and lndian Tribal Governments</t>
    </r>
    <r>
      <rPr>
        <sz val="9"/>
        <rFont val="Calibri"/>
        <family val="2"/>
        <scheme val="minor"/>
      </rPr>
      <t xml:space="preserve">, or the cost principles contained in Title 2 U.S. </t>
    </r>
    <r>
      <rPr>
        <i/>
        <sz val="9"/>
        <rFont val="Calibri"/>
        <family val="2"/>
        <scheme val="minor"/>
      </rPr>
      <t xml:space="preserve">Code of Federal Regulations </t>
    </r>
    <r>
      <rPr>
        <sz val="9"/>
        <rFont val="Calibri"/>
        <family val="2"/>
        <scheme val="minor"/>
      </rPr>
      <t>Part 200</t>
    </r>
    <r>
      <rPr>
        <i/>
        <sz val="9"/>
        <rFont val="Calibri"/>
        <family val="2"/>
        <scheme val="minor"/>
      </rPr>
      <t>, Uniform Administrative Requirements, Cost Principles, and Audit Requirements for Federal Awards</t>
    </r>
    <r>
      <rPr>
        <sz val="9"/>
        <rFont val="Calibri"/>
        <family val="2"/>
        <scheme val="minor"/>
      </rPr>
      <t>, wherein certain types of expenditures are not allowable or are limited as to reimbursement.</t>
    </r>
  </si>
  <si>
    <t>Edwardsville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</si>
</sst>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right/>
      <top style="thin">
        <color indexed="64"/>
      </top>
      <bottom style="medium">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55" fillId="0" borderId="0" xfId="0" applyFont="1" applyAlignment="1">
      <alignment wrapText="1"/>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3" fontId="60" fillId="0" borderId="22" xfId="3" applyNumberFormat="1" applyFont="1" applyBorder="1" applyAlignment="1" applyProtection="1">
      <alignment horizontal="left" vertical="center" wrapText="1" indent="3"/>
      <protection locked="0"/>
    </xf>
    <xf numFmtId="3" fontId="60" fillId="0" borderId="0" xfId="3" applyNumberFormat="1" applyFont="1" applyBorder="1" applyAlignment="1" applyProtection="1">
      <alignment horizontal="left" vertical="center" wrapText="1" indent="2"/>
      <protection locked="0"/>
    </xf>
    <xf numFmtId="3" fontId="60" fillId="0" borderId="8" xfId="3" applyNumberFormat="1" applyFont="1" applyBorder="1" applyAlignment="1" applyProtection="1">
      <alignment horizontal="right"/>
      <protection locked="0"/>
    </xf>
    <xf numFmtId="3" fontId="60" fillId="0" borderId="22" xfId="3" applyNumberFormat="1" applyFont="1" applyBorder="1" applyAlignment="1" applyProtection="1">
      <alignment horizontal="right"/>
      <protection locked="0"/>
    </xf>
    <xf numFmtId="3" fontId="60" fillId="0" borderId="22" xfId="3" applyNumberFormat="1" applyFont="1" applyBorder="1" applyAlignment="1" applyProtection="1">
      <alignment horizontal="left" vertical="center" wrapText="1" indent="4"/>
      <protection locked="0"/>
    </xf>
    <xf numFmtId="3" fontId="60" fillId="0" borderId="165" xfId="3" applyNumberFormat="1" applyFont="1" applyBorder="1" applyAlignment="1" applyProtection="1">
      <alignment horizontal="right"/>
      <protection locked="0"/>
    </xf>
    <xf numFmtId="3" fontId="60" fillId="0" borderId="165" xfId="3" applyNumberFormat="1" applyFont="1" applyBorder="1" applyAlignment="1" applyProtection="1">
      <alignment horizontal="center"/>
      <protection locked="0"/>
    </xf>
    <xf numFmtId="3" fontId="60" fillId="0" borderId="166" xfId="3" applyNumberFormat="1" applyFont="1" applyBorder="1" applyAlignment="1" applyProtection="1">
      <alignment horizontal="right"/>
      <protection locked="0"/>
    </xf>
    <xf numFmtId="181" fontId="55" fillId="0" borderId="0" xfId="1" applyNumberFormat="1" applyFont="1"/>
    <xf numFmtId="0" fontId="55" fillId="0" borderId="167" xfId="0" applyFont="1" applyBorder="1" applyAlignment="1">
      <alignment horizontal="center"/>
    </xf>
    <xf numFmtId="0" fontId="55" fillId="0" borderId="0" xfId="0" applyFont="1" applyBorder="1" applyAlignment="1">
      <alignment horizontal="center"/>
    </xf>
    <xf numFmtId="169"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45" xfId="3" applyNumberFormat="1" applyFont="1" applyBorder="1" applyAlignment="1" applyProtection="1">
      <alignment horizontal="center"/>
      <protection locked="0"/>
    </xf>
    <xf numFmtId="1" fontId="60" fillId="0" borderId="45"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53" fillId="0" borderId="0" xfId="3" applyFont="1" applyAlignment="1" applyProtection="1">
      <alignment horizontal="justify"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quotePrefix="1"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16A0E21-2E82-4732-AFB3-534F4B77E9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1272887</xdr:colOff>
          <xdr:row>4</xdr:row>
          <xdr:rowOff>155864</xdr:rowOff>
        </xdr:from>
        <xdr:to>
          <xdr:col>1</xdr:col>
          <xdr:colOff>2187287</xdr:colOff>
          <xdr:row>9</xdr:row>
          <xdr:rowOff>115166</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7AA82061-1521-478F-8A92-5285E0352A8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00" t="s">
        <v>404</v>
      </c>
      <c r="J1" s="2001"/>
      <c r="K1" s="2001"/>
      <c r="L1" s="2001"/>
      <c r="M1" s="2001"/>
      <c r="N1" s="2001"/>
      <c r="O1" s="2001"/>
      <c r="P1" s="2001"/>
      <c r="Q1" s="2001"/>
      <c r="R1" s="2001"/>
      <c r="S1" s="2001"/>
    </row>
    <row r="2" spans="1:28" ht="12" customHeight="1" x14ac:dyDescent="0.2">
      <c r="A2" s="47" t="s">
        <v>1989</v>
      </c>
      <c r="D2" s="48"/>
      <c r="I2" s="2002" t="s">
        <v>978</v>
      </c>
      <c r="J2" s="2001"/>
      <c r="K2" s="2001"/>
      <c r="L2" s="2001"/>
      <c r="M2" s="2001"/>
      <c r="N2" s="2001"/>
      <c r="O2" s="2001"/>
      <c r="P2" s="2001"/>
      <c r="Q2" s="2001"/>
      <c r="R2" s="2001"/>
      <c r="S2" s="2001"/>
    </row>
    <row r="3" spans="1:28" ht="12" customHeight="1" x14ac:dyDescent="0.2">
      <c r="A3" s="155" t="s">
        <v>1941</v>
      </c>
      <c r="B3" s="156"/>
      <c r="C3" s="156"/>
      <c r="D3" s="157"/>
      <c r="I3" s="2002" t="s">
        <v>52</v>
      </c>
      <c r="J3" s="2001"/>
      <c r="K3" s="2001"/>
      <c r="L3" s="2001"/>
      <c r="M3" s="2001"/>
      <c r="N3" s="2001"/>
      <c r="O3" s="2001"/>
      <c r="P3" s="2001"/>
      <c r="Q3" s="2001"/>
      <c r="R3" s="2001"/>
      <c r="S3" s="2001"/>
    </row>
    <row r="4" spans="1:28" ht="12" customHeight="1" x14ac:dyDescent="0.2">
      <c r="A4" s="37"/>
      <c r="I4" s="2002" t="s">
        <v>523</v>
      </c>
      <c r="J4" s="2001"/>
      <c r="K4" s="2001"/>
      <c r="L4" s="2001"/>
      <c r="M4" s="2001"/>
      <c r="N4" s="2001"/>
      <c r="O4" s="2001"/>
      <c r="P4" s="2001"/>
      <c r="Q4" s="2001"/>
      <c r="R4" s="2001"/>
      <c r="S4" s="2001"/>
    </row>
    <row r="5" spans="1:28" ht="14.1" customHeight="1" x14ac:dyDescent="0.2">
      <c r="B5" s="104" t="s">
        <v>2060</v>
      </c>
      <c r="C5" s="26" t="s">
        <v>909</v>
      </c>
      <c r="D5" s="84"/>
      <c r="E5" s="84"/>
      <c r="H5" s="38"/>
      <c r="I5" s="2010" t="s">
        <v>679</v>
      </c>
      <c r="J5" s="2009"/>
      <c r="K5" s="2009"/>
      <c r="L5" s="2009"/>
      <c r="M5" s="2009"/>
      <c r="N5" s="2009"/>
      <c r="O5" s="2009"/>
      <c r="P5" s="2009"/>
      <c r="Q5" s="2009"/>
      <c r="R5" s="2009"/>
      <c r="S5" s="2009"/>
    </row>
    <row r="6" spans="1:28" ht="14.1" customHeight="1" x14ac:dyDescent="0.2">
      <c r="B6" s="104"/>
      <c r="C6" s="26" t="s">
        <v>910</v>
      </c>
      <c r="D6" s="84"/>
      <c r="E6" s="84"/>
      <c r="I6" s="2008" t="s">
        <v>882</v>
      </c>
      <c r="J6" s="2009"/>
      <c r="K6" s="2009"/>
      <c r="L6" s="2009"/>
      <c r="M6" s="2009"/>
      <c r="N6" s="2009"/>
      <c r="O6" s="2009"/>
      <c r="P6" s="2009"/>
      <c r="Q6" s="2009"/>
      <c r="R6" s="2009"/>
      <c r="S6" s="2009"/>
    </row>
    <row r="7" spans="1:28" ht="12.2" customHeight="1" x14ac:dyDescent="0.2">
      <c r="I7" s="2003">
        <v>43646</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673</v>
      </c>
      <c r="J9" s="2006"/>
      <c r="K9" s="2006"/>
      <c r="L9" s="2006"/>
      <c r="M9" s="2006"/>
      <c r="N9" s="2006"/>
      <c r="O9" s="2006"/>
      <c r="P9" s="2006"/>
      <c r="Q9" s="2006"/>
      <c r="R9" s="2006"/>
      <c r="S9" s="2007"/>
      <c r="T9" s="2021" t="s">
        <v>532</v>
      </c>
      <c r="U9" s="2022"/>
      <c r="V9" s="2022"/>
      <c r="W9" s="2022"/>
      <c r="X9" s="2022"/>
      <c r="Y9" s="2022"/>
      <c r="Z9" s="2022"/>
      <c r="AA9" s="2023"/>
    </row>
    <row r="10" spans="1:28" ht="13.5" customHeight="1" x14ac:dyDescent="0.2">
      <c r="A10" s="2028" t="s">
        <v>674</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954</v>
      </c>
      <c r="B11" s="2032"/>
      <c r="C11" s="2032"/>
      <c r="D11" s="2032"/>
      <c r="E11" s="2032"/>
      <c r="F11" s="2032"/>
      <c r="G11" s="2032"/>
      <c r="H11" s="2033"/>
      <c r="I11" s="27"/>
      <c r="J11" s="74"/>
      <c r="K11" s="27"/>
      <c r="O11" s="148"/>
      <c r="P11" s="100" t="s">
        <v>201</v>
      </c>
      <c r="Q11" s="30"/>
      <c r="R11" s="28"/>
      <c r="S11" s="27"/>
      <c r="T11" s="2025"/>
      <c r="U11" s="2026"/>
      <c r="V11" s="2026"/>
      <c r="W11" s="2026"/>
      <c r="X11" s="2026"/>
      <c r="Y11" s="2026"/>
      <c r="Z11" s="2026"/>
      <c r="AA11" s="2027"/>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35">
        <v>41057007026</v>
      </c>
      <c r="B13" s="2036"/>
      <c r="C13" s="2036"/>
      <c r="D13" s="2036"/>
      <c r="E13" s="2036"/>
      <c r="F13" s="2036"/>
      <c r="G13" s="2036"/>
      <c r="H13" s="2037"/>
      <c r="I13" s="31"/>
      <c r="J13" s="30"/>
      <c r="K13" s="28"/>
      <c r="L13" s="30"/>
      <c r="M13" s="30"/>
      <c r="N13" s="30"/>
      <c r="O13" s="30"/>
      <c r="P13" s="30"/>
      <c r="Q13" s="30"/>
      <c r="R13" s="30"/>
      <c r="S13" s="30"/>
      <c r="T13" s="2040" t="s">
        <v>2063</v>
      </c>
      <c r="U13" s="2041"/>
      <c r="V13" s="2041"/>
      <c r="W13" s="2041"/>
      <c r="X13" s="2041"/>
      <c r="Y13" s="2042"/>
      <c r="Z13" s="2042"/>
      <c r="AA13" s="204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4" t="s">
        <v>2061</v>
      </c>
      <c r="B15" s="2038"/>
      <c r="C15" s="2038"/>
      <c r="D15" s="2038"/>
      <c r="E15" s="2038"/>
      <c r="F15" s="2038"/>
      <c r="G15" s="2038"/>
      <c r="H15" s="2039"/>
      <c r="T15" s="2044" t="s">
        <v>2062</v>
      </c>
      <c r="U15" s="1988"/>
      <c r="V15" s="1988"/>
      <c r="W15" s="1988"/>
      <c r="X15" s="1988"/>
      <c r="Y15" s="2045"/>
      <c r="Z15" s="2045"/>
      <c r="AA15" s="204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4" t="s">
        <v>2168</v>
      </c>
      <c r="B17" s="1995"/>
      <c r="C17" s="1995"/>
      <c r="D17" s="1995"/>
      <c r="E17" s="1995"/>
      <c r="F17" s="1995"/>
      <c r="G17" s="1995"/>
      <c r="H17" s="2020"/>
      <c r="T17" s="2051" t="s">
        <v>2067</v>
      </c>
      <c r="U17" s="2052"/>
      <c r="V17" s="2052"/>
      <c r="W17" s="2052"/>
      <c r="X17" s="2052"/>
      <c r="Y17" s="2052"/>
      <c r="Z17" s="2052"/>
      <c r="AA17" s="2053"/>
    </row>
    <row r="18" spans="1:27" ht="13.5" customHeight="1" x14ac:dyDescent="0.2">
      <c r="A18" s="85" t="s">
        <v>529</v>
      </c>
      <c r="B18" s="76"/>
      <c r="C18" s="72"/>
      <c r="D18" s="76"/>
      <c r="E18" s="76"/>
      <c r="F18" s="76"/>
      <c r="G18" s="76"/>
      <c r="H18" s="56"/>
      <c r="I18" s="2019" t="s">
        <v>675</v>
      </c>
      <c r="J18" s="1970"/>
      <c r="K18" s="1970"/>
      <c r="L18" s="1970"/>
      <c r="M18" s="1970"/>
      <c r="N18" s="1970"/>
      <c r="O18" s="1970"/>
      <c r="P18" s="1970"/>
      <c r="Q18" s="1970"/>
      <c r="R18" s="1970"/>
      <c r="S18" s="1971"/>
      <c r="T18" s="85" t="s">
        <v>710</v>
      </c>
      <c r="U18" s="51"/>
      <c r="V18" s="72"/>
      <c r="W18" s="50"/>
      <c r="X18" s="85" t="s">
        <v>265</v>
      </c>
      <c r="Y18" s="81"/>
      <c r="Z18" s="159" t="s">
        <v>676</v>
      </c>
      <c r="AA18" s="46"/>
    </row>
    <row r="19" spans="1:27" ht="13.5" customHeight="1" x14ac:dyDescent="0.2">
      <c r="A19" s="2034" t="s">
        <v>2064</v>
      </c>
      <c r="B19" s="1980"/>
      <c r="C19" s="1980"/>
      <c r="D19" s="1980"/>
      <c r="E19" s="1980"/>
      <c r="F19" s="1980"/>
      <c r="G19" s="1980"/>
      <c r="H19" s="1960"/>
      <c r="I19" s="30"/>
      <c r="J19" s="99"/>
      <c r="K19" s="40"/>
      <c r="L19" s="38"/>
      <c r="M19" s="112" t="s">
        <v>314</v>
      </c>
      <c r="P19" s="27"/>
      <c r="Q19" s="27"/>
      <c r="R19" s="27"/>
      <c r="S19" s="31"/>
      <c r="T19" s="2034" t="s">
        <v>2068</v>
      </c>
      <c r="U19" s="1959"/>
      <c r="V19" s="1959"/>
      <c r="W19" s="1960"/>
      <c r="X19" s="2049" t="s">
        <v>2069</v>
      </c>
      <c r="Y19" s="2050"/>
      <c r="Z19" s="2047">
        <v>63127</v>
      </c>
      <c r="AA19" s="204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8" t="s">
        <v>2065</v>
      </c>
      <c r="B21" s="1959"/>
      <c r="C21" s="1959"/>
      <c r="D21" s="1959"/>
      <c r="E21" s="1959"/>
      <c r="F21" s="1959"/>
      <c r="G21" s="1959"/>
      <c r="H21" s="1960"/>
      <c r="I21" s="2014" t="s">
        <v>677</v>
      </c>
      <c r="J21" s="2009"/>
      <c r="K21" s="2009"/>
      <c r="L21" s="2009"/>
      <c r="M21" s="2009"/>
      <c r="N21" s="2009"/>
      <c r="O21" s="2009"/>
      <c r="P21" s="2009"/>
      <c r="Q21" s="2009"/>
      <c r="R21" s="2009"/>
      <c r="S21" s="2015"/>
      <c r="T21" s="2058" t="s">
        <v>2066</v>
      </c>
      <c r="U21" s="2059"/>
      <c r="V21" s="2059"/>
      <c r="W21" s="2059"/>
      <c r="X21" s="2064" t="s">
        <v>2070</v>
      </c>
      <c r="Y21" s="2065"/>
      <c r="Z21" s="2065"/>
      <c r="AA21" s="2066"/>
    </row>
    <row r="22" spans="1:27" ht="13.5" customHeight="1" x14ac:dyDescent="0.2">
      <c r="A22" s="87" t="s">
        <v>530</v>
      </c>
      <c r="B22" s="59"/>
      <c r="C22" s="59"/>
      <c r="D22" s="59"/>
      <c r="E22" s="59"/>
      <c r="F22" s="59"/>
      <c r="G22" s="59"/>
      <c r="H22" s="60"/>
      <c r="I22" s="2016" t="s">
        <v>1428</v>
      </c>
      <c r="J22" s="2017"/>
      <c r="K22" s="2017"/>
      <c r="L22" s="2017"/>
      <c r="M22" s="2017"/>
      <c r="N22" s="2017"/>
      <c r="O22" s="2017"/>
      <c r="P22" s="2017"/>
      <c r="Q22" s="2017"/>
      <c r="R22" s="2017"/>
      <c r="S22" s="2018"/>
      <c r="T22" s="85" t="s">
        <v>1515</v>
      </c>
      <c r="U22" s="51"/>
      <c r="V22" s="72"/>
      <c r="W22" s="51"/>
      <c r="X22" s="160" t="s">
        <v>1317</v>
      </c>
      <c r="Z22" s="45"/>
      <c r="AA22" s="46"/>
    </row>
    <row r="23" spans="1:27" ht="13.5" customHeight="1" x14ac:dyDescent="0.2">
      <c r="A23" s="2011" t="s">
        <v>2073</v>
      </c>
      <c r="B23" s="2012"/>
      <c r="C23" s="2012"/>
      <c r="D23" s="2012"/>
      <c r="E23" s="2012"/>
      <c r="F23" s="2012"/>
      <c r="G23" s="2012"/>
      <c r="H23" s="2013"/>
      <c r="T23" s="1994" t="s">
        <v>2071</v>
      </c>
      <c r="U23" s="2057"/>
      <c r="V23" s="2057"/>
      <c r="W23" s="2057"/>
      <c r="X23" s="2061">
        <v>44469</v>
      </c>
      <c r="Y23" s="2062"/>
      <c r="Z23" s="2062"/>
      <c r="AA23" s="2063"/>
    </row>
    <row r="24" spans="1:27" ht="14.1" customHeight="1" x14ac:dyDescent="0.2">
      <c r="A24" s="88" t="s">
        <v>676</v>
      </c>
      <c r="B24" s="49"/>
      <c r="C24" s="49"/>
      <c r="D24" s="49"/>
      <c r="E24" s="49"/>
      <c r="F24" s="49"/>
      <c r="G24" s="49"/>
      <c r="H24" s="61"/>
      <c r="J24" s="1981">
        <f>IF(B5="x",IF(AUDITCHECK!D29="AFR form Incomplete.","",IF(AUDITCHECK!D29="Deficit reduction plan is required.","School District must complete a deficit reduction plan in the 2019-2020 Budget",)),"")</f>
        <v>0</v>
      </c>
      <c r="K24" s="1981"/>
      <c r="L24" s="1981"/>
      <c r="M24" s="1981"/>
      <c r="N24" s="1981"/>
      <c r="O24" s="1981"/>
      <c r="P24" s="1981"/>
      <c r="Q24" s="1981"/>
      <c r="R24" s="1981"/>
      <c r="S24" s="1982"/>
      <c r="T24" s="105" t="s">
        <v>530</v>
      </c>
      <c r="U24" s="106"/>
      <c r="V24" s="106"/>
      <c r="W24" s="106"/>
      <c r="X24" s="107"/>
      <c r="Y24" s="107"/>
      <c r="Z24" s="107"/>
      <c r="AA24" s="108"/>
    </row>
    <row r="25" spans="1:27" ht="14.1" customHeight="1" x14ac:dyDescent="0.2">
      <c r="A25" s="1958">
        <v>62025</v>
      </c>
      <c r="B25" s="1959"/>
      <c r="C25" s="1959"/>
      <c r="D25" s="1959"/>
      <c r="E25" s="1959"/>
      <c r="F25" s="1959"/>
      <c r="G25" s="1959"/>
      <c r="H25" s="1960"/>
      <c r="I25" s="113"/>
      <c r="J25" s="1983"/>
      <c r="K25" s="1983"/>
      <c r="L25" s="1983"/>
      <c r="M25" s="1983"/>
      <c r="N25" s="1983"/>
      <c r="O25" s="1983"/>
      <c r="P25" s="1983"/>
      <c r="Q25" s="1983"/>
      <c r="R25" s="1983"/>
      <c r="S25" s="1984"/>
      <c r="T25" s="2054" t="s">
        <v>2072</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9" t="s">
        <v>1510</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4" t="s">
        <v>2074</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530</v>
      </c>
      <c r="B39" s="1965"/>
      <c r="C39" s="72"/>
      <c r="D39" s="69"/>
      <c r="E39" s="69"/>
      <c r="F39" s="79"/>
      <c r="G39" s="69"/>
      <c r="H39" s="56"/>
      <c r="I39" s="1964" t="s">
        <v>530</v>
      </c>
      <c r="J39" s="1965"/>
      <c r="K39" s="1965"/>
      <c r="L39" s="1965"/>
      <c r="M39" s="1965"/>
      <c r="N39" s="67"/>
      <c r="O39" s="72"/>
      <c r="P39" s="72"/>
      <c r="Q39" s="78"/>
      <c r="R39" s="72"/>
      <c r="S39" s="56"/>
      <c r="T39" s="72" t="s">
        <v>530</v>
      </c>
      <c r="U39" s="51"/>
      <c r="V39" s="72"/>
      <c r="W39" s="50"/>
      <c r="X39" s="78"/>
      <c r="Y39" s="45"/>
      <c r="Z39" s="45"/>
      <c r="AA39" s="46"/>
    </row>
    <row r="40" spans="1:27" ht="13.5" customHeight="1" x14ac:dyDescent="0.2">
      <c r="A40" s="1972" t="s">
        <v>2075</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6" t="s">
        <v>2076</v>
      </c>
      <c r="B42" s="1978"/>
      <c r="C42" s="1979"/>
      <c r="D42" s="1977" t="s">
        <v>2077</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4"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 zoomScale="110" zoomScaleNormal="110" workbookViewId="0">
      <selection activeCell="I22" sqref="I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0" t="s">
        <v>1064</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690</v>
      </c>
      <c r="B40" s="2067"/>
      <c r="C40" s="2067"/>
      <c r="D40" s="2067"/>
      <c r="E40" s="2067"/>
    </row>
    <row r="41" spans="1:5" x14ac:dyDescent="0.2">
      <c r="A41" s="2068" t="s">
        <v>1607</v>
      </c>
      <c r="B41" s="2068"/>
      <c r="C41" s="2068"/>
      <c r="D41" s="2068"/>
      <c r="E41" s="2068"/>
    </row>
    <row r="42" spans="1:5" ht="12.75" customHeight="1" x14ac:dyDescent="0.2">
      <c r="A42" s="2069" t="s">
        <v>1021</v>
      </c>
      <c r="B42" s="2069"/>
      <c r="C42" s="2069"/>
      <c r="D42" s="2069"/>
      <c r="E42" s="2069"/>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I88" sqref="I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1167</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2060</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5" t="s">
        <v>1632</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312</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1322</v>
      </c>
      <c r="B70" s="2088"/>
      <c r="C70" s="2088"/>
      <c r="D70" s="2088"/>
      <c r="E70" s="2089"/>
      <c r="F70" s="2089"/>
      <c r="G70" s="2089"/>
      <c r="H70" s="2089"/>
      <c r="I70" s="208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1319</v>
      </c>
      <c r="B83" s="2090"/>
      <c r="C83" s="2090"/>
      <c r="D83" s="209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372810</v>
      </c>
      <c r="G88" s="276">
        <v>264639</v>
      </c>
      <c r="H88" s="276">
        <v>98209</v>
      </c>
      <c r="I88" s="276"/>
      <c r="J88" s="277">
        <f>SUM(E88:I88)</f>
        <v>735658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735658</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2063</v>
      </c>
      <c r="D114" s="208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1329</v>
      </c>
      <c r="D117" s="2083"/>
      <c r="E117" s="2084"/>
      <c r="F117" s="2084"/>
      <c r="G117" s="2084"/>
      <c r="H117" s="208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J51" sqref="J5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385</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1456650144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2.7900000000000001E-2</v>
      </c>
      <c r="E10" s="356" t="s">
        <v>1004</v>
      </c>
      <c r="F10" s="355">
        <v>5.0000000000000001E-3</v>
      </c>
      <c r="G10" s="356" t="s">
        <v>1004</v>
      </c>
      <c r="H10" s="355">
        <v>2E-3</v>
      </c>
      <c r="I10" s="356" t="s">
        <v>1005</v>
      </c>
      <c r="J10" s="1732">
        <f>ROUND(D10+F10+H10,5)</f>
        <v>3.49E-2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71750991</v>
      </c>
      <c r="E16" s="356"/>
      <c r="F16" s="1733">
        <f>SUM('Acct Summary 7-8'!C17,'Acct Summary 7-8'!D17,'Acct Summary 7-8'!F17)</f>
        <v>64678196</v>
      </c>
      <c r="G16" s="356"/>
      <c r="H16" s="1733">
        <f>SUM(D16-F16)</f>
        <v>7072795</v>
      </c>
      <c r="I16" s="222"/>
      <c r="J16" s="1733">
        <f>SUM('Acct Summary 7-8'!C81,'Acct Summary 7-8'!D81,'Acct Summary 7-8'!F81,'Acct Summary 7-8'!I81)</f>
        <v>4371531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201017719.87200001</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91987814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E22" zoomScale="110" zoomScaleNormal="110" workbookViewId="0">
      <selection activeCell="I31" sqref="I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555</v>
      </c>
      <c r="B2" s="2120"/>
      <c r="C2" s="2120"/>
      <c r="D2" s="2120"/>
      <c r="E2" s="2120"/>
      <c r="F2" s="2120"/>
      <c r="G2" s="2120"/>
      <c r="H2" s="2120"/>
      <c r="I2" s="2120"/>
      <c r="J2" s="2120"/>
      <c r="K2" s="2120"/>
      <c r="L2" s="2120"/>
      <c r="M2" s="2120"/>
      <c r="N2" s="2120"/>
      <c r="O2" s="2120"/>
      <c r="P2" s="2120"/>
      <c r="Q2" s="2120"/>
      <c r="R2" s="2120"/>
    </row>
    <row r="3" spans="1:18" ht="12.75" x14ac:dyDescent="0.2">
      <c r="A3" s="2121" t="s">
        <v>1412</v>
      </c>
      <c r="B3" s="2121"/>
      <c r="C3" s="2121"/>
      <c r="D3" s="2121"/>
      <c r="E3" s="2121"/>
      <c r="F3" s="2121"/>
      <c r="G3" s="2121"/>
      <c r="H3" s="2121"/>
      <c r="I3" s="2121"/>
      <c r="J3" s="2121"/>
      <c r="K3" s="2121"/>
      <c r="L3" s="2121"/>
      <c r="M3" s="2121"/>
      <c r="N3" s="2121"/>
      <c r="O3" s="2121"/>
      <c r="P3" s="2121"/>
      <c r="Q3" s="2121"/>
      <c r="R3" s="2121"/>
    </row>
    <row r="4" spans="1:18" x14ac:dyDescent="0.2">
      <c r="A4" s="2122" t="s">
        <v>1553</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Edwardsville CUSD 7</v>
      </c>
      <c r="E7" s="391"/>
      <c r="G7" s="252"/>
      <c r="H7" s="387"/>
      <c r="I7" s="387"/>
      <c r="J7" s="387"/>
      <c r="K7" s="387"/>
      <c r="L7" s="329"/>
      <c r="M7" s="329"/>
      <c r="N7" s="329"/>
      <c r="O7" s="329"/>
      <c r="P7" s="329"/>
    </row>
    <row r="8" spans="1:18" ht="12.75" x14ac:dyDescent="0.2">
      <c r="A8" s="329"/>
      <c r="B8" s="329"/>
      <c r="C8" s="389" t="s">
        <v>1124</v>
      </c>
      <c r="D8" s="392">
        <f>COVER!A13</f>
        <v>41057007026</v>
      </c>
      <c r="E8" s="393"/>
      <c r="G8" s="329"/>
      <c r="H8" s="329"/>
      <c r="I8" s="329"/>
      <c r="J8" s="329"/>
      <c r="K8" s="329"/>
      <c r="L8" s="329"/>
      <c r="M8" s="329"/>
      <c r="N8" s="329"/>
      <c r="O8" s="329"/>
      <c r="P8" s="329"/>
    </row>
    <row r="9" spans="1:18" ht="12.75" x14ac:dyDescent="0.2">
      <c r="A9" s="329"/>
      <c r="B9" s="329"/>
      <c r="C9" s="389" t="s">
        <v>712</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2</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4371531</v>
      </c>
      <c r="I12" s="404"/>
      <c r="J12" s="404"/>
      <c r="K12" s="405">
        <f>TRUNC((H12/H13*100000),5)/100000</f>
        <v>6.1159502899999996E-2</v>
      </c>
      <c r="L12" s="406"/>
      <c r="M12" s="360" t="s">
        <v>1143</v>
      </c>
      <c r="N12" s="360"/>
      <c r="O12" s="407">
        <v>0.35</v>
      </c>
      <c r="P12" s="218"/>
      <c r="Q12" s="218"/>
    </row>
    <row r="13" spans="1:18" s="408" customFormat="1" ht="12.75" x14ac:dyDescent="0.2">
      <c r="A13" s="218"/>
      <c r="B13" s="401"/>
      <c r="C13" s="2118" t="s">
        <v>1323</v>
      </c>
      <c r="D13" s="2119"/>
      <c r="E13" s="218"/>
      <c r="F13" s="409" t="s">
        <v>792</v>
      </c>
      <c r="G13" s="402"/>
      <c r="H13" s="403">
        <f>SUM('Acct Summary 7-8'!C8+'Acct Summary 7-8'!D8+'Acct Summary 7-8'!F8+'Acct Summary 7-8'!I8)+H14</f>
        <v>71477543</v>
      </c>
      <c r="I13" s="404"/>
      <c r="J13" s="404"/>
      <c r="K13" s="410"/>
      <c r="L13" s="218"/>
      <c r="M13" s="360" t="s">
        <v>1144</v>
      </c>
      <c r="N13" s="360"/>
      <c r="O13" s="411">
        <f>(O11*O12)</f>
        <v>0.7</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-273448</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64678196</v>
      </c>
      <c r="I17" s="404"/>
      <c r="J17" s="416"/>
      <c r="K17" s="405">
        <f>TRUNC((H17/H18*100000),5)/100000</f>
        <v>0.90487436030000001</v>
      </c>
      <c r="L17" s="406"/>
      <c r="M17" s="417" t="s">
        <v>1170</v>
      </c>
      <c r="O17" s="418" t="str">
        <f>IF(AND(O16="2", J20 &gt; 2),"1",IF(AND(O16 = "1", J20 &gt; 2),"2",IF(AND(O16="1", J20 &gt;1),"1","0")))</f>
        <v>0</v>
      </c>
      <c r="P17" s="218"/>
    </row>
    <row r="18" spans="1:18" s="408" customFormat="1" ht="11.25" x14ac:dyDescent="0.2">
      <c r="A18" s="218"/>
      <c r="B18" s="401"/>
      <c r="C18" s="2118" t="s">
        <v>1316</v>
      </c>
      <c r="D18" s="2119"/>
      <c r="E18" s="218"/>
      <c r="F18" s="419" t="s">
        <v>793</v>
      </c>
      <c r="G18" s="402"/>
      <c r="H18" s="403">
        <f>SUM('Acct Summary 7-8'!C8+'Acct Summary 7-8'!D8+'Acct Summary 7-8'!F8+'Acct Summary 7-8'!I8)+H19</f>
        <v>71477543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-273448</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115" t="s">
        <v>1411</v>
      </c>
      <c r="D24" s="2115"/>
      <c r="E24" s="218"/>
      <c r="F24" s="218" t="s">
        <v>444</v>
      </c>
      <c r="G24" s="402"/>
      <c r="H24" s="403">
        <f>SUM('Assets-Liab 5-6'!C4+'Assets-Liab 5-6'!D4+'Assets-Liab 5-6'!F4+'Assets-Liab 5-6'!I4+'Assets-Liab 5-6'!C5+'Assets-Liab 5-6'!D5+'Assets-Liab 5-6'!F5+'Assets-Liab 5-6'!I5)</f>
        <v>10653967</v>
      </c>
      <c r="I24" s="422"/>
      <c r="J24" s="422"/>
      <c r="K24" s="423">
        <f>TRUNC(((H24/H25*100000)/100000),2)</f>
        <v>59.3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179661.65556000001</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43211526.521760002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91987814</v>
      </c>
      <c r="I32" s="420"/>
      <c r="J32" s="420"/>
      <c r="K32" s="423">
        <f>TRUNC(100-((((H32/H33*100))*100)/100),2)</f>
        <v>54.23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201017719.87200001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4"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26" activePane="bottomLeft" state="frozen"/>
      <selection pane="bottomLeft" activeCell="H46" sqref="H4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5" t="s">
        <v>972</v>
      </c>
      <c r="B3" s="2126"/>
      <c r="C3" s="1559"/>
      <c r="D3" s="1560"/>
      <c r="E3" s="1560"/>
      <c r="F3" s="1560"/>
      <c r="G3" s="1560"/>
      <c r="H3" s="1560"/>
      <c r="I3" s="1560"/>
      <c r="J3" s="1560"/>
      <c r="K3" s="1560"/>
      <c r="L3" s="1560"/>
      <c r="M3" s="1561"/>
      <c r="N3" s="1562"/>
    </row>
    <row r="4" spans="1:14" ht="13.5" customHeight="1" x14ac:dyDescent="0.2">
      <c r="A4" s="463" t="s">
        <v>1650</v>
      </c>
      <c r="B4" s="464"/>
      <c r="C4" s="465">
        <v>5649971</v>
      </c>
      <c r="D4" s="466">
        <v>4045643</v>
      </c>
      <c r="E4" s="466">
        <v>619635</v>
      </c>
      <c r="F4" s="466">
        <v>222645</v>
      </c>
      <c r="G4" s="466">
        <v>1029015</v>
      </c>
      <c r="H4" s="466">
        <v>728074</v>
      </c>
      <c r="I4" s="466">
        <v>735708</v>
      </c>
      <c r="J4" s="467">
        <v>1028207</v>
      </c>
      <c r="K4" s="466">
        <v>1292302</v>
      </c>
      <c r="L4" s="466">
        <v>925491</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v>38171096</v>
      </c>
      <c r="D6" s="466">
        <v>6840696</v>
      </c>
      <c r="E6" s="466">
        <v>11451300</v>
      </c>
      <c r="F6" s="466">
        <v>2736279</v>
      </c>
      <c r="G6" s="471">
        <v>1518632</v>
      </c>
      <c r="H6" s="471"/>
      <c r="I6" s="466">
        <v>684071</v>
      </c>
      <c r="J6" s="474">
        <v>1879823</v>
      </c>
      <c r="K6" s="471">
        <v>684071</v>
      </c>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v>881566</v>
      </c>
      <c r="D9" s="467"/>
      <c r="E9" s="467"/>
      <c r="F9" s="467">
        <v>640016</v>
      </c>
      <c r="G9" s="467"/>
      <c r="H9" s="478"/>
      <c r="I9" s="467"/>
      <c r="J9" s="467"/>
      <c r="K9" s="467"/>
      <c r="L9" s="467"/>
      <c r="M9" s="468"/>
      <c r="N9" s="469"/>
    </row>
    <row r="10" spans="1:14" ht="13.5" customHeight="1" x14ac:dyDescent="0.2">
      <c r="A10" s="473" t="s">
        <v>990</v>
      </c>
      <c r="B10" s="470">
        <v>170</v>
      </c>
      <c r="C10" s="465">
        <v>184895</v>
      </c>
      <c r="D10" s="466">
        <v>16414</v>
      </c>
      <c r="E10" s="467"/>
      <c r="F10" s="466"/>
      <c r="G10" s="478"/>
      <c r="H10" s="481"/>
      <c r="I10" s="467"/>
      <c r="J10" s="467"/>
      <c r="K10" s="481"/>
      <c r="L10" s="481"/>
      <c r="M10" s="469"/>
      <c r="N10" s="469"/>
    </row>
    <row r="11" spans="1:14" ht="13.5" customHeight="1" x14ac:dyDescent="0.2">
      <c r="A11" s="473" t="s">
        <v>270</v>
      </c>
      <c r="B11" s="470">
        <v>180</v>
      </c>
      <c r="C11" s="476">
        <v>10032</v>
      </c>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44897560</v>
      </c>
      <c r="D13" s="1737">
        <f t="shared" ref="D13:L13" si="0">SUM(D4:D12)</f>
        <v>10902753</v>
      </c>
      <c r="E13" s="1737">
        <f t="shared" si="0"/>
        <v>12070935</v>
      </c>
      <c r="F13" s="1737">
        <f t="shared" si="0"/>
        <v>3598940</v>
      </c>
      <c r="G13" s="1737">
        <f t="shared" si="0"/>
        <v>2547647</v>
      </c>
      <c r="H13" s="1737">
        <f t="shared" si="0"/>
        <v>728074</v>
      </c>
      <c r="I13" s="1737">
        <f t="shared" si="0"/>
        <v>1419779</v>
      </c>
      <c r="J13" s="1737">
        <f t="shared" si="0"/>
        <v>2908030</v>
      </c>
      <c r="K13" s="1737">
        <f t="shared" si="0"/>
        <v>1976373</v>
      </c>
      <c r="L13" s="1737">
        <f t="shared" si="0"/>
        <v>925491</v>
      </c>
      <c r="M13" s="468"/>
      <c r="N13" s="469"/>
    </row>
    <row r="14" spans="1:14" ht="18" customHeight="1" thickTop="1" x14ac:dyDescent="0.2">
      <c r="A14" s="2127" t="s">
        <v>147</v>
      </c>
      <c r="B14" s="2128"/>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5706903</v>
      </c>
      <c r="N16" s="484"/>
    </row>
    <row r="17" spans="1:14" s="485" customFormat="1" ht="12.75" customHeight="1" x14ac:dyDescent="0.2">
      <c r="A17" s="482" t="s">
        <v>1402</v>
      </c>
      <c r="B17" s="483">
        <v>230</v>
      </c>
      <c r="C17" s="477"/>
      <c r="D17" s="477"/>
      <c r="E17" s="477"/>
      <c r="F17" s="477"/>
      <c r="G17" s="477"/>
      <c r="H17" s="477"/>
      <c r="I17" s="477"/>
      <c r="J17" s="477"/>
      <c r="K17" s="477"/>
      <c r="L17" s="477"/>
      <c r="M17" s="467">
        <v>142260254</v>
      </c>
      <c r="N17" s="484"/>
    </row>
    <row r="18" spans="1:14" s="485" customFormat="1" ht="12.75" customHeight="1" x14ac:dyDescent="0.2">
      <c r="A18" s="482" t="s">
        <v>1403</v>
      </c>
      <c r="B18" s="483">
        <v>240</v>
      </c>
      <c r="C18" s="477"/>
      <c r="D18" s="477"/>
      <c r="E18" s="477"/>
      <c r="F18" s="477"/>
      <c r="G18" s="477"/>
      <c r="H18" s="477"/>
      <c r="I18" s="477"/>
      <c r="J18" s="477"/>
      <c r="K18" s="477"/>
      <c r="L18" s="477"/>
      <c r="M18" s="467">
        <v>13460160</v>
      </c>
      <c r="N18" s="484"/>
    </row>
    <row r="19" spans="1:14" s="485" customFormat="1" ht="12.75" customHeight="1" x14ac:dyDescent="0.2">
      <c r="A19" s="482" t="s">
        <v>1404</v>
      </c>
      <c r="B19" s="483">
        <v>250</v>
      </c>
      <c r="C19" s="477"/>
      <c r="D19" s="477"/>
      <c r="E19" s="477"/>
      <c r="F19" s="477"/>
      <c r="G19" s="477"/>
      <c r="H19" s="477"/>
      <c r="I19" s="477"/>
      <c r="J19" s="477"/>
      <c r="K19" s="477"/>
      <c r="L19" s="477"/>
      <c r="M19" s="467">
        <v>13898143</v>
      </c>
      <c r="N19" s="484"/>
    </row>
    <row r="20" spans="1:14" s="485" customFormat="1" ht="12.75" customHeight="1" x14ac:dyDescent="0.2">
      <c r="A20" s="482" t="s">
        <v>1405</v>
      </c>
      <c r="B20" s="483">
        <v>260</v>
      </c>
      <c r="C20" s="477"/>
      <c r="D20" s="477"/>
      <c r="E20" s="477"/>
      <c r="F20" s="477"/>
      <c r="G20" s="477"/>
      <c r="H20" s="477"/>
      <c r="I20" s="477"/>
      <c r="J20" s="477"/>
      <c r="K20" s="477"/>
      <c r="L20" s="477"/>
      <c r="M20" s="467">
        <v>379857</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695</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91987119</v>
      </c>
    </row>
    <row r="23" spans="1:14" ht="13.5" customHeight="1" thickBot="1" x14ac:dyDescent="0.25">
      <c r="A23" s="1736" t="s">
        <v>642</v>
      </c>
      <c r="B23" s="1741"/>
      <c r="C23" s="468"/>
      <c r="D23" s="468"/>
      <c r="E23" s="468"/>
      <c r="F23" s="468"/>
      <c r="G23" s="468"/>
      <c r="H23" s="468"/>
      <c r="I23" s="468"/>
      <c r="J23" s="468"/>
      <c r="K23" s="468"/>
      <c r="L23" s="468"/>
      <c r="M23" s="1688">
        <f>SUM(M15:M22)</f>
        <v>175705317</v>
      </c>
      <c r="N23" s="1688">
        <f>SUM(N21:N22)</f>
        <v>91987814</v>
      </c>
    </row>
    <row r="24" spans="1:14" ht="18" customHeight="1" thickTop="1" x14ac:dyDescent="0.2">
      <c r="A24" s="2129" t="s">
        <v>597</v>
      </c>
      <c r="B24" s="2130"/>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400994</v>
      </c>
      <c r="D27" s="467">
        <v>255939</v>
      </c>
      <c r="E27" s="467"/>
      <c r="F27" s="467">
        <v>110325</v>
      </c>
      <c r="G27" s="467"/>
      <c r="H27" s="467"/>
      <c r="I27" s="467"/>
      <c r="J27" s="467"/>
      <c r="K27" s="467">
        <v>164239</v>
      </c>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4439119</v>
      </c>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v>40425497</v>
      </c>
      <c r="D32" s="492">
        <v>7210418</v>
      </c>
      <c r="E32" s="474">
        <v>12070240</v>
      </c>
      <c r="F32" s="474">
        <v>2884167</v>
      </c>
      <c r="G32" s="474">
        <v>1600713</v>
      </c>
      <c r="H32" s="474"/>
      <c r="I32" s="474">
        <v>721042</v>
      </c>
      <c r="J32" s="474">
        <v>1981423</v>
      </c>
      <c r="K32" s="479">
        <v>721042</v>
      </c>
      <c r="L32" s="468"/>
      <c r="M32" s="468"/>
      <c r="N32" s="468"/>
    </row>
    <row r="33" spans="1:14" ht="13.5" customHeight="1" x14ac:dyDescent="0.2">
      <c r="A33" s="493" t="s">
        <v>302</v>
      </c>
      <c r="B33" s="491">
        <v>493</v>
      </c>
      <c r="C33" s="467"/>
      <c r="D33" s="467"/>
      <c r="E33" s="467"/>
      <c r="F33" s="467"/>
      <c r="G33" s="467"/>
      <c r="H33" s="467"/>
      <c r="I33" s="467"/>
      <c r="J33" s="467"/>
      <c r="K33" s="467"/>
      <c r="L33" s="467">
        <v>925491</v>
      </c>
      <c r="M33" s="468"/>
      <c r="N33" s="469"/>
    </row>
    <row r="34" spans="1:14" ht="13.5" customHeight="1" thickBot="1" x14ac:dyDescent="0.25">
      <c r="A34" s="1738" t="s">
        <v>653</v>
      </c>
      <c r="B34" s="1739"/>
      <c r="C34" s="1740">
        <f>SUM(C25:C33)</f>
        <v>45265610</v>
      </c>
      <c r="D34" s="1740">
        <f t="shared" ref="D34:K34" si="1">SUM(D25:D33)</f>
        <v>7466357</v>
      </c>
      <c r="E34" s="1740">
        <f t="shared" si="1"/>
        <v>12070240</v>
      </c>
      <c r="F34" s="1740">
        <f t="shared" si="1"/>
        <v>2994492</v>
      </c>
      <c r="G34" s="1740">
        <f t="shared" si="1"/>
        <v>1600713</v>
      </c>
      <c r="H34" s="1740">
        <f t="shared" si="1"/>
        <v>0</v>
      </c>
      <c r="I34" s="1740">
        <f t="shared" si="1"/>
        <v>721042</v>
      </c>
      <c r="J34" s="1740">
        <f t="shared" si="1"/>
        <v>1981423</v>
      </c>
      <c r="K34" s="1740">
        <f t="shared" si="1"/>
        <v>885281</v>
      </c>
      <c r="L34" s="1721">
        <f>SUM(L33)</f>
        <v>925491</v>
      </c>
      <c r="M34" s="468"/>
      <c r="N34" s="480"/>
    </row>
    <row r="35" spans="1:14" ht="18" customHeight="1" thickTop="1" x14ac:dyDescent="0.2">
      <c r="A35" s="2131" t="s">
        <v>528</v>
      </c>
      <c r="B35" s="213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91987814</v>
      </c>
    </row>
    <row r="37" spans="1:14" ht="13.5" thickBot="1" x14ac:dyDescent="0.25">
      <c r="A37" s="1736" t="s">
        <v>652</v>
      </c>
      <c r="B37" s="1741"/>
      <c r="C37" s="477"/>
      <c r="D37" s="477"/>
      <c r="E37" s="477"/>
      <c r="F37" s="477"/>
      <c r="G37" s="477"/>
      <c r="H37" s="477"/>
      <c r="I37" s="477"/>
      <c r="J37" s="477"/>
      <c r="K37" s="477"/>
      <c r="L37" s="480"/>
      <c r="M37" s="468"/>
      <c r="N37" s="1688">
        <f>SUM(N36:N36)</f>
        <v>91987814</v>
      </c>
    </row>
    <row r="38" spans="1:14" s="329" customFormat="1" ht="13.5" customHeight="1" thickTop="1" x14ac:dyDescent="0.2">
      <c r="A38" s="496" t="s">
        <v>419</v>
      </c>
      <c r="B38" s="483">
        <v>714</v>
      </c>
      <c r="C38" s="466">
        <v>194927</v>
      </c>
      <c r="D38" s="466">
        <v>651414</v>
      </c>
      <c r="E38" s="466"/>
      <c r="F38" s="466"/>
      <c r="G38" s="466"/>
      <c r="H38" s="466">
        <v>726997</v>
      </c>
      <c r="I38" s="466"/>
      <c r="J38" s="467"/>
      <c r="K38" s="466"/>
      <c r="L38" s="481"/>
      <c r="M38" s="497"/>
      <c r="N38" s="497"/>
    </row>
    <row r="39" spans="1:14" s="329" customFormat="1" ht="13.5" customHeight="1" x14ac:dyDescent="0.2">
      <c r="A39" s="496" t="s">
        <v>341</v>
      </c>
      <c r="B39" s="483">
        <v>730</v>
      </c>
      <c r="C39" s="466">
        <v>-562977</v>
      </c>
      <c r="D39" s="466">
        <v>2784982</v>
      </c>
      <c r="E39" s="466">
        <v>695</v>
      </c>
      <c r="F39" s="466">
        <v>604448</v>
      </c>
      <c r="G39" s="466">
        <v>946934</v>
      </c>
      <c r="H39" s="466">
        <v>1077</v>
      </c>
      <c r="I39" s="466">
        <v>698737</v>
      </c>
      <c r="J39" s="467">
        <v>926607</v>
      </c>
      <c r="K39" s="466">
        <v>1091092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175705317</v>
      </c>
      <c r="N40" s="497"/>
    </row>
    <row r="41" spans="1:14" ht="13.5" customHeight="1" thickBot="1" x14ac:dyDescent="0.25">
      <c r="A41" s="1736" t="s">
        <v>654</v>
      </c>
      <c r="B41" s="1706"/>
      <c r="C41" s="1688">
        <f>(SUM(C34,C37,C38,C39))</f>
        <v>44897560</v>
      </c>
      <c r="D41" s="1688">
        <f t="shared" ref="D41:L41" si="2">SUM(D34,D37,D38:D39)</f>
        <v>10902753</v>
      </c>
      <c r="E41" s="1688">
        <f t="shared" si="2"/>
        <v>12070935</v>
      </c>
      <c r="F41" s="1688">
        <f t="shared" si="2"/>
        <v>3598940</v>
      </c>
      <c r="G41" s="1688">
        <f t="shared" si="2"/>
        <v>2547647</v>
      </c>
      <c r="H41" s="1688">
        <f t="shared" si="2"/>
        <v>728074</v>
      </c>
      <c r="I41" s="1688">
        <f t="shared" si="2"/>
        <v>1419779</v>
      </c>
      <c r="J41" s="1688">
        <f t="shared" si="2"/>
        <v>2908030</v>
      </c>
      <c r="K41" s="1688">
        <f t="shared" si="2"/>
        <v>1976373</v>
      </c>
      <c r="L41" s="1688">
        <f t="shared" si="2"/>
        <v>925491</v>
      </c>
      <c r="M41" s="1688">
        <f>SUM(M40)</f>
        <v>175705317</v>
      </c>
      <c r="N41" s="1688">
        <f>SUM(N37)</f>
        <v>91987814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4"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1" activePane="bottomLeft" state="frozen"/>
      <selection activeCell="H46" sqref="H46"/>
      <selection pane="bottomLeft" activeCell="H46" sqref="H4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2"/>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3" t="s">
        <v>1174</v>
      </c>
      <c r="B3" s="2154"/>
      <c r="C3" s="1573"/>
      <c r="D3" s="1574"/>
      <c r="E3" s="1574"/>
      <c r="F3" s="1574"/>
      <c r="G3" s="1574"/>
      <c r="H3" s="1574"/>
      <c r="I3" s="1574"/>
      <c r="J3" s="1574"/>
      <c r="K3" s="1575"/>
      <c r="L3" s="506"/>
    </row>
    <row r="4" spans="1:13" ht="15.75" customHeight="1" x14ac:dyDescent="0.2">
      <c r="A4" s="1928" t="s">
        <v>1498</v>
      </c>
      <c r="B4" s="1929">
        <v>1000</v>
      </c>
      <c r="C4" s="1742">
        <f>'Revenues 9-14'!C109</f>
        <v>44763772</v>
      </c>
      <c r="D4" s="1742">
        <f>'Revenues 9-14'!D109</f>
        <v>7212728</v>
      </c>
      <c r="E4" s="1742">
        <f>'Revenues 9-14'!E109</f>
        <v>11370655</v>
      </c>
      <c r="F4" s="1742">
        <f>'Revenues 9-14'!F109</f>
        <v>2805043</v>
      </c>
      <c r="G4" s="1742">
        <f>'Revenues 9-14'!G109</f>
        <v>1859629</v>
      </c>
      <c r="H4" s="1742">
        <f>'Revenues 9-14'!H109</f>
        <v>118668</v>
      </c>
      <c r="I4" s="1742">
        <f>'Revenues 9-14'!I109</f>
        <v>698737</v>
      </c>
      <c r="J4" s="1742">
        <f>'Revenues 9-14'!J109</f>
        <v>2233838</v>
      </c>
      <c r="K4" s="1742">
        <f>'Revenues 9-14'!K109</f>
        <v>701910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10309977</v>
      </c>
      <c r="D6" s="1743">
        <f>'Revenues 9-14'!D170</f>
        <v>0</v>
      </c>
      <c r="E6" s="1743">
        <f>'Revenues 9-14'!E170</f>
        <v>0</v>
      </c>
      <c r="F6" s="1743">
        <f>'Revenues 9-14'!F170</f>
        <v>2577713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3383021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58456770</v>
      </c>
      <c r="D8" s="1688">
        <f t="shared" ref="D8:K8" si="0">SUM(D4:D7)</f>
        <v>7212728</v>
      </c>
      <c r="E8" s="1688">
        <f t="shared" si="0"/>
        <v>11370655</v>
      </c>
      <c r="F8" s="1688">
        <f t="shared" si="0"/>
        <v>5382756</v>
      </c>
      <c r="G8" s="1688">
        <f t="shared" si="0"/>
        <v>1859629</v>
      </c>
      <c r="H8" s="1688">
        <f t="shared" si="0"/>
        <v>118668</v>
      </c>
      <c r="I8" s="1688">
        <f t="shared" si="0"/>
        <v>698737</v>
      </c>
      <c r="J8" s="1688">
        <f t="shared" si="0"/>
        <v>2233838</v>
      </c>
      <c r="K8" s="1688">
        <f t="shared" si="0"/>
        <v>701910</v>
      </c>
      <c r="L8" s="347"/>
    </row>
    <row r="9" spans="1:13" ht="15.75" thickTop="1" x14ac:dyDescent="0.2">
      <c r="A9" s="514" t="s">
        <v>1652</v>
      </c>
      <c r="B9" s="515">
        <v>3998</v>
      </c>
      <c r="C9" s="481">
        <v>21559589</v>
      </c>
      <c r="D9" s="516"/>
      <c r="E9" s="481"/>
      <c r="F9" s="481"/>
      <c r="G9" s="517"/>
      <c r="H9" s="481"/>
      <c r="I9" s="509" t="s">
        <v>1168</v>
      </c>
      <c r="J9" s="478"/>
      <c r="K9" s="481"/>
      <c r="L9" s="347"/>
    </row>
    <row r="10" spans="1:13" s="519" customFormat="1" ht="13.5" thickBot="1" x14ac:dyDescent="0.25">
      <c r="A10" s="1736" t="s">
        <v>1172</v>
      </c>
      <c r="B10" s="1709"/>
      <c r="C10" s="1688">
        <f>SUM(C8:C9)</f>
        <v>80016359</v>
      </c>
      <c r="D10" s="1688">
        <f t="shared" ref="D10:K10" si="1">SUM(D8:D9)</f>
        <v>7212728</v>
      </c>
      <c r="E10" s="1688">
        <f t="shared" si="1"/>
        <v>11370655</v>
      </c>
      <c r="F10" s="1688">
        <f t="shared" si="1"/>
        <v>5382756</v>
      </c>
      <c r="G10" s="1688">
        <f t="shared" si="1"/>
        <v>1859629</v>
      </c>
      <c r="H10" s="1688">
        <f t="shared" si="1"/>
        <v>118668</v>
      </c>
      <c r="I10" s="1688">
        <f t="shared" si="1"/>
        <v>698737</v>
      </c>
      <c r="J10" s="1688">
        <f t="shared" si="1"/>
        <v>2233838</v>
      </c>
      <c r="K10" s="1688">
        <f t="shared" si="1"/>
        <v>701910</v>
      </c>
      <c r="L10" s="518"/>
    </row>
    <row r="11" spans="1:13" s="519" customFormat="1" ht="16.7" customHeight="1" thickTop="1" x14ac:dyDescent="0.2">
      <c r="A11" s="2127" t="s">
        <v>1175</v>
      </c>
      <c r="B11" s="2128"/>
      <c r="C11" s="1570"/>
      <c r="D11" s="1571"/>
      <c r="E11" s="1571"/>
      <c r="F11" s="1571"/>
      <c r="G11" s="1571"/>
      <c r="H11" s="1571"/>
      <c r="I11" s="1571"/>
      <c r="J11" s="1571"/>
      <c r="K11" s="1572"/>
      <c r="L11" s="518"/>
    </row>
    <row r="12" spans="1:13" ht="15.75" customHeight="1" x14ac:dyDescent="0.2">
      <c r="A12" s="1576" t="s">
        <v>455</v>
      </c>
      <c r="B12" s="1578">
        <v>1000</v>
      </c>
      <c r="C12" s="1742">
        <f>'Expenditures 15-22'!K33</f>
        <v>35410805</v>
      </c>
      <c r="D12" s="520" t="s">
        <v>1168</v>
      </c>
      <c r="E12" s="468" t="s">
        <v>1168</v>
      </c>
      <c r="F12" s="468" t="s">
        <v>1168</v>
      </c>
      <c r="G12" s="1742">
        <f>'Expenditures 15-22'!K229</f>
        <v>594103</v>
      </c>
      <c r="H12" s="521"/>
      <c r="I12" s="468" t="s">
        <v>1168</v>
      </c>
      <c r="J12" s="468" t="s">
        <v>1168</v>
      </c>
      <c r="K12" s="521" t="s">
        <v>1168</v>
      </c>
      <c r="L12" s="347"/>
    </row>
    <row r="13" spans="1:13" ht="15.75" customHeight="1" x14ac:dyDescent="0.2">
      <c r="A13" s="1576" t="s">
        <v>456</v>
      </c>
      <c r="B13" s="1578">
        <v>2000</v>
      </c>
      <c r="C13" s="1743">
        <f>'Expenditures 15-22'!K74</f>
        <v>16831498</v>
      </c>
      <c r="D13" s="1743">
        <f>'Expenditures 15-22'!K129</f>
        <v>6078321</v>
      </c>
      <c r="E13" s="469" t="s">
        <v>1168</v>
      </c>
      <c r="F13" s="1743">
        <f>'Expenditures 15-22'!K184</f>
        <v>5379567</v>
      </c>
      <c r="G13" s="1743">
        <f>'Expenditures 15-22'!K279</f>
        <v>1136945</v>
      </c>
      <c r="H13" s="1743">
        <f>'Expenditures 15-22'!K303</f>
        <v>50600</v>
      </c>
      <c r="I13" s="468" t="s">
        <v>1168</v>
      </c>
      <c r="J13" s="1743">
        <f>'Expenditures 15-22'!K330</f>
        <v>2093996</v>
      </c>
      <c r="K13" s="1747">
        <f>'Expenditures 15-22'!K352</f>
        <v>523244</v>
      </c>
      <c r="L13" s="347"/>
    </row>
    <row r="14" spans="1:13" ht="15.75" customHeight="1" x14ac:dyDescent="0.2">
      <c r="A14" s="1576" t="s">
        <v>448</v>
      </c>
      <c r="B14" s="1578">
        <v>3000</v>
      </c>
      <c r="C14" s="1743">
        <f>'Expenditures 15-22'!K75</f>
        <v>894659</v>
      </c>
      <c r="D14" s="1743">
        <f>'Expenditures 15-22'!K130</f>
        <v>0</v>
      </c>
      <c r="E14" s="520" t="s">
        <v>1168</v>
      </c>
      <c r="F14" s="1743">
        <f>'Expenditures 15-22'!K185</f>
        <v>0</v>
      </c>
      <c r="G14" s="1743">
        <f>'Expenditures 15-22'!K280</f>
        <v>112927</v>
      </c>
      <c r="H14" s="512"/>
      <c r="I14" s="468" t="s">
        <v>1168</v>
      </c>
      <c r="J14" s="468" t="s">
        <v>1168</v>
      </c>
      <c r="K14" s="512" t="s">
        <v>1168</v>
      </c>
      <c r="L14" s="347"/>
    </row>
    <row r="15" spans="1:13" ht="15.75" customHeight="1" x14ac:dyDescent="0.2">
      <c r="A15" s="1576" t="s">
        <v>107</v>
      </c>
      <c r="B15" s="1578">
        <v>4000</v>
      </c>
      <c r="C15" s="1743">
        <f>'Expenditures 15-22'!K102</f>
        <v>81470</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11773835</v>
      </c>
      <c r="F16" s="1743">
        <f>'Expenditures 15-22'!K208</f>
        <v>1876</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53218432</v>
      </c>
      <c r="D17" s="1688">
        <f t="shared" si="2"/>
        <v>6078321</v>
      </c>
      <c r="E17" s="1688">
        <f t="shared" si="2"/>
        <v>11773835</v>
      </c>
      <c r="F17" s="1688">
        <f t="shared" si="2"/>
        <v>5381443</v>
      </c>
      <c r="G17" s="1688">
        <f t="shared" si="2"/>
        <v>1843975</v>
      </c>
      <c r="H17" s="1688">
        <f t="shared" si="2"/>
        <v>50600</v>
      </c>
      <c r="I17" s="468"/>
      <c r="J17" s="1688">
        <f>SUM(J12:J16)</f>
        <v>2093996</v>
      </c>
      <c r="K17" s="1688">
        <f>SUM(K12:K16)</f>
        <v>523244</v>
      </c>
      <c r="L17" s="347"/>
    </row>
    <row r="18" spans="1:12" ht="15" customHeight="1" thickTop="1" x14ac:dyDescent="0.2">
      <c r="A18" s="1744" t="s">
        <v>1653</v>
      </c>
      <c r="B18" s="1745">
        <v>4180</v>
      </c>
      <c r="C18" s="1742">
        <f t="shared" ref="C18:H18" si="3">C9</f>
        <v>21559589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74778021</v>
      </c>
      <c r="D19" s="1688">
        <f t="shared" si="4"/>
        <v>6078321</v>
      </c>
      <c r="E19" s="1688">
        <f t="shared" si="4"/>
        <v>11773835</v>
      </c>
      <c r="F19" s="1688">
        <f t="shared" si="4"/>
        <v>5381443</v>
      </c>
      <c r="G19" s="1688">
        <f t="shared" si="4"/>
        <v>1843975</v>
      </c>
      <c r="H19" s="1688">
        <f t="shared" si="4"/>
        <v>50600</v>
      </c>
      <c r="I19" s="468"/>
      <c r="J19" s="1688">
        <f>SUM(J17:J18)</f>
        <v>2093996</v>
      </c>
      <c r="K19" s="1688">
        <f>SUM(K17:K18)</f>
        <v>523244</v>
      </c>
      <c r="L19" s="347"/>
    </row>
    <row r="20" spans="1:12" ht="16.5" thickTop="1" thickBot="1" x14ac:dyDescent="0.25">
      <c r="A20" s="2143" t="s">
        <v>1654</v>
      </c>
      <c r="B20" s="2144"/>
      <c r="C20" s="1746">
        <f>C8-C17</f>
        <v>5238338</v>
      </c>
      <c r="D20" s="1746">
        <f t="shared" ref="D20:K20" si="5">D8-D17</f>
        <v>1134407</v>
      </c>
      <c r="E20" s="1746">
        <f t="shared" si="5"/>
        <v>-403180</v>
      </c>
      <c r="F20" s="1746">
        <f t="shared" si="5"/>
        <v>1313</v>
      </c>
      <c r="G20" s="1746">
        <f t="shared" si="5"/>
        <v>15654</v>
      </c>
      <c r="H20" s="1746">
        <f t="shared" si="5"/>
        <v>68068</v>
      </c>
      <c r="I20" s="1746">
        <f t="shared" si="5"/>
        <v>698737</v>
      </c>
      <c r="J20" s="1746">
        <f t="shared" si="5"/>
        <v>139842</v>
      </c>
      <c r="K20" s="1746">
        <f t="shared" si="5"/>
        <v>178666</v>
      </c>
      <c r="L20" s="347"/>
    </row>
    <row r="21" spans="1:12" ht="16.7" customHeight="1" thickTop="1" x14ac:dyDescent="0.2">
      <c r="A21" s="2155" t="s">
        <v>594</v>
      </c>
      <c r="B21" s="2156"/>
      <c r="C21" s="1570"/>
      <c r="D21" s="1571"/>
      <c r="E21" s="1571"/>
      <c r="F21" s="1571"/>
      <c r="G21" s="1571"/>
      <c r="H21" s="1571"/>
      <c r="I21" s="1571"/>
      <c r="J21" s="1571"/>
      <c r="K21" s="1572"/>
      <c r="L21" s="524"/>
    </row>
    <row r="22" spans="1:12" ht="15.75" customHeight="1" collapsed="1" x14ac:dyDescent="0.2">
      <c r="A22" s="2151" t="s">
        <v>595</v>
      </c>
      <c r="B22" s="2152"/>
      <c r="C22" s="477"/>
      <c r="D22" s="477"/>
      <c r="E22" s="477"/>
      <c r="F22" s="477"/>
      <c r="G22" s="477"/>
      <c r="H22" s="477"/>
      <c r="I22" s="477"/>
      <c r="J22" s="477"/>
      <c r="K22" s="477"/>
      <c r="L22" s="347"/>
    </row>
    <row r="23" spans="1:12" s="485" customFormat="1" ht="15.75" customHeight="1" x14ac:dyDescent="0.2">
      <c r="A23" s="2147" t="s">
        <v>292</v>
      </c>
      <c r="B23" s="2148"/>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49" t="s">
        <v>980</v>
      </c>
      <c r="B32" s="2150"/>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251245</v>
      </c>
      <c r="F37" s="475"/>
      <c r="G37" s="475"/>
      <c r="H37" s="475"/>
      <c r="I37" s="477"/>
      <c r="J37" s="475"/>
      <c r="K37" s="475"/>
      <c r="L37" s="524"/>
    </row>
    <row r="38" spans="1:12" s="485" customFormat="1" x14ac:dyDescent="0.2">
      <c r="A38" s="1489" t="s">
        <v>441</v>
      </c>
      <c r="B38" s="525">
        <v>7500</v>
      </c>
      <c r="C38" s="477"/>
      <c r="D38" s="477"/>
      <c r="E38" s="1743">
        <f>SUM(C58:D61,H58:H61)</f>
        <v>49973</v>
      </c>
      <c r="F38" s="477"/>
      <c r="G38" s="477"/>
      <c r="H38" s="477"/>
      <c r="I38" s="477"/>
      <c r="J38" s="477"/>
      <c r="K38" s="477"/>
      <c r="L38" s="524"/>
    </row>
    <row r="39" spans="1:12" s="485" customFormat="1" x14ac:dyDescent="0.2">
      <c r="A39" s="1489" t="s">
        <v>442</v>
      </c>
      <c r="B39" s="525">
        <v>7600</v>
      </c>
      <c r="C39" s="477"/>
      <c r="D39" s="477"/>
      <c r="E39" s="1743">
        <f>SUM(C62:D65)</f>
        <v>102230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57" t="s">
        <v>373</v>
      </c>
      <c r="B44" s="2158"/>
      <c r="C44" s="1703">
        <f>SUM(C24:C43)</f>
        <v>0</v>
      </c>
      <c r="D44" s="1703">
        <f t="shared" ref="D44:K44" si="6">SUM(D24:D43)</f>
        <v>0</v>
      </c>
      <c r="E44" s="1703">
        <f t="shared" si="6"/>
        <v>403448</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v>139312</v>
      </c>
      <c r="D56" s="531"/>
      <c r="E56" s="477"/>
      <c r="F56" s="477"/>
      <c r="G56" s="477"/>
      <c r="H56" s="530">
        <v>111933</v>
      </c>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v>31906</v>
      </c>
      <c r="D60" s="531"/>
      <c r="E60" s="477"/>
      <c r="F60" s="477"/>
      <c r="G60" s="477"/>
      <c r="H60" s="530">
        <v>18067</v>
      </c>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v>102230</v>
      </c>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33" t="s">
        <v>439</v>
      </c>
      <c r="B76" s="2134"/>
      <c r="C76" s="1703">
        <f t="shared" ref="C76:K76" si="7">SUM(C47:C75)</f>
        <v>273448</v>
      </c>
      <c r="D76" s="1703">
        <f t="shared" si="7"/>
        <v>0</v>
      </c>
      <c r="E76" s="1703">
        <f t="shared" si="7"/>
        <v>0</v>
      </c>
      <c r="F76" s="1703">
        <f t="shared" si="7"/>
        <v>0</v>
      </c>
      <c r="G76" s="1703">
        <f t="shared" si="7"/>
        <v>0</v>
      </c>
      <c r="H76" s="1703">
        <f t="shared" si="7"/>
        <v>130000</v>
      </c>
      <c r="I76" s="1703">
        <f t="shared" si="7"/>
        <v>0</v>
      </c>
      <c r="J76" s="1703">
        <f t="shared" si="7"/>
        <v>0</v>
      </c>
      <c r="K76" s="1703">
        <f t="shared" si="7"/>
        <v>0</v>
      </c>
      <c r="L76" s="524"/>
    </row>
    <row r="77" spans="1:12" ht="14.25" thickTop="1" thickBot="1" x14ac:dyDescent="0.25">
      <c r="A77" s="2135" t="s">
        <v>1176</v>
      </c>
      <c r="B77" s="2136"/>
      <c r="C77" s="1703">
        <f t="shared" ref="C77:K77" si="8">C44-C76</f>
        <v>-273448</v>
      </c>
      <c r="D77" s="1703">
        <f t="shared" si="8"/>
        <v>0</v>
      </c>
      <c r="E77" s="1703">
        <f t="shared" si="8"/>
        <v>403448</v>
      </c>
      <c r="F77" s="1703">
        <f t="shared" si="8"/>
        <v>0</v>
      </c>
      <c r="G77" s="1703">
        <f t="shared" si="8"/>
        <v>0</v>
      </c>
      <c r="H77" s="1703">
        <f t="shared" si="8"/>
        <v>-130000</v>
      </c>
      <c r="I77" s="1703">
        <f t="shared" si="8"/>
        <v>0</v>
      </c>
      <c r="J77" s="1703">
        <f t="shared" si="8"/>
        <v>0</v>
      </c>
      <c r="K77" s="1703">
        <f t="shared" si="8"/>
        <v>0</v>
      </c>
      <c r="L77" s="347"/>
    </row>
    <row r="78" spans="1:12" ht="21.75" customHeight="1" thickTop="1" thickBot="1" x14ac:dyDescent="0.25">
      <c r="A78" s="2139" t="s">
        <v>596</v>
      </c>
      <c r="B78" s="2140"/>
      <c r="C78" s="1702">
        <f t="shared" ref="C78:K78" si="9">C20+C77</f>
        <v>4964890</v>
      </c>
      <c r="D78" s="1702">
        <f t="shared" si="9"/>
        <v>1134407</v>
      </c>
      <c r="E78" s="1702">
        <f t="shared" si="9"/>
        <v>268</v>
      </c>
      <c r="F78" s="1702">
        <f t="shared" si="9"/>
        <v>1313</v>
      </c>
      <c r="G78" s="1702">
        <f t="shared" si="9"/>
        <v>15654</v>
      </c>
      <c r="H78" s="1702">
        <f t="shared" si="9"/>
        <v>-61932</v>
      </c>
      <c r="I78" s="1702">
        <f t="shared" si="9"/>
        <v>698737</v>
      </c>
      <c r="J78" s="1702">
        <f t="shared" si="9"/>
        <v>139842</v>
      </c>
      <c r="K78" s="1702">
        <f t="shared" si="9"/>
        <v>178666</v>
      </c>
      <c r="L78" s="533"/>
    </row>
    <row r="79" spans="1:12" ht="13.5" thickTop="1" x14ac:dyDescent="0.2">
      <c r="A79" s="1494" t="s">
        <v>1945</v>
      </c>
      <c r="B79" s="534"/>
      <c r="C79" s="478">
        <v>-5332940</v>
      </c>
      <c r="D79" s="535">
        <v>2301989</v>
      </c>
      <c r="E79" s="535">
        <v>427</v>
      </c>
      <c r="F79" s="535">
        <v>603135</v>
      </c>
      <c r="G79" s="535">
        <v>931280</v>
      </c>
      <c r="H79" s="535">
        <v>790006</v>
      </c>
      <c r="I79" s="535">
        <v>0</v>
      </c>
      <c r="J79" s="535">
        <v>786765</v>
      </c>
      <c r="K79" s="535">
        <v>912426</v>
      </c>
      <c r="L79" s="347"/>
    </row>
    <row r="80" spans="1:12" x14ac:dyDescent="0.2">
      <c r="A80" s="2145" t="s">
        <v>1791</v>
      </c>
      <c r="B80" s="2146"/>
      <c r="C80" s="467"/>
      <c r="D80" s="467"/>
      <c r="E80" s="467"/>
      <c r="F80" s="467"/>
      <c r="G80" s="467"/>
      <c r="H80" s="467"/>
      <c r="I80" s="467"/>
      <c r="J80" s="467"/>
      <c r="K80" s="467"/>
      <c r="L80" s="347"/>
    </row>
    <row r="81" spans="1:12" ht="13.5" thickBot="1" x14ac:dyDescent="0.25">
      <c r="A81" s="2137" t="s">
        <v>1946</v>
      </c>
      <c r="B81" s="2138"/>
      <c r="C81" s="1688">
        <f>(SUM(C78:C80))</f>
        <v>-368050</v>
      </c>
      <c r="D81" s="1688">
        <f>SUM(D78:D80)</f>
        <v>3436396</v>
      </c>
      <c r="E81" s="1688">
        <f t="shared" ref="E81:K81" si="10">SUM(E78:E80)</f>
        <v>695</v>
      </c>
      <c r="F81" s="1688">
        <f t="shared" si="10"/>
        <v>604448</v>
      </c>
      <c r="G81" s="1688">
        <f t="shared" si="10"/>
        <v>946934</v>
      </c>
      <c r="H81" s="1688">
        <f t="shared" si="10"/>
        <v>728074</v>
      </c>
      <c r="I81" s="1688">
        <f t="shared" si="10"/>
        <v>698737</v>
      </c>
      <c r="J81" s="1688">
        <f t="shared" si="10"/>
        <v>926607</v>
      </c>
      <c r="K81" s="1688">
        <f t="shared" si="10"/>
        <v>1091092</v>
      </c>
      <c r="L81" s="347"/>
    </row>
    <row r="82" spans="1:12" ht="0.75" customHeight="1" thickTop="1" thickBot="1" x14ac:dyDescent="0.25">
      <c r="A82" s="536" t="s">
        <v>342</v>
      </c>
      <c r="B82" s="537"/>
      <c r="C82" s="538">
        <f>(C81-C79)</f>
        <v>4964890</v>
      </c>
      <c r="D82" s="538">
        <f t="shared" ref="D82:K82" si="11">(D81-D79)</f>
        <v>1134407</v>
      </c>
      <c r="E82" s="538">
        <f t="shared" si="11"/>
        <v>268</v>
      </c>
      <c r="F82" s="538">
        <f t="shared" si="11"/>
        <v>1313</v>
      </c>
      <c r="G82" s="538">
        <f t="shared" si="11"/>
        <v>15654</v>
      </c>
      <c r="H82" s="538">
        <f t="shared" si="11"/>
        <v>-61932</v>
      </c>
      <c r="I82" s="538">
        <f t="shared" si="11"/>
        <v>698737</v>
      </c>
      <c r="J82" s="538">
        <f t="shared" si="11"/>
        <v>139842</v>
      </c>
      <c r="K82" s="538">
        <f t="shared" si="11"/>
        <v>178666</v>
      </c>
    </row>
    <row r="83" spans="1:12" ht="14.25" hidden="1" thickTop="1" thickBot="1" x14ac:dyDescent="0.25">
      <c r="A83" s="539" t="s">
        <v>343</v>
      </c>
      <c r="B83" s="464"/>
      <c r="C83" s="540">
        <f>C82/C81</f>
        <v>-13.489716071185979</v>
      </c>
      <c r="D83" s="540">
        <f t="shared" ref="D83:K83" si="12">D82/D81</f>
        <v>0.33011533013075328</v>
      </c>
      <c r="E83" s="540">
        <f t="shared" si="12"/>
        <v>0.38561151079136691</v>
      </c>
      <c r="F83" s="540">
        <f t="shared" si="12"/>
        <v>2.1722298692360632E-3</v>
      </c>
      <c r="G83" s="540">
        <f t="shared" si="12"/>
        <v>1.6531247161893015E-2</v>
      </c>
      <c r="H83" s="540">
        <f t="shared" si="12"/>
        <v>-8.5062782079843538E-2</v>
      </c>
      <c r="I83" s="540">
        <f t="shared" si="12"/>
        <v>1</v>
      </c>
      <c r="J83" s="540">
        <f t="shared" si="12"/>
        <v>0.15091835049810762</v>
      </c>
      <c r="K83" s="540">
        <f t="shared" si="12"/>
        <v>0.16374971129840563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1" bottom="0.48" header="0.4"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3" activePane="bottomLeft" state="frozen"/>
      <selection activeCell="H46" sqref="H46"/>
      <selection pane="bottomLeft" activeCell="C20" sqref="C2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1798</v>
      </c>
      <c r="B1" s="452"/>
      <c r="C1" s="453" t="s">
        <v>424</v>
      </c>
      <c r="D1" s="453" t="s">
        <v>425</v>
      </c>
      <c r="E1" s="453" t="s">
        <v>426</v>
      </c>
      <c r="F1" s="453" t="s">
        <v>427</v>
      </c>
      <c r="G1" s="453" t="s">
        <v>428</v>
      </c>
      <c r="H1" s="453" t="s">
        <v>429</v>
      </c>
      <c r="I1" s="453" t="s">
        <v>430</v>
      </c>
      <c r="J1" s="453" t="s">
        <v>431</v>
      </c>
      <c r="K1" s="453" t="s">
        <v>755</v>
      </c>
    </row>
    <row r="2" spans="1:12" ht="36" x14ac:dyDescent="0.2">
      <c r="A2" s="2142"/>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38244365</v>
      </c>
      <c r="D5" s="481">
        <v>6953503</v>
      </c>
      <c r="E5" s="466">
        <v>11356648</v>
      </c>
      <c r="F5" s="548">
        <v>2781414</v>
      </c>
      <c r="G5" s="466">
        <v>618846</v>
      </c>
      <c r="H5" s="466"/>
      <c r="I5" s="466">
        <v>695370</v>
      </c>
      <c r="J5" s="467">
        <v>2226501</v>
      </c>
      <c r="K5" s="466">
        <v>695370</v>
      </c>
    </row>
    <row r="6" spans="1:12" ht="15" x14ac:dyDescent="0.2">
      <c r="A6" s="463" t="s">
        <v>1661</v>
      </c>
      <c r="B6" s="470">
        <v>1130</v>
      </c>
      <c r="C6" s="466"/>
      <c r="D6" s="466"/>
      <c r="E6" s="475"/>
      <c r="F6" s="475"/>
      <c r="G6" s="468"/>
      <c r="H6" s="468"/>
      <c r="I6" s="468"/>
      <c r="J6" s="468"/>
      <c r="K6" s="468"/>
    </row>
    <row r="7" spans="1:12" x14ac:dyDescent="0.2">
      <c r="A7" s="463" t="s">
        <v>110</v>
      </c>
      <c r="B7" s="549">
        <v>1140</v>
      </c>
      <c r="C7" s="466">
        <v>556283</v>
      </c>
      <c r="D7" s="466"/>
      <c r="E7" s="468"/>
      <c r="F7" s="467"/>
      <c r="G7" s="467"/>
      <c r="H7" s="467"/>
      <c r="I7" s="468"/>
      <c r="J7" s="468"/>
      <c r="K7" s="468"/>
    </row>
    <row r="8" spans="1:12" x14ac:dyDescent="0.2">
      <c r="A8" s="463" t="s">
        <v>412</v>
      </c>
      <c r="B8" s="470">
        <v>1150</v>
      </c>
      <c r="C8" s="475"/>
      <c r="D8" s="475"/>
      <c r="E8" s="477"/>
      <c r="F8" s="477"/>
      <c r="G8" s="481">
        <v>1109761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38800648</v>
      </c>
      <c r="D12" s="1707">
        <f t="shared" si="0"/>
        <v>6953503</v>
      </c>
      <c r="E12" s="1707">
        <f t="shared" si="0"/>
        <v>11356648</v>
      </c>
      <c r="F12" s="1707">
        <f t="shared" si="0"/>
        <v>2781414</v>
      </c>
      <c r="G12" s="1707">
        <f t="shared" si="0"/>
        <v>1728607</v>
      </c>
      <c r="H12" s="1707">
        <f t="shared" si="0"/>
        <v>0</v>
      </c>
      <c r="I12" s="1707">
        <f t="shared" si="0"/>
        <v>695370</v>
      </c>
      <c r="J12" s="1707">
        <f t="shared" si="0"/>
        <v>2226501</v>
      </c>
      <c r="K12" s="1688">
        <f t="shared" si="0"/>
        <v>695370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8493</v>
      </c>
      <c r="D14" s="466">
        <v>1522</v>
      </c>
      <c r="E14" s="466">
        <v>2486</v>
      </c>
      <c r="F14" s="466">
        <v>609</v>
      </c>
      <c r="G14" s="466">
        <v>378</v>
      </c>
      <c r="H14" s="466"/>
      <c r="I14" s="466">
        <v>152</v>
      </c>
      <c r="J14" s="467">
        <v>487</v>
      </c>
      <c r="K14" s="466">
        <v>152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939423</v>
      </c>
      <c r="D16" s="466"/>
      <c r="E16" s="466"/>
      <c r="F16" s="466"/>
      <c r="G16" s="466">
        <v>123217</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947916</v>
      </c>
      <c r="D18" s="1710">
        <f t="shared" ref="D18:K18" si="1">SUM(D14:D17)</f>
        <v>1522</v>
      </c>
      <c r="E18" s="1710">
        <f t="shared" si="1"/>
        <v>2486</v>
      </c>
      <c r="F18" s="1710">
        <f t="shared" si="1"/>
        <v>609</v>
      </c>
      <c r="G18" s="1710">
        <f t="shared" si="1"/>
        <v>123595</v>
      </c>
      <c r="H18" s="1710">
        <f t="shared" si="1"/>
        <v>0</v>
      </c>
      <c r="I18" s="1710">
        <f t="shared" si="1"/>
        <v>152</v>
      </c>
      <c r="J18" s="1710">
        <f t="shared" si="1"/>
        <v>487</v>
      </c>
      <c r="K18" s="1711">
        <f t="shared" si="1"/>
        <v>152</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177400</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90279</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267679</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68741</v>
      </c>
      <c r="D65" s="466">
        <v>33250</v>
      </c>
      <c r="E65" s="466">
        <v>11521</v>
      </c>
      <c r="F65" s="467">
        <v>7846</v>
      </c>
      <c r="G65" s="466">
        <v>7427</v>
      </c>
      <c r="H65" s="466">
        <v>4077</v>
      </c>
      <c r="I65" s="466">
        <v>3215</v>
      </c>
      <c r="J65" s="467">
        <v>6850</v>
      </c>
      <c r="K65" s="466">
        <v>6388</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68741</v>
      </c>
      <c r="D67" s="1688">
        <f t="shared" ref="D67:K67" si="2">SUM(D65:D66)</f>
        <v>33250</v>
      </c>
      <c r="E67" s="1688">
        <f t="shared" si="2"/>
        <v>11521</v>
      </c>
      <c r="F67" s="1688">
        <f t="shared" si="2"/>
        <v>7846</v>
      </c>
      <c r="G67" s="1688">
        <f t="shared" si="2"/>
        <v>7427</v>
      </c>
      <c r="H67" s="1688">
        <f t="shared" si="2"/>
        <v>4077</v>
      </c>
      <c r="I67" s="1688">
        <f t="shared" si="2"/>
        <v>3215</v>
      </c>
      <c r="J67" s="1688">
        <f t="shared" si="2"/>
        <v>6850</v>
      </c>
      <c r="K67" s="1688">
        <f t="shared" si="2"/>
        <v>6388</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756692</v>
      </c>
      <c r="D69" s="468"/>
      <c r="E69" s="468"/>
      <c r="F69" s="468"/>
      <c r="G69" s="468"/>
      <c r="H69" s="468"/>
      <c r="I69" s="468"/>
      <c r="J69" s="468"/>
      <c r="K69" s="468"/>
    </row>
    <row r="70" spans="1:11" ht="12.75" customHeight="1" x14ac:dyDescent="0.2">
      <c r="A70" s="463" t="s">
        <v>996</v>
      </c>
      <c r="B70" s="470">
        <v>1612</v>
      </c>
      <c r="C70" s="551">
        <v>102331</v>
      </c>
      <c r="D70" s="468"/>
      <c r="E70" s="468"/>
      <c r="F70" s="468"/>
      <c r="G70" s="468"/>
      <c r="H70" s="468"/>
      <c r="I70" s="468"/>
      <c r="J70" s="468"/>
      <c r="K70" s="468"/>
    </row>
    <row r="71" spans="1:11" ht="12.75" customHeight="1" x14ac:dyDescent="0.2">
      <c r="A71" s="463" t="s">
        <v>272</v>
      </c>
      <c r="B71" s="470">
        <v>1613</v>
      </c>
      <c r="C71" s="551">
        <v>641878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17307</v>
      </c>
      <c r="D73" s="468"/>
      <c r="E73" s="468"/>
      <c r="F73" s="468"/>
      <c r="G73" s="468"/>
      <c r="H73" s="468"/>
      <c r="I73" s="468"/>
      <c r="J73" s="468"/>
      <c r="K73" s="468"/>
    </row>
    <row r="74" spans="1:11" ht="12.75" customHeight="1" x14ac:dyDescent="0.2">
      <c r="A74" s="463" t="s">
        <v>25</v>
      </c>
      <c r="B74" s="470">
        <v>1690</v>
      </c>
      <c r="C74" s="551">
        <v>69954</v>
      </c>
      <c r="D74" s="468"/>
      <c r="E74" s="468"/>
      <c r="F74" s="468"/>
      <c r="G74" s="468"/>
      <c r="H74" s="468"/>
      <c r="I74" s="468"/>
      <c r="J74" s="468"/>
      <c r="K74" s="468"/>
    </row>
    <row r="75" spans="1:11" ht="12.75" customHeight="1" thickBot="1" x14ac:dyDescent="0.25">
      <c r="A75" s="1708" t="s">
        <v>547</v>
      </c>
      <c r="B75" s="1709"/>
      <c r="C75" s="1688">
        <f>SUM(C69:C74)</f>
        <v>1588162</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47597</v>
      </c>
      <c r="D77" s="466"/>
      <c r="E77" s="468"/>
      <c r="F77" s="468"/>
      <c r="G77" s="468"/>
      <c r="H77" s="468"/>
      <c r="I77" s="468"/>
      <c r="J77" s="468"/>
      <c r="K77" s="468"/>
    </row>
    <row r="78" spans="1:11" ht="12.75" customHeight="1" x14ac:dyDescent="0.2">
      <c r="A78" s="463" t="s">
        <v>76</v>
      </c>
      <c r="B78" s="470">
        <v>1719</v>
      </c>
      <c r="C78" s="551">
        <v>6090</v>
      </c>
      <c r="D78" s="466"/>
      <c r="E78" s="468"/>
      <c r="F78" s="468"/>
      <c r="G78" s="468"/>
      <c r="H78" s="468"/>
      <c r="I78" s="468"/>
      <c r="J78" s="468"/>
      <c r="K78" s="468"/>
    </row>
    <row r="79" spans="1:11" ht="12.75" customHeight="1" x14ac:dyDescent="0.2">
      <c r="A79" s="463" t="s">
        <v>549</v>
      </c>
      <c r="B79" s="470">
        <v>1720</v>
      </c>
      <c r="C79" s="551">
        <v>445178</v>
      </c>
      <c r="D79" s="466">
        <v>118197</v>
      </c>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498865</v>
      </c>
      <c r="D82" s="1688">
        <f>SUM(D77:D81)</f>
        <v>118197</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533181</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533181</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123234</v>
      </c>
      <c r="D95" s="551">
        <v>34750</v>
      </c>
      <c r="E95" s="521"/>
      <c r="F95" s="521"/>
      <c r="G95" s="521"/>
      <c r="H95" s="521"/>
      <c r="I95" s="521"/>
      <c r="J95" s="521"/>
      <c r="K95" s="521"/>
    </row>
    <row r="96" spans="1:11" ht="12.75" customHeight="1" x14ac:dyDescent="0.2">
      <c r="A96" s="463" t="s">
        <v>390</v>
      </c>
      <c r="B96" s="470">
        <v>1920</v>
      </c>
      <c r="C96" s="551">
        <v>20729</v>
      </c>
      <c r="D96" s="551">
        <v>35000</v>
      </c>
      <c r="E96" s="479"/>
      <c r="F96" s="478"/>
      <c r="G96" s="478"/>
      <c r="H96" s="478"/>
      <c r="I96" s="478"/>
      <c r="J96" s="478"/>
      <c r="K96" s="478"/>
    </row>
    <row r="97" spans="1:12" ht="12.75" customHeight="1" x14ac:dyDescent="0.2">
      <c r="A97" s="1495" t="s">
        <v>244</v>
      </c>
      <c r="B97" s="559">
        <v>1930</v>
      </c>
      <c r="C97" s="489"/>
      <c r="D97" s="467"/>
      <c r="E97" s="474"/>
      <c r="F97" s="467"/>
      <c r="G97" s="467"/>
      <c r="H97" s="467">
        <v>113391</v>
      </c>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v>93991</v>
      </c>
      <c r="D100" s="489"/>
      <c r="E100" s="489"/>
      <c r="F100" s="489"/>
      <c r="G100" s="489"/>
      <c r="H100" s="489"/>
      <c r="I100" s="467"/>
      <c r="J100" s="489"/>
      <c r="K100" s="467"/>
    </row>
    <row r="101" spans="1:12" ht="12.75" customHeight="1" x14ac:dyDescent="0.2">
      <c r="A101" s="463" t="s">
        <v>246</v>
      </c>
      <c r="B101" s="470">
        <v>1970</v>
      </c>
      <c r="C101" s="489">
        <v>116863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v>1557063</v>
      </c>
      <c r="D106" s="489"/>
      <c r="E106" s="467"/>
      <c r="F106" s="467"/>
      <c r="G106" s="467"/>
      <c r="H106" s="467"/>
      <c r="I106" s="521"/>
      <c r="J106" s="467"/>
      <c r="K106" s="467"/>
    </row>
    <row r="107" spans="1:12" ht="12.75" customHeight="1" x14ac:dyDescent="0.2">
      <c r="A107" s="463" t="s">
        <v>78</v>
      </c>
      <c r="B107" s="470">
        <v>1999</v>
      </c>
      <c r="C107" s="551">
        <v>146700</v>
      </c>
      <c r="D107" s="466">
        <v>36506</v>
      </c>
      <c r="E107" s="466"/>
      <c r="F107" s="466">
        <v>15174</v>
      </c>
      <c r="G107" s="466"/>
      <c r="H107" s="466">
        <v>1200</v>
      </c>
      <c r="I107" s="466"/>
      <c r="J107" s="467"/>
      <c r="K107" s="466"/>
    </row>
    <row r="108" spans="1:12" ht="12.75" customHeight="1" thickBot="1" x14ac:dyDescent="0.25">
      <c r="A108" s="1708" t="s">
        <v>486</v>
      </c>
      <c r="B108" s="1712"/>
      <c r="C108" s="1707">
        <f>SUM(C95:C107)</f>
        <v>2058580</v>
      </c>
      <c r="D108" s="1707">
        <f t="shared" ref="D108:K108" si="3">SUM(D95:D107)</f>
        <v>106256</v>
      </c>
      <c r="E108" s="1707">
        <f t="shared" si="3"/>
        <v>0</v>
      </c>
      <c r="F108" s="1707">
        <f t="shared" si="3"/>
        <v>15174</v>
      </c>
      <c r="G108" s="1707">
        <f t="shared" si="3"/>
        <v>0</v>
      </c>
      <c r="H108" s="1707">
        <f t="shared" si="3"/>
        <v>114591</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44763772</v>
      </c>
      <c r="D109" s="1715">
        <f t="shared" si="4"/>
        <v>7212728</v>
      </c>
      <c r="E109" s="1715">
        <f t="shared" si="4"/>
        <v>11370655</v>
      </c>
      <c r="F109" s="1715">
        <f t="shared" si="4"/>
        <v>2805043</v>
      </c>
      <c r="G109" s="1715">
        <f t="shared" si="4"/>
        <v>1859629</v>
      </c>
      <c r="H109" s="1715">
        <f t="shared" si="4"/>
        <v>118668</v>
      </c>
      <c r="I109" s="1715">
        <f t="shared" si="4"/>
        <v>698737</v>
      </c>
      <c r="J109" s="1715">
        <f t="shared" si="4"/>
        <v>2233838</v>
      </c>
      <c r="K109" s="1702">
        <f t="shared" si="4"/>
        <v>701910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8789498</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8789498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395965</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102735</v>
      </c>
      <c r="D128" s="561"/>
      <c r="E128" s="468"/>
      <c r="F128" s="466">
        <v>11440</v>
      </c>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498700</v>
      </c>
      <c r="D132" s="1707">
        <f>SUM(D125:D131)</f>
        <v>0</v>
      </c>
      <c r="E132" s="469" t="s">
        <v>1168</v>
      </c>
      <c r="F132" s="1707">
        <f>SUM(F125:F131)</f>
        <v>11440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62810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10776</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73586</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11282</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106594</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1496733</v>
      </c>
      <c r="G152" s="467"/>
      <c r="H152" s="468"/>
      <c r="I152" s="468"/>
      <c r="J152" s="468"/>
      <c r="K152" s="468"/>
    </row>
    <row r="153" spans="1:11" ht="12.75" customHeight="1" x14ac:dyDescent="0.2">
      <c r="A153" s="463" t="s">
        <v>1056</v>
      </c>
      <c r="B153" s="562">
        <v>3510</v>
      </c>
      <c r="C153" s="551"/>
      <c r="D153" s="466"/>
      <c r="E153" s="561"/>
      <c r="F153" s="466">
        <v>1069540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2566273</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471541</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358776</v>
      </c>
      <c r="D168" s="580"/>
      <c r="E168" s="580"/>
      <c r="F168" s="580"/>
      <c r="G168" s="581"/>
      <c r="H168" s="582"/>
      <c r="I168" s="581"/>
      <c r="J168" s="581"/>
      <c r="K168" s="582"/>
    </row>
    <row r="169" spans="1:11" ht="12.75" customHeight="1" thickTop="1" thickBot="1" x14ac:dyDescent="0.25">
      <c r="A169" s="2161" t="s">
        <v>397</v>
      </c>
      <c r="B169" s="2162"/>
      <c r="C169" s="1722">
        <f t="shared" ref="C169:K169" si="6">SUM(C132,C141,C145,C146:C150,C155,C156:C167,C168)</f>
        <v>1520479</v>
      </c>
      <c r="D169" s="1722">
        <f t="shared" si="6"/>
        <v>0</v>
      </c>
      <c r="E169" s="1722">
        <f t="shared" si="6"/>
        <v>0</v>
      </c>
      <c r="F169" s="1722">
        <f t="shared" si="6"/>
        <v>2577713</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10309977</v>
      </c>
      <c r="D170" s="1715">
        <f t="shared" si="7"/>
        <v>0</v>
      </c>
      <c r="E170" s="1715">
        <f t="shared" si="7"/>
        <v>0</v>
      </c>
      <c r="F170" s="1715">
        <f t="shared" si="7"/>
        <v>2577713</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63" t="s">
        <v>1491</v>
      </c>
      <c r="B172" s="2164"/>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7" t="s">
        <v>1664</v>
      </c>
      <c r="B175" s="216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71" t="s">
        <v>1663</v>
      </c>
      <c r="B176" s="2172"/>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9" t="s">
        <v>784</v>
      </c>
      <c r="B181" s="217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5" t="s">
        <v>1799</v>
      </c>
      <c r="B182" s="2166"/>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596514</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144040</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v>96361</v>
      </c>
      <c r="D197" s="468"/>
      <c r="E197" s="561"/>
      <c r="F197" s="468"/>
      <c r="G197" s="585"/>
      <c r="H197" s="468"/>
      <c r="I197" s="468"/>
      <c r="J197" s="468"/>
      <c r="K197" s="468"/>
    </row>
    <row r="198" spans="1:11" ht="12.75" customHeight="1" thickBot="1" x14ac:dyDescent="0.25">
      <c r="A198" s="1708" t="s">
        <v>547</v>
      </c>
      <c r="B198" s="1709"/>
      <c r="C198" s="1688">
        <f>SUM(C190:C197)</f>
        <v>836915</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468231</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468231</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40462</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40462</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38752</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1466007</v>
      </c>
      <c r="D213" s="466"/>
      <c r="E213" s="468"/>
      <c r="F213" s="466"/>
      <c r="G213" s="466"/>
      <c r="H213" s="468"/>
      <c r="I213" s="468"/>
      <c r="J213" s="468"/>
      <c r="K213" s="468"/>
    </row>
    <row r="214" spans="1:11" ht="12.75" customHeight="1" x14ac:dyDescent="0.2">
      <c r="A214" s="463" t="s">
        <v>1053</v>
      </c>
      <c r="B214" s="470">
        <v>4625</v>
      </c>
      <c r="C214" s="551">
        <v>3780</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1508539</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v>34952</v>
      </c>
      <c r="D220" s="466"/>
      <c r="E220" s="468"/>
      <c r="F220" s="468"/>
      <c r="G220" s="466"/>
      <c r="H220" s="468"/>
      <c r="I220" s="468"/>
      <c r="J220" s="468"/>
      <c r="K220" s="468"/>
    </row>
    <row r="221" spans="1:11" ht="12.75" customHeight="1" thickBot="1" x14ac:dyDescent="0.25">
      <c r="A221" s="1723" t="s">
        <v>1084</v>
      </c>
      <c r="B221" s="1724"/>
      <c r="C221" s="1707">
        <f>SUM(C219:C220)</f>
        <v>34952</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v>1750</v>
      </c>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162396</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75515</v>
      </c>
      <c r="D263" s="576"/>
      <c r="E263" s="468"/>
      <c r="F263" s="576"/>
      <c r="G263" s="576"/>
      <c r="H263" s="468"/>
      <c r="I263" s="468"/>
      <c r="J263" s="468"/>
      <c r="K263" s="468"/>
    </row>
    <row r="264" spans="1:11" ht="12.75" customHeight="1" thickTop="1" thickBot="1" x14ac:dyDescent="0.25">
      <c r="A264" s="463" t="s">
        <v>376</v>
      </c>
      <c r="B264" s="470">
        <v>4992</v>
      </c>
      <c r="C264" s="575">
        <v>254261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3383021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3383021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58456770</v>
      </c>
      <c r="D268" s="1715">
        <f t="shared" si="12"/>
        <v>7212728</v>
      </c>
      <c r="E268" s="1715">
        <f t="shared" si="12"/>
        <v>11370655</v>
      </c>
      <c r="F268" s="1715">
        <f t="shared" si="12"/>
        <v>5382756</v>
      </c>
      <c r="G268" s="1715">
        <f t="shared" si="12"/>
        <v>1859629</v>
      </c>
      <c r="H268" s="1715">
        <f t="shared" si="12"/>
        <v>118668</v>
      </c>
      <c r="I268" s="1715">
        <f t="shared" si="12"/>
        <v>698737</v>
      </c>
      <c r="J268" s="1715">
        <f t="shared" si="12"/>
        <v>2233838</v>
      </c>
      <c r="K268" s="1702">
        <f t="shared" si="12"/>
        <v>701910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6" header="0.4" footer="0.4"/>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64" colorId="8" zoomScale="110" zoomScaleNormal="110" workbookViewId="0">
      <pane xSplit="1" topLeftCell="H1" activePane="topRight" state="frozen"/>
      <selection activeCell="H46" sqref="H46"/>
      <selection pane="topRight" activeCell="H46" sqref="H4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5"/>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1" t="s">
        <v>296</v>
      </c>
      <c r="B3" s="2182"/>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17902412</v>
      </c>
      <c r="D5" s="466">
        <v>4665953</v>
      </c>
      <c r="E5" s="466">
        <v>213521</v>
      </c>
      <c r="F5" s="466">
        <v>1584913</v>
      </c>
      <c r="G5" s="466"/>
      <c r="H5" s="466"/>
      <c r="I5" s="467">
        <v>24948</v>
      </c>
      <c r="J5" s="467">
        <v>69867</v>
      </c>
      <c r="K5" s="1671">
        <f>SUM(C5:J5)</f>
        <v>24461614</v>
      </c>
      <c r="L5" s="466">
        <v>24892704</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426915</v>
      </c>
      <c r="D7" s="467">
        <v>79424</v>
      </c>
      <c r="E7" s="467"/>
      <c r="F7" s="467">
        <v>4542</v>
      </c>
      <c r="G7" s="467"/>
      <c r="H7" s="467"/>
      <c r="I7" s="467"/>
      <c r="J7" s="467"/>
      <c r="K7" s="1671">
        <f t="shared" ref="K7:K32" si="0">SUM(C7:J7)</f>
        <v>510881</v>
      </c>
      <c r="L7" s="466">
        <v>520763</v>
      </c>
    </row>
    <row r="8" spans="1:14" x14ac:dyDescent="0.2">
      <c r="A8" s="1504" t="s">
        <v>164</v>
      </c>
      <c r="B8" s="614">
        <v>1200</v>
      </c>
      <c r="C8" s="466">
        <v>4522245</v>
      </c>
      <c r="D8" s="466">
        <v>828570</v>
      </c>
      <c r="E8" s="466">
        <v>115748</v>
      </c>
      <c r="F8" s="466">
        <v>120284</v>
      </c>
      <c r="G8" s="466"/>
      <c r="H8" s="466"/>
      <c r="I8" s="467">
        <v>45607</v>
      </c>
      <c r="J8" s="467">
        <v>466</v>
      </c>
      <c r="K8" s="1671">
        <f t="shared" si="0"/>
        <v>5632920</v>
      </c>
      <c r="L8" s="466">
        <v>6164023</v>
      </c>
    </row>
    <row r="9" spans="1:14" x14ac:dyDescent="0.2">
      <c r="A9" s="1504" t="s">
        <v>720</v>
      </c>
      <c r="B9" s="614" t="s">
        <v>967</v>
      </c>
      <c r="C9" s="467">
        <v>115421</v>
      </c>
      <c r="D9" s="467">
        <v>16820</v>
      </c>
      <c r="E9" s="467"/>
      <c r="F9" s="467">
        <v>774</v>
      </c>
      <c r="G9" s="467"/>
      <c r="H9" s="467"/>
      <c r="I9" s="467"/>
      <c r="J9" s="467"/>
      <c r="K9" s="1671">
        <f t="shared" si="0"/>
        <v>133015</v>
      </c>
      <c r="L9" s="466">
        <v>158101</v>
      </c>
    </row>
    <row r="10" spans="1:14" x14ac:dyDescent="0.2">
      <c r="A10" s="1504" t="s">
        <v>721</v>
      </c>
      <c r="B10" s="614">
        <v>1250</v>
      </c>
      <c r="C10" s="466">
        <v>59389</v>
      </c>
      <c r="D10" s="466">
        <v>16518</v>
      </c>
      <c r="E10" s="466">
        <v>42132</v>
      </c>
      <c r="F10" s="466">
        <v>2992</v>
      </c>
      <c r="G10" s="466"/>
      <c r="H10" s="466"/>
      <c r="I10" s="467"/>
      <c r="J10" s="467"/>
      <c r="K10" s="1671">
        <f t="shared" si="0"/>
        <v>121031</v>
      </c>
      <c r="L10" s="466">
        <v>132350</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921821</v>
      </c>
      <c r="D13" s="466">
        <v>219808</v>
      </c>
      <c r="E13" s="466">
        <v>12217</v>
      </c>
      <c r="F13" s="466">
        <v>29281</v>
      </c>
      <c r="G13" s="466"/>
      <c r="H13" s="466"/>
      <c r="I13" s="467">
        <v>60346</v>
      </c>
      <c r="J13" s="467"/>
      <c r="K13" s="1671">
        <f t="shared" si="0"/>
        <v>1243473</v>
      </c>
      <c r="L13" s="466">
        <v>1269255</v>
      </c>
    </row>
    <row r="14" spans="1:14" x14ac:dyDescent="0.2">
      <c r="A14" s="1504" t="s">
        <v>962</v>
      </c>
      <c r="B14" s="614">
        <v>1500</v>
      </c>
      <c r="C14" s="466">
        <v>1165901</v>
      </c>
      <c r="D14" s="466">
        <v>149005</v>
      </c>
      <c r="E14" s="466">
        <v>104235</v>
      </c>
      <c r="F14" s="466">
        <v>81383</v>
      </c>
      <c r="G14" s="466">
        <v>17361</v>
      </c>
      <c r="H14" s="466">
        <v>34842</v>
      </c>
      <c r="I14" s="467">
        <v>17810</v>
      </c>
      <c r="J14" s="467"/>
      <c r="K14" s="1671">
        <f t="shared" si="0"/>
        <v>1570537</v>
      </c>
      <c r="L14" s="466">
        <v>1667255</v>
      </c>
    </row>
    <row r="15" spans="1:14" x14ac:dyDescent="0.2">
      <c r="A15" s="1504" t="s">
        <v>963</v>
      </c>
      <c r="B15" s="614">
        <v>1600</v>
      </c>
      <c r="C15" s="466">
        <v>79188</v>
      </c>
      <c r="D15" s="466">
        <v>9137</v>
      </c>
      <c r="E15" s="466"/>
      <c r="F15" s="466">
        <v>638</v>
      </c>
      <c r="G15" s="466"/>
      <c r="H15" s="466"/>
      <c r="I15" s="467"/>
      <c r="J15" s="467"/>
      <c r="K15" s="1671">
        <f t="shared" si="0"/>
        <v>88963</v>
      </c>
      <c r="L15" s="466">
        <v>87355</v>
      </c>
    </row>
    <row r="16" spans="1:14" x14ac:dyDescent="0.2">
      <c r="A16" s="1504" t="s">
        <v>986</v>
      </c>
      <c r="B16" s="614" t="s">
        <v>423</v>
      </c>
      <c r="C16" s="466">
        <v>68338</v>
      </c>
      <c r="D16" s="466">
        <v>15587</v>
      </c>
      <c r="E16" s="466">
        <v>263</v>
      </c>
      <c r="F16" s="466"/>
      <c r="G16" s="466"/>
      <c r="H16" s="466"/>
      <c r="I16" s="467"/>
      <c r="J16" s="467"/>
      <c r="K16" s="1671">
        <f t="shared" si="0"/>
        <v>84188</v>
      </c>
      <c r="L16" s="466">
        <v>84788</v>
      </c>
    </row>
    <row r="17" spans="1:12" x14ac:dyDescent="0.2">
      <c r="A17" s="1504" t="s">
        <v>723</v>
      </c>
      <c r="B17" s="614" t="s">
        <v>162</v>
      </c>
      <c r="C17" s="467">
        <v>205225</v>
      </c>
      <c r="D17" s="467">
        <v>40217</v>
      </c>
      <c r="E17" s="467"/>
      <c r="F17" s="467">
        <v>21720</v>
      </c>
      <c r="G17" s="467"/>
      <c r="H17" s="467"/>
      <c r="I17" s="467"/>
      <c r="J17" s="467"/>
      <c r="K17" s="1671">
        <f t="shared" si="0"/>
        <v>267162</v>
      </c>
      <c r="L17" s="466">
        <v>265755</v>
      </c>
    </row>
    <row r="18" spans="1:12" x14ac:dyDescent="0.2">
      <c r="A18" s="1504" t="s">
        <v>1086</v>
      </c>
      <c r="B18" s="614">
        <v>1800</v>
      </c>
      <c r="C18" s="466">
        <v>107407</v>
      </c>
      <c r="D18" s="466">
        <v>29019</v>
      </c>
      <c r="E18" s="466">
        <v>1192</v>
      </c>
      <c r="F18" s="466">
        <v>104</v>
      </c>
      <c r="G18" s="466"/>
      <c r="H18" s="466"/>
      <c r="I18" s="467"/>
      <c r="J18" s="467"/>
      <c r="K18" s="1671">
        <f t="shared" si="0"/>
        <v>137722</v>
      </c>
      <c r="L18" s="466">
        <v>139834</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v>11200</v>
      </c>
      <c r="I21" s="616"/>
      <c r="J21" s="477"/>
      <c r="K21" s="1671">
        <f t="shared" si="0"/>
        <v>11200</v>
      </c>
      <c r="L21" s="471">
        <v>12000</v>
      </c>
    </row>
    <row r="22" spans="1:12" x14ac:dyDescent="0.2">
      <c r="A22" s="1505" t="s">
        <v>739</v>
      </c>
      <c r="B22" s="602" t="s">
        <v>726</v>
      </c>
      <c r="C22" s="477"/>
      <c r="D22" s="477"/>
      <c r="E22" s="477"/>
      <c r="F22" s="477"/>
      <c r="G22" s="477"/>
      <c r="H22" s="474">
        <v>833680</v>
      </c>
      <c r="I22" s="616"/>
      <c r="J22" s="477"/>
      <c r="K22" s="1671">
        <f t="shared" si="0"/>
        <v>833680</v>
      </c>
      <c r="L22" s="471">
        <v>850000</v>
      </c>
    </row>
    <row r="23" spans="1:12" x14ac:dyDescent="0.2">
      <c r="A23" s="1505" t="s">
        <v>740</v>
      </c>
      <c r="B23" s="602" t="s">
        <v>727</v>
      </c>
      <c r="C23" s="477"/>
      <c r="D23" s="477"/>
      <c r="E23" s="477"/>
      <c r="F23" s="477"/>
      <c r="G23" s="477"/>
      <c r="H23" s="474">
        <v>47529</v>
      </c>
      <c r="I23" s="616"/>
      <c r="J23" s="477"/>
      <c r="K23" s="1671">
        <f t="shared" si="0"/>
        <v>47529</v>
      </c>
      <c r="L23" s="471">
        <v>36500</v>
      </c>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v>266890</v>
      </c>
      <c r="I27" s="616"/>
      <c r="J27" s="477"/>
      <c r="K27" s="1671">
        <f t="shared" si="0"/>
        <v>266890</v>
      </c>
      <c r="L27" s="471">
        <v>266890</v>
      </c>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25574262</v>
      </c>
      <c r="D33" s="1670">
        <f t="shared" ref="D33:L33" si="1">SUM(D5:D32)</f>
        <v>6070058</v>
      </c>
      <c r="E33" s="1670">
        <f t="shared" si="1"/>
        <v>489308</v>
      </c>
      <c r="F33" s="1670">
        <f t="shared" si="1"/>
        <v>1846631</v>
      </c>
      <c r="G33" s="1670">
        <f t="shared" si="1"/>
        <v>17361</v>
      </c>
      <c r="H33" s="1670">
        <f t="shared" si="1"/>
        <v>1194141</v>
      </c>
      <c r="I33" s="1670">
        <f t="shared" si="1"/>
        <v>148711</v>
      </c>
      <c r="J33" s="1670">
        <f t="shared" si="1"/>
        <v>70333</v>
      </c>
      <c r="K33" s="1670">
        <f t="shared" si="1"/>
        <v>35410805</v>
      </c>
      <c r="L33" s="1670">
        <f t="shared" si="1"/>
        <v>36547573</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588426</v>
      </c>
      <c r="D36" s="481">
        <v>139041</v>
      </c>
      <c r="E36" s="481">
        <v>1732</v>
      </c>
      <c r="F36" s="481">
        <v>3501</v>
      </c>
      <c r="G36" s="481"/>
      <c r="H36" s="481"/>
      <c r="I36" s="467">
        <v>22761</v>
      </c>
      <c r="J36" s="467"/>
      <c r="K36" s="1671">
        <f t="shared" ref="K36:K41" si="2">SUM(C36:J36)</f>
        <v>755461</v>
      </c>
      <c r="L36" s="466">
        <v>770988</v>
      </c>
    </row>
    <row r="37" spans="1:14" x14ac:dyDescent="0.2">
      <c r="A37" s="1504" t="s">
        <v>1089</v>
      </c>
      <c r="B37" s="614">
        <v>2120</v>
      </c>
      <c r="C37" s="466">
        <v>394477</v>
      </c>
      <c r="D37" s="466">
        <v>99621</v>
      </c>
      <c r="E37" s="466"/>
      <c r="F37" s="466">
        <v>19073</v>
      </c>
      <c r="G37" s="466"/>
      <c r="H37" s="466"/>
      <c r="I37" s="467"/>
      <c r="J37" s="467"/>
      <c r="K37" s="1671">
        <f t="shared" si="2"/>
        <v>513171</v>
      </c>
      <c r="L37" s="466">
        <v>520945</v>
      </c>
    </row>
    <row r="38" spans="1:14" x14ac:dyDescent="0.2">
      <c r="A38" s="1504" t="s">
        <v>198</v>
      </c>
      <c r="B38" s="614">
        <v>2130</v>
      </c>
      <c r="C38" s="466">
        <v>861955</v>
      </c>
      <c r="D38" s="466">
        <v>196222</v>
      </c>
      <c r="E38" s="466">
        <v>5100</v>
      </c>
      <c r="F38" s="466">
        <v>21963</v>
      </c>
      <c r="G38" s="466">
        <v>6697</v>
      </c>
      <c r="H38" s="466"/>
      <c r="I38" s="467">
        <v>820</v>
      </c>
      <c r="J38" s="467"/>
      <c r="K38" s="1671">
        <f t="shared" si="2"/>
        <v>1092757</v>
      </c>
      <c r="L38" s="466">
        <v>1136108</v>
      </c>
    </row>
    <row r="39" spans="1:14" x14ac:dyDescent="0.2">
      <c r="A39" s="1504" t="s">
        <v>199</v>
      </c>
      <c r="B39" s="614">
        <v>2140</v>
      </c>
      <c r="C39" s="466">
        <v>530662</v>
      </c>
      <c r="D39" s="466">
        <v>130501</v>
      </c>
      <c r="E39" s="466">
        <v>3099</v>
      </c>
      <c r="F39" s="466">
        <v>9318</v>
      </c>
      <c r="G39" s="466"/>
      <c r="H39" s="466"/>
      <c r="I39" s="467"/>
      <c r="J39" s="467"/>
      <c r="K39" s="1671">
        <f t="shared" si="2"/>
        <v>673580</v>
      </c>
      <c r="L39" s="466">
        <v>698439</v>
      </c>
    </row>
    <row r="40" spans="1:14" x14ac:dyDescent="0.2">
      <c r="A40" s="1504" t="s">
        <v>200</v>
      </c>
      <c r="B40" s="614">
        <v>2150</v>
      </c>
      <c r="C40" s="466">
        <v>613087</v>
      </c>
      <c r="D40" s="466">
        <v>154082</v>
      </c>
      <c r="E40" s="466">
        <v>1194</v>
      </c>
      <c r="F40" s="466">
        <v>6075</v>
      </c>
      <c r="G40" s="466"/>
      <c r="H40" s="466"/>
      <c r="I40" s="467">
        <v>9292</v>
      </c>
      <c r="J40" s="467"/>
      <c r="K40" s="1671">
        <f t="shared" si="2"/>
        <v>783730</v>
      </c>
      <c r="L40" s="466">
        <v>826227</v>
      </c>
    </row>
    <row r="41" spans="1:14" x14ac:dyDescent="0.2">
      <c r="A41" s="1504" t="s">
        <v>1668</v>
      </c>
      <c r="B41" s="614">
        <v>2190</v>
      </c>
      <c r="C41" s="466"/>
      <c r="D41" s="466"/>
      <c r="E41" s="466"/>
      <c r="F41" s="466"/>
      <c r="G41" s="466"/>
      <c r="H41" s="466"/>
      <c r="I41" s="467"/>
      <c r="J41" s="467"/>
      <c r="K41" s="1671">
        <f t="shared" si="2"/>
        <v>0</v>
      </c>
      <c r="L41" s="466"/>
    </row>
    <row r="42" spans="1:14" ht="12.75" customHeight="1" thickBot="1" x14ac:dyDescent="0.25">
      <c r="A42" s="1668" t="s">
        <v>559</v>
      </c>
      <c r="B42" s="1669" t="s">
        <v>715</v>
      </c>
      <c r="C42" s="1670">
        <f>SUM(C36:C41)</f>
        <v>2988607</v>
      </c>
      <c r="D42" s="1670">
        <f t="shared" ref="D42:L42" si="3">SUM(D36:D41)</f>
        <v>719467</v>
      </c>
      <c r="E42" s="1670">
        <f t="shared" si="3"/>
        <v>11125</v>
      </c>
      <c r="F42" s="1670">
        <f t="shared" si="3"/>
        <v>59930</v>
      </c>
      <c r="G42" s="1670">
        <f t="shared" si="3"/>
        <v>6697</v>
      </c>
      <c r="H42" s="1670">
        <f t="shared" si="3"/>
        <v>0</v>
      </c>
      <c r="I42" s="1670">
        <f t="shared" si="3"/>
        <v>32873</v>
      </c>
      <c r="J42" s="1670">
        <f t="shared" si="3"/>
        <v>0</v>
      </c>
      <c r="K42" s="1670">
        <f t="shared" si="3"/>
        <v>3818699</v>
      </c>
      <c r="L42" s="1670">
        <f t="shared" si="3"/>
        <v>3952707</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386042</v>
      </c>
      <c r="D44" s="481">
        <v>87673</v>
      </c>
      <c r="E44" s="481">
        <v>70025</v>
      </c>
      <c r="F44" s="481">
        <v>13205</v>
      </c>
      <c r="G44" s="481"/>
      <c r="H44" s="481"/>
      <c r="I44" s="467"/>
      <c r="J44" s="467"/>
      <c r="K44" s="1672">
        <f>SUM(C44:J44)</f>
        <v>556945</v>
      </c>
      <c r="L44" s="481">
        <v>653150</v>
      </c>
    </row>
    <row r="45" spans="1:14" x14ac:dyDescent="0.2">
      <c r="A45" s="1504" t="s">
        <v>814</v>
      </c>
      <c r="B45" s="614">
        <v>2220</v>
      </c>
      <c r="C45" s="466">
        <v>128449</v>
      </c>
      <c r="D45" s="466">
        <v>27241</v>
      </c>
      <c r="E45" s="466">
        <v>200</v>
      </c>
      <c r="F45" s="466">
        <v>12865</v>
      </c>
      <c r="G45" s="466"/>
      <c r="H45" s="466"/>
      <c r="I45" s="467">
        <v>21833</v>
      </c>
      <c r="J45" s="467"/>
      <c r="K45" s="1672">
        <f>SUM(C45:J45)</f>
        <v>190588</v>
      </c>
      <c r="L45" s="466">
        <v>194005</v>
      </c>
    </row>
    <row r="46" spans="1:14" x14ac:dyDescent="0.2">
      <c r="A46" s="1504" t="s">
        <v>815</v>
      </c>
      <c r="B46" s="614">
        <v>2230</v>
      </c>
      <c r="C46" s="466">
        <v>14136</v>
      </c>
      <c r="D46" s="466">
        <v>1216</v>
      </c>
      <c r="E46" s="466"/>
      <c r="F46" s="466">
        <v>4392</v>
      </c>
      <c r="G46" s="466"/>
      <c r="H46" s="466"/>
      <c r="I46" s="467"/>
      <c r="J46" s="467"/>
      <c r="K46" s="1672">
        <f>SUM(C46:J46)</f>
        <v>19744</v>
      </c>
      <c r="L46" s="466">
        <v>36583</v>
      </c>
    </row>
    <row r="47" spans="1:14" ht="12.75" customHeight="1" thickBot="1" x14ac:dyDescent="0.25">
      <c r="A47" s="1668" t="s">
        <v>560</v>
      </c>
      <c r="B47" s="1669" t="s">
        <v>32</v>
      </c>
      <c r="C47" s="1670">
        <f>SUM(C44:C46)</f>
        <v>528627</v>
      </c>
      <c r="D47" s="1670">
        <f t="shared" ref="D47:K47" si="4">SUM(D44:D46)</f>
        <v>116130</v>
      </c>
      <c r="E47" s="1670">
        <f t="shared" si="4"/>
        <v>70225</v>
      </c>
      <c r="F47" s="1670">
        <f t="shared" si="4"/>
        <v>30462</v>
      </c>
      <c r="G47" s="1670">
        <f t="shared" si="4"/>
        <v>0</v>
      </c>
      <c r="H47" s="1670">
        <f t="shared" si="4"/>
        <v>0</v>
      </c>
      <c r="I47" s="1670">
        <f t="shared" si="4"/>
        <v>21833</v>
      </c>
      <c r="J47" s="1670">
        <f t="shared" si="4"/>
        <v>0</v>
      </c>
      <c r="K47" s="1670">
        <f t="shared" si="4"/>
        <v>767277</v>
      </c>
      <c r="L47" s="1670">
        <f>SUM(L44:L46)</f>
        <v>883738</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c r="D49" s="481"/>
      <c r="E49" s="481">
        <v>276229</v>
      </c>
      <c r="F49" s="481">
        <v>4895</v>
      </c>
      <c r="G49" s="481"/>
      <c r="H49" s="481"/>
      <c r="I49" s="467"/>
      <c r="J49" s="467"/>
      <c r="K49" s="1672">
        <f>SUM(C49:J49)</f>
        <v>281124</v>
      </c>
      <c r="L49" s="481">
        <v>367000</v>
      </c>
    </row>
    <row r="50" spans="1:14" x14ac:dyDescent="0.2">
      <c r="A50" s="1504" t="s">
        <v>817</v>
      </c>
      <c r="B50" s="614">
        <v>2320</v>
      </c>
      <c r="C50" s="466">
        <v>276413</v>
      </c>
      <c r="D50" s="466">
        <v>67919</v>
      </c>
      <c r="E50" s="466">
        <v>8560</v>
      </c>
      <c r="F50" s="466"/>
      <c r="G50" s="466"/>
      <c r="H50" s="466">
        <v>1188</v>
      </c>
      <c r="I50" s="467"/>
      <c r="J50" s="467"/>
      <c r="K50" s="1672">
        <f>SUM(C50:J50)</f>
        <v>354080</v>
      </c>
      <c r="L50" s="466">
        <v>356259</v>
      </c>
    </row>
    <row r="51" spans="1:14" x14ac:dyDescent="0.2">
      <c r="A51" s="1504" t="s">
        <v>42</v>
      </c>
      <c r="B51" s="614">
        <v>2330</v>
      </c>
      <c r="C51" s="466">
        <v>394461</v>
      </c>
      <c r="D51" s="466">
        <v>104659</v>
      </c>
      <c r="E51" s="466">
        <v>25397</v>
      </c>
      <c r="F51" s="466">
        <v>1776</v>
      </c>
      <c r="G51" s="466"/>
      <c r="H51" s="466"/>
      <c r="I51" s="467"/>
      <c r="J51" s="467"/>
      <c r="K51" s="1672">
        <f>SUM(C51:J51)</f>
        <v>526293</v>
      </c>
      <c r="L51" s="466">
        <v>534864</v>
      </c>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670874</v>
      </c>
      <c r="D53" s="1670">
        <f t="shared" ref="D53:L53" si="5">SUM(D49:D52)</f>
        <v>172578</v>
      </c>
      <c r="E53" s="1670">
        <f t="shared" si="5"/>
        <v>310186</v>
      </c>
      <c r="F53" s="1670">
        <f t="shared" si="5"/>
        <v>6671</v>
      </c>
      <c r="G53" s="1670">
        <f t="shared" si="5"/>
        <v>0</v>
      </c>
      <c r="H53" s="1670">
        <f t="shared" si="5"/>
        <v>1188</v>
      </c>
      <c r="I53" s="1670">
        <f t="shared" si="5"/>
        <v>0</v>
      </c>
      <c r="J53" s="1670">
        <f t="shared" si="5"/>
        <v>0</v>
      </c>
      <c r="K53" s="1670">
        <f t="shared" si="5"/>
        <v>1161497</v>
      </c>
      <c r="L53" s="1670">
        <f t="shared" si="5"/>
        <v>1258123</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2433202</v>
      </c>
      <c r="D55" s="481">
        <v>631009</v>
      </c>
      <c r="E55" s="481">
        <v>30240</v>
      </c>
      <c r="F55" s="481">
        <v>2163</v>
      </c>
      <c r="G55" s="481"/>
      <c r="H55" s="481">
        <v>800</v>
      </c>
      <c r="I55" s="467"/>
      <c r="J55" s="467"/>
      <c r="K55" s="1672">
        <f>SUM(C55:J55)</f>
        <v>3097414</v>
      </c>
      <c r="L55" s="481">
        <v>3119157</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2433202</v>
      </c>
      <c r="D57" s="1674">
        <f t="shared" ref="D57:K57" si="6">SUM(D55:D56)</f>
        <v>631009</v>
      </c>
      <c r="E57" s="1674">
        <f t="shared" si="6"/>
        <v>30240</v>
      </c>
      <c r="F57" s="1674">
        <f t="shared" si="6"/>
        <v>2163</v>
      </c>
      <c r="G57" s="1674">
        <f t="shared" si="6"/>
        <v>0</v>
      </c>
      <c r="H57" s="1674">
        <f t="shared" si="6"/>
        <v>800</v>
      </c>
      <c r="I57" s="1674">
        <f t="shared" si="6"/>
        <v>0</v>
      </c>
      <c r="J57" s="1674">
        <f t="shared" si="6"/>
        <v>0</v>
      </c>
      <c r="K57" s="1674">
        <f t="shared" si="6"/>
        <v>3097414</v>
      </c>
      <c r="L57" s="1670">
        <f>SUM(L55:L56)</f>
        <v>3119157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143357</v>
      </c>
      <c r="D59" s="481">
        <v>14750</v>
      </c>
      <c r="E59" s="481">
        <v>14098</v>
      </c>
      <c r="F59" s="481">
        <v>33602</v>
      </c>
      <c r="G59" s="481"/>
      <c r="H59" s="481">
        <v>2649</v>
      </c>
      <c r="I59" s="467"/>
      <c r="J59" s="467"/>
      <c r="K59" s="1672">
        <f t="shared" ref="K59:K64" si="7">SUM(C59:J59)</f>
        <v>208456</v>
      </c>
      <c r="L59" s="481">
        <v>241916</v>
      </c>
      <c r="M59" s="609"/>
      <c r="N59" s="609"/>
    </row>
    <row r="60" spans="1:14" s="343" customFormat="1" x14ac:dyDescent="0.2">
      <c r="A60" s="1504" t="s">
        <v>462</v>
      </c>
      <c r="B60" s="614">
        <v>2520</v>
      </c>
      <c r="C60" s="466">
        <v>287491</v>
      </c>
      <c r="D60" s="466">
        <v>69857</v>
      </c>
      <c r="E60" s="466"/>
      <c r="F60" s="466"/>
      <c r="G60" s="466"/>
      <c r="H60" s="466"/>
      <c r="I60" s="467"/>
      <c r="J60" s="467"/>
      <c r="K60" s="1672">
        <f t="shared" si="7"/>
        <v>357348</v>
      </c>
      <c r="L60" s="466">
        <v>357348</v>
      </c>
      <c r="M60" s="609"/>
      <c r="N60" s="609"/>
    </row>
    <row r="61" spans="1:14" s="343" customFormat="1" x14ac:dyDescent="0.2">
      <c r="A61" s="1504" t="s">
        <v>197</v>
      </c>
      <c r="B61" s="614">
        <v>2540</v>
      </c>
      <c r="C61" s="466">
        <v>1928326</v>
      </c>
      <c r="D61" s="466">
        <v>469145</v>
      </c>
      <c r="E61" s="466">
        <v>50690</v>
      </c>
      <c r="F61" s="466">
        <v>166518</v>
      </c>
      <c r="G61" s="466">
        <v>7974</v>
      </c>
      <c r="H61" s="466"/>
      <c r="I61" s="467">
        <v>13509</v>
      </c>
      <c r="J61" s="467">
        <v>9903</v>
      </c>
      <c r="K61" s="1672">
        <f t="shared" si="7"/>
        <v>2646065</v>
      </c>
      <c r="L61" s="466">
        <v>2757886</v>
      </c>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971607</v>
      </c>
      <c r="D63" s="466">
        <v>211186</v>
      </c>
      <c r="E63" s="466">
        <v>1398803</v>
      </c>
      <c r="F63" s="466">
        <v>51080</v>
      </c>
      <c r="G63" s="466">
        <v>66894</v>
      </c>
      <c r="H63" s="466"/>
      <c r="I63" s="467"/>
      <c r="J63" s="467"/>
      <c r="K63" s="1672">
        <f t="shared" si="7"/>
        <v>2699570</v>
      </c>
      <c r="L63" s="466">
        <v>3075113</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3330781</v>
      </c>
      <c r="D65" s="1670">
        <f t="shared" ref="D65:L65" si="8">SUM(D59:D64)</f>
        <v>764938</v>
      </c>
      <c r="E65" s="1670">
        <f t="shared" si="8"/>
        <v>1463591</v>
      </c>
      <c r="F65" s="1670">
        <f t="shared" si="8"/>
        <v>251200</v>
      </c>
      <c r="G65" s="1670">
        <f t="shared" si="8"/>
        <v>74868</v>
      </c>
      <c r="H65" s="1670">
        <f t="shared" si="8"/>
        <v>2649</v>
      </c>
      <c r="I65" s="1670">
        <f t="shared" si="8"/>
        <v>13509</v>
      </c>
      <c r="J65" s="1670">
        <f t="shared" si="8"/>
        <v>9903</v>
      </c>
      <c r="K65" s="1670">
        <f t="shared" si="8"/>
        <v>5911439</v>
      </c>
      <c r="L65" s="1670">
        <f t="shared" si="8"/>
        <v>6432263</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v>434730</v>
      </c>
      <c r="D69" s="466">
        <v>101321</v>
      </c>
      <c r="E69" s="466">
        <v>185274</v>
      </c>
      <c r="F69" s="466">
        <v>114842</v>
      </c>
      <c r="G69" s="466"/>
      <c r="H69" s="466"/>
      <c r="I69" s="467">
        <v>914093</v>
      </c>
      <c r="J69" s="467"/>
      <c r="K69" s="1672">
        <f>SUM(C69:J69)</f>
        <v>1750260</v>
      </c>
      <c r="L69" s="466">
        <v>1710592</v>
      </c>
      <c r="M69" s="609"/>
      <c r="N69" s="609"/>
    </row>
    <row r="70" spans="1:14" s="343" customFormat="1" x14ac:dyDescent="0.2">
      <c r="A70" s="1504" t="s">
        <v>402</v>
      </c>
      <c r="B70" s="614">
        <v>2640</v>
      </c>
      <c r="C70" s="466">
        <v>230875</v>
      </c>
      <c r="D70" s="466">
        <v>64761</v>
      </c>
      <c r="E70" s="466">
        <v>2333</v>
      </c>
      <c r="F70" s="466">
        <v>4371</v>
      </c>
      <c r="G70" s="466"/>
      <c r="H70" s="466"/>
      <c r="I70" s="467"/>
      <c r="J70" s="467">
        <v>5106</v>
      </c>
      <c r="K70" s="1672">
        <f>SUM(C70:J70)</f>
        <v>307446</v>
      </c>
      <c r="L70" s="466">
        <v>310020</v>
      </c>
      <c r="M70" s="609"/>
      <c r="N70" s="609"/>
    </row>
    <row r="71" spans="1:14" s="343" customFormat="1" x14ac:dyDescent="0.2">
      <c r="A71" s="1504" t="s">
        <v>403</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665605</v>
      </c>
      <c r="D72" s="1670">
        <f t="shared" ref="D72:K72" si="9">SUM(D67:D71)</f>
        <v>166082</v>
      </c>
      <c r="E72" s="1670">
        <f t="shared" si="9"/>
        <v>187607</v>
      </c>
      <c r="F72" s="1670">
        <f t="shared" si="9"/>
        <v>119213</v>
      </c>
      <c r="G72" s="1670">
        <f t="shared" si="9"/>
        <v>0</v>
      </c>
      <c r="H72" s="1670">
        <f t="shared" si="9"/>
        <v>0</v>
      </c>
      <c r="I72" s="1670">
        <f t="shared" si="9"/>
        <v>914093</v>
      </c>
      <c r="J72" s="1670">
        <f t="shared" si="9"/>
        <v>5106</v>
      </c>
      <c r="K72" s="1670">
        <f t="shared" si="9"/>
        <v>2057706</v>
      </c>
      <c r="L72" s="1670">
        <f>SUM(L67:L71)</f>
        <v>2020612</v>
      </c>
      <c r="M72" s="609"/>
      <c r="N72" s="609"/>
    </row>
    <row r="73" spans="1:14" s="343" customFormat="1" ht="14.25" thickTop="1" thickBot="1" x14ac:dyDescent="0.25">
      <c r="A73" s="1510" t="s">
        <v>979</v>
      </c>
      <c r="B73" s="632" t="s">
        <v>573</v>
      </c>
      <c r="C73" s="573"/>
      <c r="D73" s="573"/>
      <c r="E73" s="573">
        <v>13245</v>
      </c>
      <c r="F73" s="573">
        <v>1200</v>
      </c>
      <c r="G73" s="573"/>
      <c r="H73" s="573">
        <v>3021</v>
      </c>
      <c r="I73" s="531"/>
      <c r="J73" s="531"/>
      <c r="K73" s="1670">
        <f>SUM(C73:J73)</f>
        <v>17466</v>
      </c>
      <c r="L73" s="576">
        <v>31600</v>
      </c>
      <c r="M73" s="609"/>
      <c r="N73" s="609"/>
    </row>
    <row r="74" spans="1:14" ht="12.75" customHeight="1" thickTop="1" thickBot="1" x14ac:dyDescent="0.25">
      <c r="A74" s="1668" t="s">
        <v>810</v>
      </c>
      <c r="B74" s="1676">
        <v>2000</v>
      </c>
      <c r="C74" s="1677">
        <f>SUM(C42,C47,C53,C57,C65,C72,C73)</f>
        <v>10617696</v>
      </c>
      <c r="D74" s="1677">
        <f t="shared" ref="D74:K74" si="10">SUM(D42,D47,D53,D57,D65,D72,D73)</f>
        <v>2570204</v>
      </c>
      <c r="E74" s="1677">
        <f t="shared" si="10"/>
        <v>2086219</v>
      </c>
      <c r="F74" s="1677">
        <f t="shared" si="10"/>
        <v>470839</v>
      </c>
      <c r="G74" s="1677">
        <f t="shared" si="10"/>
        <v>81565</v>
      </c>
      <c r="H74" s="1677">
        <f t="shared" si="10"/>
        <v>7658</v>
      </c>
      <c r="I74" s="1677">
        <f t="shared" si="10"/>
        <v>982308</v>
      </c>
      <c r="J74" s="1677">
        <f t="shared" si="10"/>
        <v>15009</v>
      </c>
      <c r="K74" s="1677">
        <f t="shared" si="10"/>
        <v>16831498</v>
      </c>
      <c r="L74" s="1677">
        <f>SUM(L42,L47,L53,L57,L65,L72,L73)</f>
        <v>17698200</v>
      </c>
    </row>
    <row r="75" spans="1:14" s="259" customFormat="1" ht="15.75" customHeight="1" thickTop="1" thickBot="1" x14ac:dyDescent="0.25">
      <c r="A75" s="1610" t="s">
        <v>47</v>
      </c>
      <c r="B75" s="1611" t="s">
        <v>574</v>
      </c>
      <c r="C75" s="573">
        <v>752993</v>
      </c>
      <c r="D75" s="573">
        <v>60024</v>
      </c>
      <c r="E75" s="573">
        <v>64348</v>
      </c>
      <c r="F75" s="573">
        <v>17294</v>
      </c>
      <c r="G75" s="573"/>
      <c r="H75" s="573"/>
      <c r="I75" s="531"/>
      <c r="J75" s="531"/>
      <c r="K75" s="1670">
        <f>SUM(C75:J75)</f>
        <v>894659</v>
      </c>
      <c r="L75" s="576">
        <v>975410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v>81470</v>
      </c>
      <c r="F79" s="616"/>
      <c r="G79" s="616"/>
      <c r="H79" s="466"/>
      <c r="I79" s="477"/>
      <c r="J79" s="477"/>
      <c r="K79" s="1671">
        <f t="shared" si="11"/>
        <v>81470</v>
      </c>
      <c r="L79" s="466">
        <v>73500</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81470</v>
      </c>
      <c r="F84" s="616"/>
      <c r="G84" s="616"/>
      <c r="H84" s="1670">
        <f>SUM(H78:H83)</f>
        <v>0</v>
      </c>
      <c r="I84" s="477"/>
      <c r="J84" s="477"/>
      <c r="K84" s="1670">
        <f>SUM(K78:K83)</f>
        <v>81470</v>
      </c>
      <c r="L84" s="1670">
        <f>SUM(L78:L83)</f>
        <v>73500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81470</v>
      </c>
      <c r="F102" s="616"/>
      <c r="G102" s="616"/>
      <c r="H102" s="1677">
        <f>SUM(H84,H92,H100,H101)</f>
        <v>0</v>
      </c>
      <c r="I102" s="477"/>
      <c r="J102" s="477"/>
      <c r="K102" s="1677">
        <f>SUM(K84,K92,K100,K101)</f>
        <v>81470</v>
      </c>
      <c r="L102" s="1677">
        <f>SUM(L84,L92,L100,L101)</f>
        <v>73500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36944951</v>
      </c>
      <c r="D114" s="1670">
        <f t="shared" ref="D114:K114" si="13">SUM(D33,D74,D75,D102,D112,D113)</f>
        <v>8700286</v>
      </c>
      <c r="E114" s="1670">
        <f t="shared" si="13"/>
        <v>2721345</v>
      </c>
      <c r="F114" s="1670">
        <f t="shared" si="13"/>
        <v>2334764</v>
      </c>
      <c r="G114" s="1670">
        <f t="shared" si="13"/>
        <v>98926</v>
      </c>
      <c r="H114" s="1670">
        <f>SUM(H33,H74,H75,H102,H112,H113)</f>
        <v>1201799</v>
      </c>
      <c r="I114" s="1670">
        <f t="shared" si="13"/>
        <v>1131019</v>
      </c>
      <c r="J114" s="1670">
        <f t="shared" si="13"/>
        <v>85342</v>
      </c>
      <c r="K114" s="1670">
        <f t="shared" si="13"/>
        <v>53218432</v>
      </c>
      <c r="L114" s="1670">
        <f>SUM(L33,L74,L75,L102,L112,L113)</f>
        <v>55294683</v>
      </c>
    </row>
    <row r="115" spans="1:14" ht="13.5" thickTop="1" x14ac:dyDescent="0.2">
      <c r="A115" s="2173" t="s">
        <v>995</v>
      </c>
      <c r="B115" s="2174"/>
      <c r="C115" s="618"/>
      <c r="D115" s="618"/>
      <c r="E115" s="618"/>
      <c r="F115" s="618"/>
      <c r="G115" s="618"/>
      <c r="H115" s="618"/>
      <c r="I115" s="618"/>
      <c r="J115" s="618"/>
      <c r="K115" s="1684">
        <f>'Revenues 9-14'!C268-'Expenditures 15-22'!K114</f>
        <v>5238338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8" t="s">
        <v>295</v>
      </c>
      <c r="B117" s="2179"/>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777643</v>
      </c>
      <c r="D124" s="466">
        <v>153549</v>
      </c>
      <c r="E124" s="466">
        <v>998295</v>
      </c>
      <c r="F124" s="466">
        <v>2933938</v>
      </c>
      <c r="G124" s="466">
        <v>1206960</v>
      </c>
      <c r="H124" s="466"/>
      <c r="I124" s="467"/>
      <c r="J124" s="467">
        <v>7936</v>
      </c>
      <c r="K124" s="1670">
        <f>SUM(C124:J124)</f>
        <v>6078321</v>
      </c>
      <c r="L124" s="466">
        <v>7378930</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777643</v>
      </c>
      <c r="D127" s="1670">
        <f t="shared" ref="D127:L127" si="14">SUM(D122:D126)</f>
        <v>153549</v>
      </c>
      <c r="E127" s="1670">
        <f t="shared" si="14"/>
        <v>998295</v>
      </c>
      <c r="F127" s="1670">
        <f t="shared" si="14"/>
        <v>2933938</v>
      </c>
      <c r="G127" s="1670">
        <f t="shared" si="14"/>
        <v>1206960</v>
      </c>
      <c r="H127" s="1670">
        <f t="shared" si="14"/>
        <v>0</v>
      </c>
      <c r="I127" s="1670">
        <f t="shared" si="14"/>
        <v>0</v>
      </c>
      <c r="J127" s="1670">
        <f t="shared" si="14"/>
        <v>7936</v>
      </c>
      <c r="K127" s="1670">
        <f t="shared" si="14"/>
        <v>6078321</v>
      </c>
      <c r="L127" s="1670">
        <f t="shared" si="14"/>
        <v>7378930</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777643</v>
      </c>
      <c r="D129" s="1677">
        <f t="shared" ref="D129:L129" si="15">SUM(D120,D127,D128)</f>
        <v>153549</v>
      </c>
      <c r="E129" s="1677">
        <f t="shared" si="15"/>
        <v>998295</v>
      </c>
      <c r="F129" s="1677">
        <f t="shared" si="15"/>
        <v>2933938</v>
      </c>
      <c r="G129" s="1677">
        <f t="shared" si="15"/>
        <v>1206960</v>
      </c>
      <c r="H129" s="1677">
        <f t="shared" si="15"/>
        <v>0</v>
      </c>
      <c r="I129" s="1677">
        <f t="shared" si="15"/>
        <v>0</v>
      </c>
      <c r="J129" s="1677">
        <f t="shared" si="15"/>
        <v>7936</v>
      </c>
      <c r="K129" s="1677">
        <f t="shared" si="15"/>
        <v>6078321</v>
      </c>
      <c r="L129" s="1677">
        <f t="shared" si="15"/>
        <v>7378930</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90" t="s">
        <v>619</v>
      </c>
      <c r="B151" s="2170"/>
      <c r="C151" s="1670">
        <f>SUM(C129,C130,C139,C149,C150)</f>
        <v>777643</v>
      </c>
      <c r="D151" s="1670">
        <f t="shared" ref="D151:K151" si="16">SUM(D129,D130,D139,D149,D150)</f>
        <v>153549</v>
      </c>
      <c r="E151" s="1670">
        <f t="shared" si="16"/>
        <v>998295</v>
      </c>
      <c r="F151" s="1670">
        <f t="shared" si="16"/>
        <v>2933938</v>
      </c>
      <c r="G151" s="1670">
        <f t="shared" si="16"/>
        <v>1206960</v>
      </c>
      <c r="H151" s="1670">
        <f t="shared" si="16"/>
        <v>0</v>
      </c>
      <c r="I151" s="1670">
        <f t="shared" si="16"/>
        <v>0</v>
      </c>
      <c r="J151" s="1670">
        <f t="shared" si="16"/>
        <v>7936</v>
      </c>
      <c r="K151" s="1670">
        <f t="shared" si="16"/>
        <v>6078321</v>
      </c>
      <c r="L151" s="1670">
        <f>SUM(L129,L130,L139,L149,L150)</f>
        <v>7378930</v>
      </c>
    </row>
    <row r="152" spans="1:14" ht="12.75" customHeight="1" thickTop="1" x14ac:dyDescent="0.2">
      <c r="A152" s="2193" t="s">
        <v>1177</v>
      </c>
      <c r="B152" s="2194"/>
      <c r="C152" s="618"/>
      <c r="D152" s="618"/>
      <c r="E152" s="618"/>
      <c r="F152" s="618"/>
      <c r="G152" s="618"/>
      <c r="H152" s="618"/>
      <c r="I152" s="618"/>
      <c r="J152" s="616"/>
      <c r="K152" s="1684">
        <f>'Revenues 9-14'!D268-'Expenditures 15-22'!K151</f>
        <v>1134407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8" t="s">
        <v>620</v>
      </c>
      <c r="B154" s="218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2307590</v>
      </c>
      <c r="I169" s="616"/>
      <c r="J169" s="616"/>
      <c r="K169" s="1671">
        <f>SUM(C169:H169)</f>
        <v>2307590</v>
      </c>
      <c r="L169" s="656">
        <v>2307592</v>
      </c>
    </row>
    <row r="170" spans="1:14" ht="33.75" customHeight="1" x14ac:dyDescent="0.2">
      <c r="A170" s="669" t="s">
        <v>1669</v>
      </c>
      <c r="B170" s="671" t="s">
        <v>31</v>
      </c>
      <c r="C170" s="616"/>
      <c r="D170" s="616"/>
      <c r="E170" s="616"/>
      <c r="F170" s="616"/>
      <c r="G170" s="616"/>
      <c r="H170" s="569">
        <v>9466245</v>
      </c>
      <c r="I170" s="616"/>
      <c r="J170" s="616"/>
      <c r="K170" s="1671">
        <f>SUM(C170:J170)</f>
        <v>9466245</v>
      </c>
      <c r="L170" s="569">
        <v>9466246</v>
      </c>
    </row>
    <row r="171" spans="1:14" ht="15.75" customHeight="1" x14ac:dyDescent="0.2">
      <c r="A171" s="621" t="s">
        <v>765</v>
      </c>
      <c r="B171" s="672" t="s">
        <v>84</v>
      </c>
      <c r="C171" s="616"/>
      <c r="D171" s="616"/>
      <c r="E171" s="466"/>
      <c r="F171" s="616"/>
      <c r="G171" s="616"/>
      <c r="H171" s="569"/>
      <c r="I171" s="477"/>
      <c r="J171" s="616"/>
      <c r="K171" s="1671">
        <f>SUM(C171:J171)</f>
        <v>0</v>
      </c>
      <c r="L171" s="569"/>
    </row>
    <row r="172" spans="1:14" ht="12.75" customHeight="1" thickBot="1" x14ac:dyDescent="0.25">
      <c r="A172" s="1668" t="s">
        <v>637</v>
      </c>
      <c r="B172" s="1669" t="s">
        <v>491</v>
      </c>
      <c r="C172" s="616"/>
      <c r="D172" s="616"/>
      <c r="E172" s="1677">
        <f>SUM(E168,E169,E170,E171)</f>
        <v>0</v>
      </c>
      <c r="F172" s="616"/>
      <c r="G172" s="616"/>
      <c r="H172" s="1677">
        <f>SUM(H168,H169,H170,H171)</f>
        <v>11773835</v>
      </c>
      <c r="I172" s="638"/>
      <c r="J172" s="616"/>
      <c r="K172" s="1677">
        <f>SUM(K168,K169,K170,K171)</f>
        <v>11773835</v>
      </c>
      <c r="L172" s="1677">
        <f>SUM(L168,L169,L170,L171)</f>
        <v>11773838</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11773835</v>
      </c>
      <c r="I174" s="638"/>
      <c r="J174" s="616"/>
      <c r="K174" s="1677">
        <f>SUM(K160,K172,K173)</f>
        <v>11773835</v>
      </c>
      <c r="L174" s="1677">
        <f>SUM(L160,L172,L173)</f>
        <v>11773838</v>
      </c>
    </row>
    <row r="175" spans="1:14" ht="13.5" thickTop="1" x14ac:dyDescent="0.2">
      <c r="A175" s="2173" t="s">
        <v>995</v>
      </c>
      <c r="B175" s="2174"/>
      <c r="C175" s="616"/>
      <c r="D175" s="616"/>
      <c r="E175" s="616"/>
      <c r="F175" s="616"/>
      <c r="G175" s="616"/>
      <c r="H175" s="618"/>
      <c r="I175" s="616"/>
      <c r="J175" s="616"/>
      <c r="K175" s="1684">
        <f>'Revenues 9-14'!E268-'Expenditures 15-22'!K174</f>
        <v>-403180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36786</v>
      </c>
      <c r="D182" s="466">
        <v>15621</v>
      </c>
      <c r="E182" s="466">
        <v>4837165</v>
      </c>
      <c r="F182" s="466">
        <v>489995</v>
      </c>
      <c r="G182" s="466"/>
      <c r="H182" s="466"/>
      <c r="I182" s="467"/>
      <c r="J182" s="467"/>
      <c r="K182" s="1671">
        <f>SUM(C182:J182)</f>
        <v>5379567</v>
      </c>
      <c r="L182" s="466">
        <v>5493818</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36786</v>
      </c>
      <c r="D184" s="1677">
        <f t="shared" ref="D184:J184" si="17">SUM(D180,D182,D183)</f>
        <v>15621</v>
      </c>
      <c r="E184" s="1677">
        <f t="shared" si="17"/>
        <v>4837165</v>
      </c>
      <c r="F184" s="1677">
        <f t="shared" si="17"/>
        <v>489995</v>
      </c>
      <c r="G184" s="1677">
        <f t="shared" si="17"/>
        <v>0</v>
      </c>
      <c r="H184" s="1677">
        <f t="shared" si="17"/>
        <v>0</v>
      </c>
      <c r="I184" s="1677">
        <f t="shared" si="17"/>
        <v>0</v>
      </c>
      <c r="J184" s="1677">
        <f t="shared" si="17"/>
        <v>0</v>
      </c>
      <c r="K184" s="1677">
        <f>SUM(K180,K182,K183)</f>
        <v>5379567</v>
      </c>
      <c r="L184" s="1677">
        <f>SUM(L180, L182:L183)</f>
        <v>5493818</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1876</v>
      </c>
      <c r="I199" s="616"/>
      <c r="J199" s="616"/>
      <c r="K199" s="1671">
        <f>SUM(H199)</f>
        <v>1876</v>
      </c>
      <c r="L199" s="466">
        <v>2000</v>
      </c>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1876</v>
      </c>
      <c r="I204" s="616"/>
      <c r="J204" s="616"/>
      <c r="K204" s="1670">
        <f>SUM(K199:K203)</f>
        <v>1876</v>
      </c>
      <c r="L204" s="1670">
        <f>SUM(L199:L203)</f>
        <v>2000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1876</v>
      </c>
      <c r="I208" s="616"/>
      <c r="J208" s="616"/>
      <c r="K208" s="1677">
        <f>SUM(K204,K205,K206,K207)</f>
        <v>1876</v>
      </c>
      <c r="L208" s="1677">
        <f>SUM(L204,L205,L206,L207)</f>
        <v>2000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36786</v>
      </c>
      <c r="D210" s="1670">
        <f>SUM(D184,D185)</f>
        <v>15621</v>
      </c>
      <c r="E210" s="1670">
        <f>SUM(E184,E185,E196)</f>
        <v>4837165</v>
      </c>
      <c r="F210" s="1670">
        <f>SUM(F184,F185)</f>
        <v>489995</v>
      </c>
      <c r="G210" s="1670">
        <f>SUM(G184,G185)</f>
        <v>0</v>
      </c>
      <c r="H210" s="1670">
        <f>SUM(H184,H185,H196,H208,H209)</f>
        <v>1876</v>
      </c>
      <c r="I210" s="1670">
        <f>SUM(I184,I185)</f>
        <v>0</v>
      </c>
      <c r="J210" s="1670">
        <f>SUM(J184,J185)</f>
        <v>0</v>
      </c>
      <c r="K210" s="1671">
        <f>SUM(K184,K185,K196,K208,K209)</f>
        <v>5381443</v>
      </c>
      <c r="L210" s="1670">
        <f>SUM(L184,L185,L196,L208,L209)</f>
        <v>5495818</v>
      </c>
    </row>
    <row r="211" spans="1:14" ht="13.5" thickTop="1" x14ac:dyDescent="0.2">
      <c r="A211" s="2173" t="s">
        <v>995</v>
      </c>
      <c r="B211" s="2174"/>
      <c r="C211" s="618"/>
      <c r="D211" s="618"/>
      <c r="E211" s="618"/>
      <c r="F211" s="618"/>
      <c r="G211" s="618"/>
      <c r="H211" s="618"/>
      <c r="I211" s="616"/>
      <c r="J211" s="616"/>
      <c r="K211" s="1684">
        <f>'Revenues 9-14'!F268-'Expenditures 15-22'!K210</f>
        <v>1313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5" t="s">
        <v>964</v>
      </c>
      <c r="B213" s="2196"/>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253446</v>
      </c>
      <c r="E215" s="616"/>
      <c r="F215" s="616"/>
      <c r="G215" s="616"/>
      <c r="H215" s="616"/>
      <c r="I215" s="616"/>
      <c r="J215" s="616"/>
      <c r="K215" s="1671">
        <f>D215</f>
        <v>253446</v>
      </c>
      <c r="L215" s="466">
        <v>266040</v>
      </c>
    </row>
    <row r="216" spans="1:14" x14ac:dyDescent="0.2">
      <c r="A216" s="1504" t="s">
        <v>163</v>
      </c>
      <c r="B216" s="614" t="s">
        <v>966</v>
      </c>
      <c r="C216" s="616"/>
      <c r="D216" s="467">
        <v>24554</v>
      </c>
      <c r="E216" s="616"/>
      <c r="F216" s="616"/>
      <c r="G216" s="616"/>
      <c r="H216" s="616"/>
      <c r="I216" s="616"/>
      <c r="J216" s="616"/>
      <c r="K216" s="1671">
        <f t="shared" ref="K216:K228" si="19">D216</f>
        <v>24554</v>
      </c>
      <c r="L216" s="466">
        <v>27630</v>
      </c>
    </row>
    <row r="217" spans="1:14" x14ac:dyDescent="0.2">
      <c r="A217" s="1504" t="s">
        <v>164</v>
      </c>
      <c r="B217" s="614">
        <v>1200</v>
      </c>
      <c r="C217" s="616"/>
      <c r="D217" s="466">
        <v>226970</v>
      </c>
      <c r="E217" s="616"/>
      <c r="F217" s="616"/>
      <c r="G217" s="616"/>
      <c r="H217" s="616"/>
      <c r="I217" s="616"/>
      <c r="J217" s="616"/>
      <c r="K217" s="1671">
        <f t="shared" si="19"/>
        <v>226970</v>
      </c>
      <c r="L217" s="466">
        <v>266314</v>
      </c>
    </row>
    <row r="218" spans="1:14" x14ac:dyDescent="0.2">
      <c r="A218" s="1504" t="s">
        <v>277</v>
      </c>
      <c r="B218" s="614" t="s">
        <v>967</v>
      </c>
      <c r="C218" s="616"/>
      <c r="D218" s="467">
        <v>4916</v>
      </c>
      <c r="E218" s="616"/>
      <c r="F218" s="616"/>
      <c r="G218" s="616"/>
      <c r="H218" s="616"/>
      <c r="I218" s="616"/>
      <c r="J218" s="616"/>
      <c r="K218" s="1671">
        <f t="shared" si="19"/>
        <v>4916</v>
      </c>
      <c r="L218" s="466">
        <v>6970</v>
      </c>
    </row>
    <row r="219" spans="1:14" x14ac:dyDescent="0.2">
      <c r="A219" s="1504" t="s">
        <v>278</v>
      </c>
      <c r="B219" s="614">
        <v>1250</v>
      </c>
      <c r="C219" s="616"/>
      <c r="D219" s="466">
        <v>937</v>
      </c>
      <c r="E219" s="616"/>
      <c r="F219" s="616"/>
      <c r="G219" s="616"/>
      <c r="H219" s="616"/>
      <c r="I219" s="616"/>
      <c r="J219" s="616"/>
      <c r="K219" s="1671">
        <f t="shared" si="19"/>
        <v>937</v>
      </c>
      <c r="L219" s="466">
        <v>1025</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v>12608</v>
      </c>
      <c r="E222" s="616"/>
      <c r="F222" s="616"/>
      <c r="G222" s="616"/>
      <c r="H222" s="616"/>
      <c r="I222" s="616"/>
      <c r="J222" s="616"/>
      <c r="K222" s="1671">
        <f t="shared" si="19"/>
        <v>12608</v>
      </c>
      <c r="L222" s="466">
        <v>13425</v>
      </c>
    </row>
    <row r="223" spans="1:14" x14ac:dyDescent="0.2">
      <c r="A223" s="1504" t="s">
        <v>962</v>
      </c>
      <c r="B223" s="614">
        <v>1500</v>
      </c>
      <c r="C223" s="616"/>
      <c r="D223" s="466">
        <v>64380</v>
      </c>
      <c r="E223" s="616"/>
      <c r="F223" s="616"/>
      <c r="G223" s="616"/>
      <c r="H223" s="616"/>
      <c r="I223" s="616"/>
      <c r="J223" s="616"/>
      <c r="K223" s="1671">
        <f t="shared" si="19"/>
        <v>64380</v>
      </c>
      <c r="L223" s="466">
        <v>68975</v>
      </c>
    </row>
    <row r="224" spans="1:14" x14ac:dyDescent="0.2">
      <c r="A224" s="1504" t="s">
        <v>963</v>
      </c>
      <c r="B224" s="614">
        <v>1600</v>
      </c>
      <c r="C224" s="616"/>
      <c r="D224" s="466">
        <v>1148</v>
      </c>
      <c r="E224" s="616"/>
      <c r="F224" s="616"/>
      <c r="G224" s="616"/>
      <c r="H224" s="616"/>
      <c r="I224" s="616"/>
      <c r="J224" s="616"/>
      <c r="K224" s="1671">
        <f t="shared" si="19"/>
        <v>1148</v>
      </c>
      <c r="L224" s="466">
        <v>1125</v>
      </c>
    </row>
    <row r="225" spans="1:12" x14ac:dyDescent="0.2">
      <c r="A225" s="1504" t="s">
        <v>986</v>
      </c>
      <c r="B225" s="614">
        <v>1650</v>
      </c>
      <c r="C225" s="616"/>
      <c r="D225" s="466">
        <v>981</v>
      </c>
      <c r="E225" s="616"/>
      <c r="F225" s="616"/>
      <c r="G225" s="616"/>
      <c r="H225" s="616"/>
      <c r="I225" s="616"/>
      <c r="J225" s="616"/>
      <c r="K225" s="1671">
        <f t="shared" si="19"/>
        <v>981</v>
      </c>
      <c r="L225" s="466">
        <v>1000</v>
      </c>
    </row>
    <row r="226" spans="1:12" x14ac:dyDescent="0.2">
      <c r="A226" s="1504" t="s">
        <v>723</v>
      </c>
      <c r="B226" s="614" t="s">
        <v>162</v>
      </c>
      <c r="C226" s="616"/>
      <c r="D226" s="467">
        <v>2899</v>
      </c>
      <c r="E226" s="616"/>
      <c r="F226" s="616"/>
      <c r="G226" s="616"/>
      <c r="H226" s="616"/>
      <c r="I226" s="616"/>
      <c r="J226" s="616"/>
      <c r="K226" s="1671">
        <f t="shared" si="19"/>
        <v>2899</v>
      </c>
      <c r="L226" s="466">
        <v>3600</v>
      </c>
    </row>
    <row r="227" spans="1:12" x14ac:dyDescent="0.2">
      <c r="A227" s="1504" t="s">
        <v>1086</v>
      </c>
      <c r="B227" s="614">
        <v>1800</v>
      </c>
      <c r="C227" s="616"/>
      <c r="D227" s="466">
        <v>1264</v>
      </c>
      <c r="E227" s="616"/>
      <c r="F227" s="616"/>
      <c r="G227" s="616"/>
      <c r="H227" s="616"/>
      <c r="I227" s="616"/>
      <c r="J227" s="616"/>
      <c r="K227" s="1671">
        <f t="shared" si="19"/>
        <v>1264</v>
      </c>
      <c r="L227" s="466">
        <v>1600</v>
      </c>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594103</v>
      </c>
      <c r="E229" s="616"/>
      <c r="F229" s="616"/>
      <c r="G229" s="616"/>
      <c r="H229" s="616"/>
      <c r="I229" s="616"/>
      <c r="J229" s="616"/>
      <c r="K229" s="1670">
        <f>SUM(K215:K228)</f>
        <v>594103</v>
      </c>
      <c r="L229" s="1670">
        <f>SUM(L215:L228)</f>
        <v>657704</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19371</v>
      </c>
      <c r="E232" s="616"/>
      <c r="F232" s="616"/>
      <c r="G232" s="616"/>
      <c r="H232" s="616"/>
      <c r="I232" s="616"/>
      <c r="J232" s="616"/>
      <c r="K232" s="1671">
        <f t="shared" ref="K232:K237" si="20">D232</f>
        <v>19371</v>
      </c>
      <c r="L232" s="466">
        <v>20575</v>
      </c>
    </row>
    <row r="233" spans="1:12" x14ac:dyDescent="0.2">
      <c r="A233" s="1504" t="s">
        <v>1089</v>
      </c>
      <c r="B233" s="614">
        <v>2120</v>
      </c>
      <c r="C233" s="616"/>
      <c r="D233" s="466">
        <v>5442</v>
      </c>
      <c r="E233" s="616"/>
      <c r="F233" s="616"/>
      <c r="G233" s="616"/>
      <c r="H233" s="616"/>
      <c r="I233" s="616"/>
      <c r="J233" s="616"/>
      <c r="K233" s="1671">
        <f t="shared" si="20"/>
        <v>5442</v>
      </c>
      <c r="L233" s="466">
        <v>5700</v>
      </c>
    </row>
    <row r="234" spans="1:12" x14ac:dyDescent="0.2">
      <c r="A234" s="1504" t="s">
        <v>198</v>
      </c>
      <c r="B234" s="614">
        <v>2130</v>
      </c>
      <c r="C234" s="616"/>
      <c r="D234" s="466">
        <v>63997</v>
      </c>
      <c r="E234" s="616"/>
      <c r="F234" s="616"/>
      <c r="G234" s="616"/>
      <c r="H234" s="616"/>
      <c r="I234" s="616"/>
      <c r="J234" s="616"/>
      <c r="K234" s="1671">
        <f t="shared" si="20"/>
        <v>63997</v>
      </c>
      <c r="L234" s="466">
        <v>72664</v>
      </c>
    </row>
    <row r="235" spans="1:12" x14ac:dyDescent="0.2">
      <c r="A235" s="1504" t="s">
        <v>199</v>
      </c>
      <c r="B235" s="614">
        <v>2140</v>
      </c>
      <c r="C235" s="616"/>
      <c r="D235" s="466">
        <v>7904</v>
      </c>
      <c r="E235" s="616"/>
      <c r="F235" s="616"/>
      <c r="G235" s="616"/>
      <c r="H235" s="616"/>
      <c r="I235" s="616"/>
      <c r="J235" s="616"/>
      <c r="K235" s="1671">
        <f t="shared" si="20"/>
        <v>7904</v>
      </c>
      <c r="L235" s="466">
        <v>8664</v>
      </c>
    </row>
    <row r="236" spans="1:12" x14ac:dyDescent="0.2">
      <c r="A236" s="1504" t="s">
        <v>200</v>
      </c>
      <c r="B236" s="614">
        <v>2150</v>
      </c>
      <c r="C236" s="616"/>
      <c r="D236" s="466">
        <v>8384</v>
      </c>
      <c r="E236" s="616"/>
      <c r="F236" s="616"/>
      <c r="G236" s="616"/>
      <c r="H236" s="616"/>
      <c r="I236" s="616"/>
      <c r="J236" s="616"/>
      <c r="K236" s="1671">
        <f t="shared" si="20"/>
        <v>8384</v>
      </c>
      <c r="L236" s="466">
        <v>9240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559</v>
      </c>
      <c r="B238" s="1675" t="s">
        <v>715</v>
      </c>
      <c r="C238" s="616"/>
      <c r="D238" s="1670">
        <f>SUM(D232:D237)</f>
        <v>105098</v>
      </c>
      <c r="E238" s="616"/>
      <c r="F238" s="616"/>
      <c r="G238" s="616"/>
      <c r="H238" s="616"/>
      <c r="I238" s="616"/>
      <c r="J238" s="616"/>
      <c r="K238" s="1670">
        <f>SUM(K232:K237)</f>
        <v>105098</v>
      </c>
      <c r="L238" s="1670">
        <f>SUM(L232:L237)</f>
        <v>116843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13911</v>
      </c>
      <c r="E240" s="616"/>
      <c r="F240" s="616"/>
      <c r="G240" s="616"/>
      <c r="H240" s="616"/>
      <c r="I240" s="616"/>
      <c r="J240" s="616"/>
      <c r="K240" s="1672">
        <f>D240</f>
        <v>13911</v>
      </c>
      <c r="L240" s="481">
        <v>15680</v>
      </c>
    </row>
    <row r="241" spans="1:12" x14ac:dyDescent="0.2">
      <c r="A241" s="1504" t="s">
        <v>814</v>
      </c>
      <c r="B241" s="614">
        <v>2220</v>
      </c>
      <c r="C241" s="616"/>
      <c r="D241" s="466">
        <v>19568</v>
      </c>
      <c r="E241" s="616"/>
      <c r="F241" s="616"/>
      <c r="G241" s="616"/>
      <c r="H241" s="616"/>
      <c r="I241" s="616"/>
      <c r="J241" s="616"/>
      <c r="K241" s="1672">
        <f>D241</f>
        <v>19568</v>
      </c>
      <c r="L241" s="466">
        <v>21240</v>
      </c>
    </row>
    <row r="242" spans="1:12" x14ac:dyDescent="0.2">
      <c r="A242" s="1504" t="s">
        <v>815</v>
      </c>
      <c r="B242" s="614">
        <v>2230</v>
      </c>
      <c r="C242" s="616"/>
      <c r="D242" s="466">
        <v>242</v>
      </c>
      <c r="E242" s="616"/>
      <c r="F242" s="616"/>
      <c r="G242" s="616"/>
      <c r="H242" s="616"/>
      <c r="I242" s="616"/>
      <c r="J242" s="616"/>
      <c r="K242" s="1672">
        <f>D242</f>
        <v>242</v>
      </c>
      <c r="L242" s="466">
        <v>350</v>
      </c>
    </row>
    <row r="243" spans="1:12" ht="12.75" customHeight="1" thickBot="1" x14ac:dyDescent="0.25">
      <c r="A243" s="1694" t="s">
        <v>560</v>
      </c>
      <c r="B243" s="1695">
        <v>2200</v>
      </c>
      <c r="C243" s="616"/>
      <c r="D243" s="1670">
        <f>SUM(D240:D242)</f>
        <v>33721</v>
      </c>
      <c r="E243" s="616"/>
      <c r="F243" s="616"/>
      <c r="G243" s="616"/>
      <c r="H243" s="616"/>
      <c r="I243" s="616"/>
      <c r="J243" s="616"/>
      <c r="K243" s="1670">
        <f>SUM(K240:K242)</f>
        <v>33721</v>
      </c>
      <c r="L243" s="1670">
        <f>SUM(L240:L242)</f>
        <v>37270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c r="E245" s="616"/>
      <c r="F245" s="616"/>
      <c r="G245" s="616"/>
      <c r="H245" s="616"/>
      <c r="I245" s="616"/>
      <c r="J245" s="616"/>
      <c r="K245" s="1672">
        <f>D245</f>
        <v>0</v>
      </c>
      <c r="L245" s="481"/>
    </row>
    <row r="246" spans="1:12" x14ac:dyDescent="0.2">
      <c r="A246" s="1504" t="s">
        <v>817</v>
      </c>
      <c r="B246" s="614">
        <v>2320</v>
      </c>
      <c r="C246" s="616"/>
      <c r="D246" s="466">
        <v>20303</v>
      </c>
      <c r="E246" s="616"/>
      <c r="F246" s="616"/>
      <c r="G246" s="616"/>
      <c r="H246" s="616"/>
      <c r="I246" s="616"/>
      <c r="J246" s="616"/>
      <c r="K246" s="1672">
        <f t="shared" ref="K246:K256" si="21">D246</f>
        <v>20303</v>
      </c>
      <c r="L246" s="466">
        <v>21975</v>
      </c>
    </row>
    <row r="247" spans="1:12" x14ac:dyDescent="0.2">
      <c r="A247" s="1504" t="s">
        <v>818</v>
      </c>
      <c r="B247" s="614">
        <v>2330</v>
      </c>
      <c r="C247" s="616"/>
      <c r="D247" s="466">
        <v>23080</v>
      </c>
      <c r="E247" s="616"/>
      <c r="F247" s="616"/>
      <c r="G247" s="616"/>
      <c r="H247" s="616"/>
      <c r="I247" s="616"/>
      <c r="J247" s="616"/>
      <c r="K247" s="1672">
        <f t="shared" si="21"/>
        <v>23080</v>
      </c>
      <c r="L247" s="466">
        <v>25983</v>
      </c>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1801</v>
      </c>
      <c r="B249" s="683" t="s">
        <v>281</v>
      </c>
      <c r="C249" s="616"/>
      <c r="D249" s="474"/>
      <c r="E249" s="616"/>
      <c r="F249" s="616"/>
      <c r="G249" s="616"/>
      <c r="H249" s="616"/>
      <c r="I249" s="616"/>
      <c r="J249" s="616"/>
      <c r="K249" s="1672">
        <f t="shared" si="21"/>
        <v>0</v>
      </c>
      <c r="L249" s="466"/>
    </row>
    <row r="250" spans="1:12" x14ac:dyDescent="0.2">
      <c r="A250" s="1505" t="s">
        <v>1802</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v>95780</v>
      </c>
      <c r="E254" s="616"/>
      <c r="F254" s="616"/>
      <c r="G254" s="616"/>
      <c r="H254" s="616"/>
      <c r="I254" s="616"/>
      <c r="J254" s="616"/>
      <c r="K254" s="1672">
        <f t="shared" si="21"/>
        <v>95780</v>
      </c>
      <c r="L254" s="466">
        <v>117801</v>
      </c>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139163</v>
      </c>
      <c r="E257" s="616"/>
      <c r="F257" s="616"/>
      <c r="G257" s="616"/>
      <c r="H257" s="616"/>
      <c r="I257" s="616"/>
      <c r="J257" s="616"/>
      <c r="K257" s="1670">
        <f>SUM(K245:K256)</f>
        <v>139163</v>
      </c>
      <c r="L257" s="1670">
        <f>SUM(L245:L256)</f>
        <v>165759</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141995</v>
      </c>
      <c r="E259" s="616"/>
      <c r="F259" s="616"/>
      <c r="G259" s="616"/>
      <c r="H259" s="616"/>
      <c r="I259" s="616"/>
      <c r="J259" s="616"/>
      <c r="K259" s="1672">
        <f>D259</f>
        <v>141995</v>
      </c>
      <c r="L259" s="481">
        <v>148400</v>
      </c>
    </row>
    <row r="260" spans="1:14" s="597" customFormat="1" x14ac:dyDescent="0.2">
      <c r="A260" s="1522" t="s">
        <v>1800</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141995</v>
      </c>
      <c r="E261" s="616"/>
      <c r="F261" s="616"/>
      <c r="G261" s="616"/>
      <c r="H261" s="616"/>
      <c r="I261" s="616"/>
      <c r="J261" s="616"/>
      <c r="K261" s="1670">
        <f>SUM(K259:K260)</f>
        <v>141995</v>
      </c>
      <c r="L261" s="1670">
        <f>SUM(L259:L260)</f>
        <v>148400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21578</v>
      </c>
      <c r="E263" s="616"/>
      <c r="F263" s="616"/>
      <c r="G263" s="616"/>
      <c r="H263" s="616"/>
      <c r="I263" s="616"/>
      <c r="J263" s="616"/>
      <c r="K263" s="1672">
        <f>D263</f>
        <v>21578</v>
      </c>
      <c r="L263" s="481">
        <v>23495</v>
      </c>
    </row>
    <row r="264" spans="1:14" x14ac:dyDescent="0.2">
      <c r="A264" s="1504" t="s">
        <v>462</v>
      </c>
      <c r="B264" s="685">
        <v>2520</v>
      </c>
      <c r="C264" s="616"/>
      <c r="D264" s="466">
        <v>44487</v>
      </c>
      <c r="E264" s="616"/>
      <c r="F264" s="616"/>
      <c r="G264" s="616"/>
      <c r="H264" s="616"/>
      <c r="I264" s="616"/>
      <c r="J264" s="616"/>
      <c r="K264" s="1672">
        <f t="shared" ref="K264:K269" si="22">D264</f>
        <v>44487</v>
      </c>
      <c r="L264" s="466">
        <v>47170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416088</v>
      </c>
      <c r="E266" s="616"/>
      <c r="F266" s="616"/>
      <c r="G266" s="616"/>
      <c r="H266" s="616"/>
      <c r="I266" s="616"/>
      <c r="J266" s="616"/>
      <c r="K266" s="1672">
        <f t="shared" si="22"/>
        <v>416088</v>
      </c>
      <c r="L266" s="466">
        <v>429626</v>
      </c>
    </row>
    <row r="267" spans="1:14" x14ac:dyDescent="0.2">
      <c r="A267" s="1504" t="s">
        <v>952</v>
      </c>
      <c r="B267" s="614">
        <v>2550</v>
      </c>
      <c r="C267" s="616"/>
      <c r="D267" s="466">
        <v>5656</v>
      </c>
      <c r="E267" s="616"/>
      <c r="F267" s="616"/>
      <c r="G267" s="616"/>
      <c r="H267" s="616"/>
      <c r="I267" s="616"/>
      <c r="J267" s="616"/>
      <c r="K267" s="1672">
        <f t="shared" si="22"/>
        <v>5656</v>
      </c>
      <c r="L267" s="466">
        <v>5835</v>
      </c>
    </row>
    <row r="268" spans="1:14" x14ac:dyDescent="0.2">
      <c r="A268" s="1504" t="s">
        <v>100</v>
      </c>
      <c r="B268" s="614">
        <v>2560</v>
      </c>
      <c r="C268" s="616"/>
      <c r="D268" s="466">
        <v>146931</v>
      </c>
      <c r="E268" s="616"/>
      <c r="F268" s="616"/>
      <c r="G268" s="616"/>
      <c r="H268" s="616"/>
      <c r="I268" s="616"/>
      <c r="J268" s="616"/>
      <c r="K268" s="1672">
        <f t="shared" si="22"/>
        <v>146931</v>
      </c>
      <c r="L268" s="466">
        <v>164916</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634740</v>
      </c>
      <c r="E270" s="616"/>
      <c r="F270" s="616"/>
      <c r="G270" s="616"/>
      <c r="H270" s="616"/>
      <c r="I270" s="616"/>
      <c r="J270" s="616"/>
      <c r="K270" s="1670">
        <f>SUM(K263:K269)</f>
        <v>634740</v>
      </c>
      <c r="L270" s="1670">
        <f>SUM(L263:L269)</f>
        <v>671042</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v>67101</v>
      </c>
      <c r="E274" s="616"/>
      <c r="F274" s="616"/>
      <c r="G274" s="616"/>
      <c r="H274" s="616"/>
      <c r="I274" s="616"/>
      <c r="J274" s="616"/>
      <c r="K274" s="1672">
        <f>D274</f>
        <v>67101</v>
      </c>
      <c r="L274" s="466">
        <v>73025</v>
      </c>
    </row>
    <row r="275" spans="1:12" x14ac:dyDescent="0.2">
      <c r="A275" s="1504" t="s">
        <v>402</v>
      </c>
      <c r="B275" s="614">
        <v>2640</v>
      </c>
      <c r="C275" s="616"/>
      <c r="D275" s="466">
        <v>15127</v>
      </c>
      <c r="E275" s="616"/>
      <c r="F275" s="616"/>
      <c r="G275" s="616"/>
      <c r="H275" s="616"/>
      <c r="I275" s="616"/>
      <c r="J275" s="616"/>
      <c r="K275" s="1672">
        <f>D275</f>
        <v>15127</v>
      </c>
      <c r="L275" s="466">
        <v>16575</v>
      </c>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82228</v>
      </c>
      <c r="E277" s="616"/>
      <c r="F277" s="616"/>
      <c r="G277" s="616"/>
      <c r="H277" s="616"/>
      <c r="I277" s="616"/>
      <c r="J277" s="616"/>
      <c r="K277" s="1670">
        <f>SUM(K272:K276)</f>
        <v>82228</v>
      </c>
      <c r="L277" s="1670">
        <f>SUM(L272:L276)</f>
        <v>89600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1136945</v>
      </c>
      <c r="E279" s="616"/>
      <c r="F279" s="616"/>
      <c r="G279" s="616"/>
      <c r="H279" s="616"/>
      <c r="I279" s="616"/>
      <c r="J279" s="616"/>
      <c r="K279" s="1677">
        <f>SUM(K238,K243,K257,K261,K270,K277,K278)</f>
        <v>1136945</v>
      </c>
      <c r="L279" s="1677">
        <f>SUM(L238,L243,L257,L261,L270,L277,L278)</f>
        <v>1228914</v>
      </c>
    </row>
    <row r="280" spans="1:12" ht="15.75" customHeight="1" thickTop="1" thickBot="1" x14ac:dyDescent="0.25">
      <c r="A280" s="1624" t="s">
        <v>874</v>
      </c>
      <c r="B280" s="1613">
        <v>3000</v>
      </c>
      <c r="C280" s="616"/>
      <c r="D280" s="576">
        <v>112927</v>
      </c>
      <c r="E280" s="616"/>
      <c r="F280" s="616"/>
      <c r="G280" s="616"/>
      <c r="H280" s="616"/>
      <c r="I280" s="616"/>
      <c r="J280" s="616"/>
      <c r="K280" s="1679">
        <f>D280</f>
        <v>112927</v>
      </c>
      <c r="L280" s="576">
        <v>125775</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91" t="s">
        <v>504</v>
      </c>
      <c r="B295" s="2192"/>
      <c r="C295" s="616"/>
      <c r="D295" s="1670">
        <f>SUM(D229,D279,D280,D285)</f>
        <v>1843975</v>
      </c>
      <c r="E295" s="616"/>
      <c r="F295" s="616"/>
      <c r="G295" s="616"/>
      <c r="H295" s="1670">
        <f>H293</f>
        <v>0</v>
      </c>
      <c r="I295" s="616"/>
      <c r="J295" s="616"/>
      <c r="K295" s="1670">
        <f>SUM(K229,K279,K280,K285,K293,K294)</f>
        <v>1843975</v>
      </c>
      <c r="L295" s="1670">
        <f>SUM(L229,L279,L280,L285,L293,L294)</f>
        <v>2012393</v>
      </c>
    </row>
    <row r="296" spans="1:14" ht="13.5" thickTop="1" x14ac:dyDescent="0.2">
      <c r="A296" s="2173" t="s">
        <v>995</v>
      </c>
      <c r="B296" s="2174"/>
      <c r="C296" s="616"/>
      <c r="D296" s="618"/>
      <c r="E296" s="616"/>
      <c r="F296" s="616"/>
      <c r="G296" s="616"/>
      <c r="H296" s="687"/>
      <c r="I296" s="616"/>
      <c r="J296" s="616"/>
      <c r="K296" s="1684">
        <f>'Revenues 9-14'!G268-'Expenditures 15-22'!K295</f>
        <v>15654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3" t="s">
        <v>143</v>
      </c>
      <c r="B298" s="2177"/>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c r="H301" s="466">
        <v>50600</v>
      </c>
      <c r="I301" s="467"/>
      <c r="J301" s="467"/>
      <c r="K301" s="1671">
        <f>SUM(C301:J301)</f>
        <v>50600</v>
      </c>
      <c r="L301" s="467">
        <v>56000</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50600</v>
      </c>
      <c r="I303" s="1677">
        <f t="shared" si="23"/>
        <v>0</v>
      </c>
      <c r="J303" s="1677">
        <f t="shared" si="23"/>
        <v>0</v>
      </c>
      <c r="K303" s="1677">
        <f t="shared" si="23"/>
        <v>50600</v>
      </c>
      <c r="L303" s="1677">
        <f t="shared" si="23"/>
        <v>56000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88" t="s">
        <v>276</v>
      </c>
      <c r="B312" s="2189"/>
      <c r="C312" s="1670">
        <f>SUM(C303)</f>
        <v>0</v>
      </c>
      <c r="D312" s="1670">
        <f>SUM(D303)</f>
        <v>0</v>
      </c>
      <c r="E312" s="1670">
        <f>SUM(E303,E310)</f>
        <v>0</v>
      </c>
      <c r="F312" s="1670">
        <f>SUM(F303)</f>
        <v>0</v>
      </c>
      <c r="G312" s="1670">
        <f>SUM(G303)</f>
        <v>0</v>
      </c>
      <c r="H312" s="1670">
        <f>SUM(H303,H310)</f>
        <v>50600</v>
      </c>
      <c r="I312" s="1670">
        <f>SUM(I303)</f>
        <v>0</v>
      </c>
      <c r="J312" s="1670">
        <f>SUM(J303)</f>
        <v>0</v>
      </c>
      <c r="K312" s="1670">
        <f>SUM(K303,K310,K311)</f>
        <v>50600</v>
      </c>
      <c r="L312" s="1670">
        <f>SUM(L303,L310,L311)</f>
        <v>56000</v>
      </c>
      <c r="M312" s="665"/>
      <c r="N312" s="665"/>
    </row>
    <row r="313" spans="1:14" ht="13.5" thickTop="1" x14ac:dyDescent="0.2">
      <c r="A313" s="2184" t="s">
        <v>995</v>
      </c>
      <c r="B313" s="2185"/>
      <c r="C313" s="626"/>
      <c r="D313" s="626"/>
      <c r="E313" s="626"/>
      <c r="F313" s="626"/>
      <c r="G313" s="626"/>
      <c r="H313" s="626"/>
      <c r="I313" s="626"/>
      <c r="J313" s="626"/>
      <c r="K313" s="1685">
        <f>'Revenues 9-14'!H268-'Expenditures 15-22'!K312</f>
        <v>68068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7" t="s">
        <v>149</v>
      </c>
      <c r="B315" s="219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9" t="s">
        <v>897</v>
      </c>
      <c r="B317" s="2198"/>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1801</v>
      </c>
      <c r="B320" s="698" t="s">
        <v>281</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283</v>
      </c>
      <c r="C322" s="467"/>
      <c r="D322" s="467"/>
      <c r="E322" s="467">
        <v>927230</v>
      </c>
      <c r="F322" s="467"/>
      <c r="G322" s="467"/>
      <c r="H322" s="467"/>
      <c r="I322" s="467"/>
      <c r="J322" s="467"/>
      <c r="K322" s="1671">
        <f t="shared" si="24"/>
        <v>927230</v>
      </c>
      <c r="L322" s="467">
        <v>927237</v>
      </c>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v>686295</v>
      </c>
      <c r="D325" s="467">
        <v>30870</v>
      </c>
      <c r="E325" s="467">
        <v>396834</v>
      </c>
      <c r="F325" s="467">
        <v>41441</v>
      </c>
      <c r="G325" s="467"/>
      <c r="H325" s="467"/>
      <c r="I325" s="467">
        <v>9213</v>
      </c>
      <c r="J325" s="467">
        <v>2113</v>
      </c>
      <c r="K325" s="1671">
        <f t="shared" si="24"/>
        <v>1166766</v>
      </c>
      <c r="L325" s="467">
        <v>1308511</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c r="F327" s="467"/>
      <c r="G327" s="467"/>
      <c r="H327" s="467"/>
      <c r="I327" s="467"/>
      <c r="J327" s="467"/>
      <c r="K327" s="1671">
        <f t="shared" si="24"/>
        <v>0</v>
      </c>
      <c r="L327" s="467"/>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686295</v>
      </c>
      <c r="D330" s="1670">
        <f t="shared" ref="D330:J330" si="25">SUM(D319:D329)</f>
        <v>30870</v>
      </c>
      <c r="E330" s="1670">
        <f t="shared" si="25"/>
        <v>1324064</v>
      </c>
      <c r="F330" s="1670">
        <f t="shared" si="25"/>
        <v>41441</v>
      </c>
      <c r="G330" s="1670">
        <f t="shared" si="25"/>
        <v>0</v>
      </c>
      <c r="H330" s="1670">
        <f t="shared" si="25"/>
        <v>0</v>
      </c>
      <c r="I330" s="1670">
        <f t="shared" si="25"/>
        <v>9213</v>
      </c>
      <c r="J330" s="1670">
        <f t="shared" si="25"/>
        <v>2113</v>
      </c>
      <c r="K330" s="1670">
        <f>SUM(K319:K329)</f>
        <v>2093996</v>
      </c>
      <c r="L330" s="1670">
        <f>SUM(L319:L329)</f>
        <v>2235748</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686295</v>
      </c>
      <c r="D342" s="1670">
        <f>SUM(D330)</f>
        <v>30870</v>
      </c>
      <c r="E342" s="1670">
        <f>SUM(E330)</f>
        <v>1324064</v>
      </c>
      <c r="F342" s="1670">
        <f>SUM(F330)</f>
        <v>41441</v>
      </c>
      <c r="G342" s="1670">
        <f>SUM(G330)</f>
        <v>0</v>
      </c>
      <c r="H342" s="1670">
        <f>SUM(H330,H334,H340)</f>
        <v>0</v>
      </c>
      <c r="I342" s="1670">
        <f>SUM(I330)</f>
        <v>9213</v>
      </c>
      <c r="J342" s="1670">
        <f>SUM(J330)</f>
        <v>2113</v>
      </c>
      <c r="K342" s="1670">
        <f>SUM(K330,K334,K340)</f>
        <v>2093996</v>
      </c>
      <c r="L342" s="1677">
        <f>SUM(L330,L340,L341)</f>
        <v>2235748</v>
      </c>
    </row>
    <row r="343" spans="1:14" ht="12.75" customHeight="1" thickTop="1" x14ac:dyDescent="0.2">
      <c r="A343" s="2186" t="s">
        <v>995</v>
      </c>
      <c r="B343" s="2187"/>
      <c r="C343" s="616"/>
      <c r="D343" s="616"/>
      <c r="E343" s="616"/>
      <c r="F343" s="616"/>
      <c r="G343" s="616"/>
      <c r="H343" s="616"/>
      <c r="I343" s="616"/>
      <c r="J343" s="616"/>
      <c r="K343" s="1684">
        <f>'Revenues 9-14'!J268-'Expenditures 15-22'!K342</f>
        <v>139842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6" t="s">
        <v>965</v>
      </c>
      <c r="B345" s="2177"/>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523244</v>
      </c>
      <c r="H348" s="466"/>
      <c r="I348" s="467"/>
      <c r="J348" s="467"/>
      <c r="K348" s="1671">
        <f>SUM(C348:J348)</f>
        <v>523244</v>
      </c>
      <c r="L348" s="466">
        <v>890000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523244</v>
      </c>
      <c r="H350" s="1670">
        <f t="shared" si="26"/>
        <v>0</v>
      </c>
      <c r="I350" s="1670">
        <f t="shared" si="26"/>
        <v>0</v>
      </c>
      <c r="J350" s="1670">
        <f t="shared" si="26"/>
        <v>0</v>
      </c>
      <c r="K350" s="1670">
        <f t="shared" si="26"/>
        <v>523244</v>
      </c>
      <c r="L350" s="1670">
        <f t="shared" si="26"/>
        <v>890000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523244</v>
      </c>
      <c r="H352" s="1670">
        <f t="shared" si="27"/>
        <v>0</v>
      </c>
      <c r="I352" s="1670">
        <f t="shared" si="27"/>
        <v>0</v>
      </c>
      <c r="J352" s="1670">
        <f t="shared" si="27"/>
        <v>0</v>
      </c>
      <c r="K352" s="1670">
        <f t="shared" si="27"/>
        <v>523244</v>
      </c>
      <c r="L352" s="1670">
        <f t="shared" si="27"/>
        <v>890000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523244</v>
      </c>
      <c r="H367" s="1670">
        <f t="shared" si="28"/>
        <v>0</v>
      </c>
      <c r="I367" s="1670">
        <f t="shared" si="28"/>
        <v>0</v>
      </c>
      <c r="J367" s="1670">
        <f t="shared" si="28"/>
        <v>0</v>
      </c>
      <c r="K367" s="1670">
        <f t="shared" si="28"/>
        <v>523244</v>
      </c>
      <c r="L367" s="1670">
        <f t="shared" si="28"/>
        <v>890000</v>
      </c>
    </row>
    <row r="368" spans="1:14" ht="13.5" thickTop="1" x14ac:dyDescent="0.2">
      <c r="A368" s="2173" t="s">
        <v>995</v>
      </c>
      <c r="B368" s="2174"/>
      <c r="C368" s="654"/>
      <c r="D368" s="654"/>
      <c r="E368" s="626"/>
      <c r="F368" s="626"/>
      <c r="G368" s="626"/>
      <c r="H368" s="626"/>
      <c r="I368" s="626"/>
      <c r="J368" s="623"/>
      <c r="K368" s="1671">
        <f>'Revenues 9-14'!K268-'Expenditures 15-22'!K367</f>
        <v>178666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75" bottom="0.6" header="0.4"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24" sqref="D2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00" t="s">
        <v>1798</v>
      </c>
      <c r="B2" s="1528" t="s">
        <v>1947</v>
      </c>
      <c r="C2" s="714" t="s">
        <v>1948</v>
      </c>
      <c r="D2" s="714" t="s">
        <v>1949</v>
      </c>
      <c r="E2" s="714" t="s">
        <v>1950</v>
      </c>
      <c r="F2" s="714" t="s">
        <v>1951</v>
      </c>
    </row>
    <row r="3" spans="1:6" ht="12" customHeight="1" x14ac:dyDescent="0.2">
      <c r="A3" s="2201"/>
      <c r="B3" s="1525"/>
      <c r="C3" s="1526"/>
      <c r="D3" s="1527" t="s">
        <v>256</v>
      </c>
      <c r="E3" s="1526"/>
      <c r="F3" s="1527" t="s">
        <v>257</v>
      </c>
    </row>
    <row r="4" spans="1:6" ht="13.7" customHeight="1" x14ac:dyDescent="0.2">
      <c r="A4" s="715" t="s">
        <v>1154</v>
      </c>
      <c r="B4" s="1749">
        <f>'Revenues 9-14'!C5</f>
        <v>38244365</v>
      </c>
      <c r="C4" s="1524">
        <v>2033462</v>
      </c>
      <c r="D4" s="1752">
        <f>B4-C4</f>
        <v>36210903</v>
      </c>
      <c r="E4" s="1524">
        <v>39657301</v>
      </c>
      <c r="F4" s="1752">
        <f>E4-C4</f>
        <v>37623839</v>
      </c>
    </row>
    <row r="5" spans="1:6" ht="13.7" customHeight="1" x14ac:dyDescent="0.2">
      <c r="A5" s="715" t="s">
        <v>869</v>
      </c>
      <c r="B5" s="1750">
        <f>'Revenues 9-14'!D5</f>
        <v>6953503</v>
      </c>
      <c r="C5" s="585">
        <v>369722</v>
      </c>
      <c r="D5" s="1753">
        <f t="shared" ref="D5:D18" si="0">B5-C5</f>
        <v>6583781</v>
      </c>
      <c r="E5" s="585">
        <v>7210418</v>
      </c>
      <c r="F5" s="1753">
        <f>E5-C5</f>
        <v>6840696</v>
      </c>
    </row>
    <row r="6" spans="1:6" ht="13.7" customHeight="1" x14ac:dyDescent="0.2">
      <c r="A6" s="715" t="s">
        <v>410</v>
      </c>
      <c r="B6" s="1750">
        <f>'Revenues 9-14'!E5</f>
        <v>11356648</v>
      </c>
      <c r="C6" s="585">
        <v>618940</v>
      </c>
      <c r="D6" s="1753">
        <f t="shared" si="0"/>
        <v>10737708</v>
      </c>
      <c r="E6" s="585">
        <v>12070240</v>
      </c>
      <c r="F6" s="1753">
        <f t="shared" ref="F6:F18" si="1">E6-C6</f>
        <v>11451300</v>
      </c>
    </row>
    <row r="7" spans="1:6" ht="13.7" customHeight="1" x14ac:dyDescent="0.2">
      <c r="A7" s="715" t="s">
        <v>155</v>
      </c>
      <c r="B7" s="1750">
        <f>'Revenues 9-14'!F5</f>
        <v>2781414</v>
      </c>
      <c r="C7" s="585">
        <v>147888</v>
      </c>
      <c r="D7" s="1753">
        <f t="shared" si="0"/>
        <v>2633526</v>
      </c>
      <c r="E7" s="585">
        <v>2884167</v>
      </c>
      <c r="F7" s="1753">
        <f t="shared" si="1"/>
        <v>2736279</v>
      </c>
    </row>
    <row r="8" spans="1:6" ht="13.7" customHeight="1" x14ac:dyDescent="0.2">
      <c r="A8" s="715" t="s">
        <v>1178</v>
      </c>
      <c r="B8" s="1750">
        <f>'Revenues 9-14'!G5</f>
        <v>618846</v>
      </c>
      <c r="C8" s="585">
        <v>25438</v>
      </c>
      <c r="D8" s="1753">
        <f t="shared" si="0"/>
        <v>593408</v>
      </c>
      <c r="E8" s="585">
        <v>496077</v>
      </c>
      <c r="F8" s="1753">
        <f t="shared" si="1"/>
        <v>470639</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695370</v>
      </c>
      <c r="C10" s="585">
        <v>36971</v>
      </c>
      <c r="D10" s="1753">
        <f t="shared" si="0"/>
        <v>658399</v>
      </c>
      <c r="E10" s="585">
        <v>721042</v>
      </c>
      <c r="F10" s="1753">
        <f t="shared" si="1"/>
        <v>684071</v>
      </c>
    </row>
    <row r="11" spans="1:6" x14ac:dyDescent="0.2">
      <c r="A11" s="715" t="s">
        <v>408</v>
      </c>
      <c r="B11" s="1750">
        <f>'Revenues 9-14'!J5</f>
        <v>2226501</v>
      </c>
      <c r="C11" s="585">
        <v>101600</v>
      </c>
      <c r="D11" s="1753">
        <f t="shared" si="0"/>
        <v>2124901</v>
      </c>
      <c r="E11" s="585">
        <v>1981423</v>
      </c>
      <c r="F11" s="1753">
        <f t="shared" si="1"/>
        <v>1879823</v>
      </c>
    </row>
    <row r="12" spans="1:6" ht="13.7" customHeight="1" x14ac:dyDescent="0.2">
      <c r="A12" s="715" t="s">
        <v>157</v>
      </c>
      <c r="B12" s="1750">
        <f>'Revenues 9-14'!K5</f>
        <v>695370</v>
      </c>
      <c r="C12" s="585">
        <v>36971</v>
      </c>
      <c r="D12" s="1753">
        <f t="shared" si="0"/>
        <v>658399</v>
      </c>
      <c r="E12" s="585">
        <v>721042</v>
      </c>
      <c r="F12" s="1753">
        <f t="shared" si="1"/>
        <v>684071</v>
      </c>
    </row>
    <row r="13" spans="1:6" ht="13.7" customHeight="1" x14ac:dyDescent="0.2">
      <c r="A13" s="715" t="s">
        <v>935</v>
      </c>
      <c r="B13" s="1750">
        <f>SUM('Revenues 9-14'!C6:D6)</f>
        <v>0</v>
      </c>
      <c r="C13" s="585"/>
      <c r="D13" s="1753">
        <f t="shared" si="0"/>
        <v>0</v>
      </c>
      <c r="E13" s="585"/>
      <c r="F13" s="1753">
        <f t="shared" si="1"/>
        <v>0</v>
      </c>
    </row>
    <row r="14" spans="1:6" ht="13.7" customHeight="1" x14ac:dyDescent="0.2">
      <c r="A14" s="715" t="s">
        <v>409</v>
      </c>
      <c r="B14" s="1750">
        <f>SUM('Revenues 9-14'!C7:D7,'Revenues 9-14'!F7:H7)</f>
        <v>556283</v>
      </c>
      <c r="C14" s="585">
        <v>29576</v>
      </c>
      <c r="D14" s="1753">
        <f t="shared" si="0"/>
        <v>526707</v>
      </c>
      <c r="E14" s="585">
        <v>576833</v>
      </c>
      <c r="F14" s="1753">
        <f t="shared" si="1"/>
        <v>547257</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1109761</v>
      </c>
      <c r="C16" s="585">
        <v>56643</v>
      </c>
      <c r="D16" s="1753">
        <f t="shared" si="0"/>
        <v>1053118</v>
      </c>
      <c r="E16" s="585">
        <v>1104636</v>
      </c>
      <c r="F16" s="1753">
        <f t="shared" si="1"/>
        <v>1047993</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65238061</v>
      </c>
      <c r="C19" s="1751">
        <f>SUM(C4:C18)</f>
        <v>3457211</v>
      </c>
      <c r="D19" s="1751">
        <f>SUM(D4:D18)</f>
        <v>61780850</v>
      </c>
      <c r="E19" s="1751">
        <f>SUM(E4:E18)</f>
        <v>67423179</v>
      </c>
      <c r="F19" s="1751">
        <f>SUM(F4:F18)</f>
        <v>63965968</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 footer="0.4"/>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E25" colorId="8" zoomScale="110" zoomScaleNormal="110" workbookViewId="0">
      <selection activeCell="H38" sqref="H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628</v>
      </c>
      <c r="B1" s="2220"/>
      <c r="C1" s="721"/>
    </row>
    <row r="2" spans="1:7" ht="33.75" x14ac:dyDescent="0.2">
      <c r="A2" s="2227" t="s">
        <v>1798</v>
      </c>
      <c r="B2" s="2228"/>
      <c r="C2" s="1884" t="s">
        <v>1952</v>
      </c>
      <c r="D2" s="723" t="s">
        <v>1953</v>
      </c>
      <c r="E2" s="723" t="s">
        <v>1954</v>
      </c>
      <c r="F2" s="1884" t="s">
        <v>1955</v>
      </c>
    </row>
    <row r="3" spans="1:7" ht="15.75" customHeight="1" x14ac:dyDescent="0.2">
      <c r="A3" s="2229" t="s">
        <v>1113</v>
      </c>
      <c r="B3" s="2230"/>
      <c r="C3" s="2223"/>
      <c r="D3" s="2224"/>
      <c r="E3" s="2224"/>
      <c r="F3" s="2225"/>
    </row>
    <row r="4" spans="1:7" ht="12.75" customHeight="1" thickBot="1" x14ac:dyDescent="0.25">
      <c r="A4" s="2217" t="s">
        <v>629</v>
      </c>
      <c r="B4" s="2218"/>
      <c r="C4" s="581"/>
      <c r="D4" s="581"/>
      <c r="E4" s="581"/>
      <c r="F4" s="1755">
        <f>SUM(C4+D4)-E4</f>
        <v>0</v>
      </c>
    </row>
    <row r="5" spans="1:7" ht="15.75" customHeight="1" thickTop="1" x14ac:dyDescent="0.2">
      <c r="A5" s="2221" t="s">
        <v>1109</v>
      </c>
      <c r="B5" s="2216"/>
      <c r="C5" s="2210"/>
      <c r="D5" s="2211"/>
      <c r="E5" s="2211"/>
      <c r="F5" s="221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v>1000000</v>
      </c>
      <c r="D11" s="585">
        <v>0</v>
      </c>
      <c r="E11" s="726">
        <v>1000000</v>
      </c>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13" t="s">
        <v>630</v>
      </c>
      <c r="B15" s="2214"/>
      <c r="C15" s="1755">
        <f>SUM(C6:C14)</f>
        <v>1000000</v>
      </c>
      <c r="D15" s="1755">
        <f>SUM(D6:D14)</f>
        <v>0</v>
      </c>
      <c r="E15" s="1755">
        <f>SUM(E6:E14)</f>
        <v>1000000</v>
      </c>
      <c r="F15" s="1755">
        <f>SUM(F6:F14)</f>
        <v>0</v>
      </c>
      <c r="G15" s="552"/>
    </row>
    <row r="16" spans="1:7" s="202" customFormat="1" ht="15.75" customHeight="1" thickTop="1" x14ac:dyDescent="0.2">
      <c r="A16" s="2226" t="s">
        <v>1110</v>
      </c>
      <c r="B16" s="2216"/>
      <c r="C16" s="2210"/>
      <c r="D16" s="2211"/>
      <c r="E16" s="2211"/>
      <c r="F16" s="2212"/>
    </row>
    <row r="17" spans="1:11" ht="12.75" customHeight="1" thickBot="1" x14ac:dyDescent="0.25">
      <c r="A17" s="2208" t="s">
        <v>64</v>
      </c>
      <c r="B17" s="2209"/>
      <c r="C17" s="726"/>
      <c r="D17" s="585"/>
      <c r="E17" s="726"/>
      <c r="F17" s="1755">
        <f>SUM(C17+D17)-E17</f>
        <v>0</v>
      </c>
    </row>
    <row r="18" spans="1:11" ht="12.75" customHeight="1" thickTop="1" thickBot="1" x14ac:dyDescent="0.25">
      <c r="A18" s="2208" t="s">
        <v>6</v>
      </c>
      <c r="B18" s="2209"/>
      <c r="C18" s="726"/>
      <c r="D18" s="585"/>
      <c r="E18" s="726"/>
      <c r="F18" s="1755">
        <f>SUM(C18+D18)-E18</f>
        <v>0</v>
      </c>
    </row>
    <row r="19" spans="1:11" ht="12.75" customHeight="1" thickTop="1" thickBot="1" x14ac:dyDescent="0.25">
      <c r="A19" s="2208" t="s">
        <v>387</v>
      </c>
      <c r="B19" s="2209"/>
      <c r="C19" s="726"/>
      <c r="D19" s="585"/>
      <c r="E19" s="726"/>
      <c r="F19" s="1755">
        <f>SUM(C19+D19)-E19</f>
        <v>0</v>
      </c>
    </row>
    <row r="20" spans="1:11" ht="12.75" customHeight="1" thickTop="1" thickBot="1" x14ac:dyDescent="0.25">
      <c r="A20" s="2208" t="s">
        <v>447</v>
      </c>
      <c r="B20" s="2209"/>
      <c r="C20" s="726"/>
      <c r="D20" s="585"/>
      <c r="E20" s="726"/>
      <c r="F20" s="1755">
        <f>SUM(C20+D20)-E20</f>
        <v>0</v>
      </c>
    </row>
    <row r="21" spans="1:11" ht="14.25" thickTop="1" thickBot="1" x14ac:dyDescent="0.25">
      <c r="A21" s="2213" t="s">
        <v>631</v>
      </c>
      <c r="B21" s="2214"/>
      <c r="C21" s="1755">
        <f>SUM(C17:C20)</f>
        <v>0</v>
      </c>
      <c r="D21" s="1755">
        <f>SUM(D17:D20)</f>
        <v>0</v>
      </c>
      <c r="E21" s="1755">
        <f>SUM(E17:E20)</f>
        <v>0</v>
      </c>
      <c r="F21" s="1755">
        <f>SUM(F17:F20)</f>
        <v>0</v>
      </c>
      <c r="G21" s="552"/>
    </row>
    <row r="22" spans="1:11" ht="15.75" customHeight="1" thickTop="1" x14ac:dyDescent="0.2">
      <c r="A22" s="2215" t="s">
        <v>1111</v>
      </c>
      <c r="B22" s="2216"/>
      <c r="C22" s="2210"/>
      <c r="D22" s="2211"/>
      <c r="E22" s="2211"/>
      <c r="F22" s="2212"/>
    </row>
    <row r="23" spans="1:11" ht="13.5" thickBot="1" x14ac:dyDescent="0.25">
      <c r="A23" s="2217" t="s">
        <v>632</v>
      </c>
      <c r="B23" s="2218"/>
      <c r="C23" s="581"/>
      <c r="D23" s="581"/>
      <c r="E23" s="581"/>
      <c r="F23" s="1755">
        <f>SUM(C23+D23)-E23</f>
        <v>0</v>
      </c>
      <c r="G23" s="552"/>
    </row>
    <row r="24" spans="1:11" ht="15.75" customHeight="1" thickTop="1" x14ac:dyDescent="0.2">
      <c r="A24" s="2215" t="s">
        <v>1112</v>
      </c>
      <c r="B24" s="2216"/>
      <c r="C24" s="2210"/>
      <c r="D24" s="2211"/>
      <c r="E24" s="2211"/>
      <c r="F24" s="2212"/>
    </row>
    <row r="25" spans="1:11" ht="13.5" thickBot="1" x14ac:dyDescent="0.25">
      <c r="A25" s="2217" t="s">
        <v>633</v>
      </c>
      <c r="B25" s="2218"/>
      <c r="C25" s="581"/>
      <c r="D25" s="581"/>
      <c r="E25" s="581"/>
      <c r="F25" s="1755">
        <f>SUM(C25+D25)-E25</f>
        <v>0</v>
      </c>
      <c r="G25" s="552"/>
    </row>
    <row r="26" spans="1:11" ht="15.75" customHeight="1" thickTop="1" x14ac:dyDescent="0.2">
      <c r="A26" s="2221" t="s">
        <v>656</v>
      </c>
      <c r="B26" s="2216"/>
      <c r="C26" s="727"/>
      <c r="D26" s="727"/>
      <c r="E26" s="727"/>
      <c r="F26" s="728"/>
    </row>
    <row r="27" spans="1:11" ht="13.5" thickBot="1" x14ac:dyDescent="0.25">
      <c r="A27" s="2213" t="s">
        <v>1069</v>
      </c>
      <c r="B27" s="2214"/>
      <c r="C27" s="585"/>
      <c r="D27" s="585"/>
      <c r="E27" s="585"/>
      <c r="F27" s="1755">
        <f>SUM(C27+D27)-E27</f>
        <v>0</v>
      </c>
      <c r="G27" s="552"/>
    </row>
    <row r="28" spans="1:11" ht="7.5" customHeight="1" thickTop="1" x14ac:dyDescent="0.2">
      <c r="A28" s="593"/>
    </row>
    <row r="29" spans="1:11" ht="23.25" customHeight="1" x14ac:dyDescent="0.2">
      <c r="A29" s="2219" t="s">
        <v>581</v>
      </c>
      <c r="B29" s="2220"/>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2078</v>
      </c>
      <c r="B31" s="733">
        <v>39261</v>
      </c>
      <c r="C31" s="734">
        <v>57506900</v>
      </c>
      <c r="D31" s="735">
        <v>6</v>
      </c>
      <c r="E31" s="734">
        <v>36561900</v>
      </c>
      <c r="F31" s="734"/>
      <c r="G31" s="734"/>
      <c r="H31" s="734"/>
      <c r="I31" s="1756">
        <f>((E31+F31)-H31)+G31</f>
        <v>36561900</v>
      </c>
      <c r="J31" s="734">
        <v>36561205</v>
      </c>
      <c r="K31" s="736"/>
    </row>
    <row r="32" spans="1:11" ht="12" customHeight="1" x14ac:dyDescent="0.2">
      <c r="A32" s="732" t="s">
        <v>2079</v>
      </c>
      <c r="B32" s="733">
        <v>39261</v>
      </c>
      <c r="C32" s="734">
        <v>10045416</v>
      </c>
      <c r="D32" s="735">
        <v>4</v>
      </c>
      <c r="E32" s="734">
        <v>4895416</v>
      </c>
      <c r="F32" s="734"/>
      <c r="G32" s="734"/>
      <c r="H32" s="734"/>
      <c r="I32" s="1756">
        <f>((E32+F32)-H32)+G32</f>
        <v>4895416</v>
      </c>
      <c r="J32" s="734">
        <v>4895416</v>
      </c>
      <c r="K32" s="736"/>
    </row>
    <row r="33" spans="1:11" ht="12" customHeight="1" x14ac:dyDescent="0.2">
      <c r="A33" s="732" t="s">
        <v>2080</v>
      </c>
      <c r="B33" s="733">
        <v>41703</v>
      </c>
      <c r="C33" s="734">
        <v>5005000</v>
      </c>
      <c r="D33" s="735">
        <v>3</v>
      </c>
      <c r="E33" s="734">
        <v>5005000</v>
      </c>
      <c r="F33" s="734"/>
      <c r="G33" s="734"/>
      <c r="H33" s="734"/>
      <c r="I33" s="1756">
        <f t="shared" ref="I33:I48" si="1">((E33+F33)-H33)+G33</f>
        <v>5005000</v>
      </c>
      <c r="J33" s="734">
        <v>5005000</v>
      </c>
      <c r="K33" s="736"/>
    </row>
    <row r="34" spans="1:11" ht="12" customHeight="1" x14ac:dyDescent="0.2">
      <c r="A34" s="732" t="s">
        <v>2081</v>
      </c>
      <c r="B34" s="733">
        <v>41703</v>
      </c>
      <c r="C34" s="734">
        <v>9000000</v>
      </c>
      <c r="D34" s="735">
        <v>1</v>
      </c>
      <c r="E34" s="734">
        <v>7880000</v>
      </c>
      <c r="F34" s="734"/>
      <c r="G34" s="734"/>
      <c r="H34" s="734">
        <v>525000</v>
      </c>
      <c r="I34" s="1756">
        <f t="shared" si="1"/>
        <v>7355000</v>
      </c>
      <c r="J34" s="734">
        <v>7355000</v>
      </c>
      <c r="K34" s="737"/>
    </row>
    <row r="35" spans="1:11" ht="12" customHeight="1" x14ac:dyDescent="0.2">
      <c r="A35" s="732" t="s">
        <v>2082</v>
      </c>
      <c r="B35" s="733">
        <v>42320</v>
      </c>
      <c r="C35" s="738">
        <v>5930000</v>
      </c>
      <c r="D35" s="735">
        <v>3</v>
      </c>
      <c r="E35" s="738">
        <v>5930000</v>
      </c>
      <c r="F35" s="738"/>
      <c r="G35" s="738"/>
      <c r="H35" s="738"/>
      <c r="I35" s="1756">
        <f t="shared" si="1"/>
        <v>5930000</v>
      </c>
      <c r="J35" s="738">
        <v>5930000</v>
      </c>
      <c r="K35" s="737"/>
    </row>
    <row r="36" spans="1:11" ht="12" customHeight="1" x14ac:dyDescent="0.2">
      <c r="A36" s="732" t="s">
        <v>2083</v>
      </c>
      <c r="B36" s="733">
        <v>43054</v>
      </c>
      <c r="C36" s="734">
        <v>39520000</v>
      </c>
      <c r="D36" s="735">
        <v>3</v>
      </c>
      <c r="E36" s="734">
        <v>39520000</v>
      </c>
      <c r="F36" s="734"/>
      <c r="G36" s="734"/>
      <c r="H36" s="734">
        <v>8690000</v>
      </c>
      <c r="I36" s="1756">
        <f t="shared" si="1"/>
        <v>30830000</v>
      </c>
      <c r="J36" s="734">
        <v>30830000</v>
      </c>
      <c r="K36" s="739"/>
    </row>
    <row r="37" spans="1:11" ht="12" customHeight="1" x14ac:dyDescent="0.2">
      <c r="A37" s="732" t="s">
        <v>2084</v>
      </c>
      <c r="B37" s="733">
        <v>42153</v>
      </c>
      <c r="C37" s="467">
        <v>1500731</v>
      </c>
      <c r="D37" s="740">
        <v>7</v>
      </c>
      <c r="E37" s="467">
        <v>1067067</v>
      </c>
      <c r="F37" s="467"/>
      <c r="G37" s="467"/>
      <c r="H37" s="467">
        <v>139312</v>
      </c>
      <c r="I37" s="1756">
        <f t="shared" si="1"/>
        <v>927755</v>
      </c>
      <c r="J37" s="467">
        <v>927755</v>
      </c>
      <c r="K37" s="737"/>
    </row>
    <row r="38" spans="1:11" ht="12" customHeight="1" x14ac:dyDescent="0.2">
      <c r="A38" s="732" t="s">
        <v>2085</v>
      </c>
      <c r="B38" s="733">
        <v>43130</v>
      </c>
      <c r="C38" s="734">
        <v>594676</v>
      </c>
      <c r="D38" s="741">
        <v>8</v>
      </c>
      <c r="E38" s="742">
        <v>594676</v>
      </c>
      <c r="F38" s="742"/>
      <c r="G38" s="742"/>
      <c r="H38" s="742">
        <v>111933</v>
      </c>
      <c r="I38" s="1756">
        <f t="shared" si="1"/>
        <v>482743</v>
      </c>
      <c r="J38" s="743">
        <v>482743</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129102723</v>
      </c>
      <c r="D49" s="745"/>
      <c r="E49" s="1756">
        <f t="shared" ref="E49:J49" si="2">SUM(E31:E48)</f>
        <v>101454059</v>
      </c>
      <c r="F49" s="1756">
        <f t="shared" si="2"/>
        <v>0</v>
      </c>
      <c r="G49" s="1756">
        <f t="shared" si="2"/>
        <v>0</v>
      </c>
      <c r="H49" s="1756">
        <f t="shared" si="2"/>
        <v>9466245</v>
      </c>
      <c r="I49" s="1756">
        <f t="shared" si="2"/>
        <v>91987814</v>
      </c>
      <c r="J49" s="1756">
        <f t="shared" si="2"/>
        <v>91987119</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2" t="s">
        <v>583</v>
      </c>
      <c r="C52" s="2203"/>
      <c r="D52" s="2203"/>
      <c r="E52" s="749" t="s">
        <v>844</v>
      </c>
      <c r="F52" s="2204" t="s">
        <v>2086</v>
      </c>
      <c r="G52" s="2205"/>
      <c r="H52" s="736"/>
      <c r="I52" s="736"/>
      <c r="J52" s="746"/>
    </row>
    <row r="53" spans="1:11" ht="11.25" customHeight="1" x14ac:dyDescent="0.2">
      <c r="A53" s="750" t="s">
        <v>912</v>
      </c>
      <c r="B53" s="751" t="s">
        <v>950</v>
      </c>
      <c r="C53" s="746"/>
      <c r="D53" s="737"/>
      <c r="E53" s="749" t="s">
        <v>496</v>
      </c>
      <c r="F53" s="2206" t="s">
        <v>2087</v>
      </c>
      <c r="G53" s="2207"/>
      <c r="H53" s="736"/>
      <c r="I53" s="736"/>
      <c r="J53" s="746"/>
    </row>
    <row r="54" spans="1:11" ht="11.25" customHeight="1" x14ac:dyDescent="0.2">
      <c r="A54" s="752" t="s">
        <v>913</v>
      </c>
      <c r="B54" s="747" t="s">
        <v>951</v>
      </c>
      <c r="C54" s="746"/>
      <c r="D54" s="737"/>
      <c r="E54" s="749" t="s">
        <v>497</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6" bottom="0.5" header="0.4" footer="0.4"/>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G9" colorId="8" zoomScale="110" zoomScaleNormal="110" workbookViewId="0">
      <selection activeCell="O38" sqref="O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855</v>
      </c>
      <c r="B1" s="2232"/>
      <c r="C1" s="2232"/>
      <c r="D1" s="2232"/>
      <c r="E1" s="2232"/>
      <c r="F1" s="2232"/>
      <c r="G1" s="2233"/>
      <c r="H1" s="1530"/>
      <c r="I1" s="760"/>
      <c r="J1" s="433"/>
    </row>
    <row r="2" spans="1:11" ht="26.25" x14ac:dyDescent="0.2">
      <c r="A2" s="2250" t="s">
        <v>1676</v>
      </c>
      <c r="B2" s="2251"/>
      <c r="C2" s="2251"/>
      <c r="D2" s="2251"/>
      <c r="E2" s="2252"/>
      <c r="F2" s="761" t="s">
        <v>903</v>
      </c>
      <c r="G2" s="762" t="s">
        <v>1673</v>
      </c>
      <c r="H2" s="762" t="s">
        <v>409</v>
      </c>
      <c r="I2" s="762" t="s">
        <v>1157</v>
      </c>
      <c r="J2" s="762" t="s">
        <v>1808</v>
      </c>
      <c r="K2" s="762" t="s">
        <v>138</v>
      </c>
    </row>
    <row r="3" spans="1:11" x14ac:dyDescent="0.2">
      <c r="A3" s="2253" t="s">
        <v>1960</v>
      </c>
      <c r="B3" s="2254"/>
      <c r="C3" s="2254"/>
      <c r="D3" s="2254"/>
      <c r="E3" s="2255"/>
      <c r="F3" s="763"/>
      <c r="G3" s="764"/>
      <c r="H3" s="764"/>
      <c r="I3" s="764"/>
      <c r="J3" s="765"/>
      <c r="K3" s="765"/>
    </row>
    <row r="4" spans="1:11" x14ac:dyDescent="0.2">
      <c r="A4" s="2256" t="s">
        <v>368</v>
      </c>
      <c r="B4" s="2257"/>
      <c r="C4" s="2257"/>
      <c r="D4" s="2257"/>
      <c r="E4" s="2203"/>
      <c r="F4" s="766"/>
      <c r="G4" s="767"/>
      <c r="H4" s="768"/>
      <c r="I4" s="767"/>
      <c r="J4" s="769"/>
      <c r="K4" s="769"/>
    </row>
    <row r="5" spans="1:11" x14ac:dyDescent="0.2">
      <c r="A5" s="2234" t="s">
        <v>1068</v>
      </c>
      <c r="B5" s="2235"/>
      <c r="C5" s="2235"/>
      <c r="D5" s="2235"/>
      <c r="E5" s="2236"/>
      <c r="F5" s="770" t="s">
        <v>847</v>
      </c>
      <c r="G5" s="771"/>
      <c r="H5" s="764">
        <v>556283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116863</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34" t="s">
        <v>1809</v>
      </c>
      <c r="B10" s="2235"/>
      <c r="C10" s="2235"/>
      <c r="D10" s="2235"/>
      <c r="E10" s="2237"/>
      <c r="F10" s="783" t="s">
        <v>861</v>
      </c>
      <c r="G10" s="782"/>
      <c r="H10" s="784"/>
      <c r="I10" s="764"/>
      <c r="J10" s="765"/>
      <c r="K10" s="765"/>
    </row>
    <row r="11" spans="1:11" x14ac:dyDescent="0.2">
      <c r="A11" s="2234" t="s">
        <v>160</v>
      </c>
      <c r="B11" s="2235"/>
      <c r="C11" s="2235"/>
      <c r="D11" s="2235"/>
      <c r="E11" s="2236"/>
      <c r="F11" s="770" t="s">
        <v>851</v>
      </c>
      <c r="G11" s="771"/>
      <c r="H11" s="764"/>
      <c r="I11" s="764"/>
      <c r="J11" s="765"/>
      <c r="K11" s="773"/>
    </row>
    <row r="12" spans="1:11" ht="13.5" thickBot="1" x14ac:dyDescent="0.25">
      <c r="A12" s="2261" t="s">
        <v>904</v>
      </c>
      <c r="B12" s="2262"/>
      <c r="C12" s="2262"/>
      <c r="D12" s="2262"/>
      <c r="E12" s="2263"/>
      <c r="F12" s="1757"/>
      <c r="G12" s="1758">
        <f>SUM(G5:G11)</f>
        <v>0</v>
      </c>
      <c r="H12" s="1758">
        <f>SUM(H5:H11)</f>
        <v>556283</v>
      </c>
      <c r="I12" s="1758">
        <f>SUM(I5:I11)</f>
        <v>0</v>
      </c>
      <c r="J12" s="1758">
        <f>SUM(J5:J11)</f>
        <v>0</v>
      </c>
      <c r="K12" s="1758">
        <f>SUM(K5:K11)</f>
        <v>116863</v>
      </c>
    </row>
    <row r="13" spans="1:11" ht="13.5" thickTop="1" x14ac:dyDescent="0.2">
      <c r="A13" s="2258" t="s">
        <v>369</v>
      </c>
      <c r="B13" s="2259"/>
      <c r="C13" s="2259"/>
      <c r="D13" s="2259"/>
      <c r="E13" s="2260"/>
      <c r="F13" s="785"/>
      <c r="G13" s="786"/>
      <c r="H13" s="787"/>
      <c r="I13" s="788"/>
      <c r="J13" s="788"/>
      <c r="K13" s="788"/>
    </row>
    <row r="14" spans="1:11" x14ac:dyDescent="0.2">
      <c r="A14" s="2241" t="s">
        <v>455</v>
      </c>
      <c r="B14" s="2241"/>
      <c r="C14" s="2241"/>
      <c r="D14" s="2241"/>
      <c r="E14" s="2242"/>
      <c r="F14" s="789" t="s">
        <v>853</v>
      </c>
      <c r="G14" s="782"/>
      <c r="H14" s="764">
        <v>556283</v>
      </c>
      <c r="I14" s="771"/>
      <c r="J14" s="773"/>
      <c r="K14" s="765">
        <v>116863</v>
      </c>
    </row>
    <row r="15" spans="1:11" x14ac:dyDescent="0.2">
      <c r="A15" s="2235" t="s">
        <v>4</v>
      </c>
      <c r="B15" s="2235"/>
      <c r="C15" s="2235"/>
      <c r="D15" s="2235"/>
      <c r="E15" s="2236"/>
      <c r="F15" s="789" t="s">
        <v>854</v>
      </c>
      <c r="G15" s="771"/>
      <c r="H15" s="764"/>
      <c r="I15" s="764"/>
      <c r="J15" s="765"/>
      <c r="K15" s="765"/>
    </row>
    <row r="16" spans="1:11" x14ac:dyDescent="0.2">
      <c r="A16" s="2235" t="s">
        <v>297</v>
      </c>
      <c r="B16" s="2235"/>
      <c r="C16" s="2235"/>
      <c r="D16" s="2235"/>
      <c r="E16" s="2236"/>
      <c r="F16" s="789" t="s">
        <v>922</v>
      </c>
      <c r="G16" s="772"/>
      <c r="H16" s="767"/>
      <c r="I16" s="767"/>
      <c r="J16" s="769"/>
      <c r="K16" s="769"/>
    </row>
    <row r="17" spans="1:11" x14ac:dyDescent="0.2">
      <c r="A17" s="2266" t="s">
        <v>934</v>
      </c>
      <c r="B17" s="2266"/>
      <c r="C17" s="2266"/>
      <c r="D17" s="2266"/>
      <c r="E17" s="2267"/>
      <c r="F17" s="790"/>
      <c r="G17" s="791"/>
      <c r="H17" s="792"/>
      <c r="I17" s="792"/>
      <c r="J17" s="793"/>
      <c r="K17" s="794"/>
    </row>
    <row r="18" spans="1:11" x14ac:dyDescent="0.2">
      <c r="A18" s="2245" t="s">
        <v>367</v>
      </c>
      <c r="B18" s="2246"/>
      <c r="C18" s="2246"/>
      <c r="D18" s="2246"/>
      <c r="E18" s="2247"/>
      <c r="F18" s="789" t="s">
        <v>931</v>
      </c>
      <c r="G18" s="782"/>
      <c r="H18" s="782"/>
      <c r="I18" s="782"/>
      <c r="J18" s="765"/>
      <c r="K18" s="795"/>
    </row>
    <row r="19" spans="1:11" ht="21.75" customHeight="1" x14ac:dyDescent="0.2">
      <c r="A19" s="2243" t="s">
        <v>1805</v>
      </c>
      <c r="B19" s="2243"/>
      <c r="C19" s="2243"/>
      <c r="D19" s="2243"/>
      <c r="E19" s="2244"/>
      <c r="F19" s="789" t="s">
        <v>932</v>
      </c>
      <c r="G19" s="782"/>
      <c r="H19" s="782"/>
      <c r="I19" s="782"/>
      <c r="J19" s="765"/>
      <c r="K19" s="795"/>
    </row>
    <row r="20" spans="1:11" x14ac:dyDescent="0.2">
      <c r="A20" s="2245" t="s">
        <v>1810</v>
      </c>
      <c r="B20" s="2246"/>
      <c r="C20" s="2246"/>
      <c r="D20" s="2246"/>
      <c r="E20" s="2247"/>
      <c r="F20" s="789" t="s">
        <v>933</v>
      </c>
      <c r="G20" s="782"/>
      <c r="H20" s="782"/>
      <c r="I20" s="782"/>
      <c r="J20" s="765"/>
      <c r="K20" s="795"/>
    </row>
    <row r="21" spans="1:11" ht="13.5" thickBot="1" x14ac:dyDescent="0.25">
      <c r="A21" s="2264" t="s">
        <v>637</v>
      </c>
      <c r="B21" s="2264"/>
      <c r="C21" s="2264"/>
      <c r="D21" s="2264"/>
      <c r="E21" s="2264"/>
      <c r="F21" s="1759"/>
      <c r="G21" s="792"/>
      <c r="H21" s="796"/>
      <c r="I21" s="796"/>
      <c r="J21" s="1760">
        <f>SUM(J18:J20)</f>
        <v>0</v>
      </c>
      <c r="K21" s="793"/>
    </row>
    <row r="22" spans="1:11" ht="13.5" thickTop="1" x14ac:dyDescent="0.2">
      <c r="A22" s="2235" t="s">
        <v>1811</v>
      </c>
      <c r="B22" s="2235"/>
      <c r="C22" s="2235"/>
      <c r="D22" s="2235"/>
      <c r="E22" s="2236"/>
      <c r="F22" s="789" t="s">
        <v>861</v>
      </c>
      <c r="G22" s="782"/>
      <c r="H22" s="764"/>
      <c r="I22" s="764"/>
      <c r="J22" s="797"/>
      <c r="K22" s="765"/>
    </row>
    <row r="23" spans="1:11" ht="13.5" thickBot="1" x14ac:dyDescent="0.25">
      <c r="A23" s="2265" t="s">
        <v>905</v>
      </c>
      <c r="B23" s="2264"/>
      <c r="C23" s="2264"/>
      <c r="D23" s="2264"/>
      <c r="E23" s="2264"/>
      <c r="F23" s="1761"/>
      <c r="G23" s="1758">
        <f>SUM(G14:G16,G21,G22)</f>
        <v>0</v>
      </c>
      <c r="H23" s="1758">
        <f>SUM(H14:H16,H21,H22)</f>
        <v>556283</v>
      </c>
      <c r="I23" s="1758">
        <f>SUM(I14:I16,I21,I22)</f>
        <v>0</v>
      </c>
      <c r="J23" s="1758">
        <f>SUM(J14:J16,J21,J22)</f>
        <v>0</v>
      </c>
      <c r="K23" s="1758">
        <f>SUM(K14:K16,K21,K22)</f>
        <v>116863</v>
      </c>
    </row>
    <row r="24" spans="1:11" ht="14.25" thickTop="1" thickBot="1" x14ac:dyDescent="0.25">
      <c r="A24" s="2265" t="s">
        <v>1961</v>
      </c>
      <c r="B24" s="2264"/>
      <c r="C24" s="2264"/>
      <c r="D24" s="2264"/>
      <c r="E24" s="2264"/>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38"/>
      <c r="I31" s="2239"/>
      <c r="J31" s="2239"/>
      <c r="K31" s="2239"/>
    </row>
    <row r="32" spans="1:11" x14ac:dyDescent="0.2">
      <c r="A32" s="809"/>
      <c r="B32" s="237"/>
      <c r="C32" s="237"/>
      <c r="D32" s="237"/>
      <c r="E32" s="805"/>
      <c r="F32" s="811" t="s">
        <v>539</v>
      </c>
      <c r="G32" s="764"/>
      <c r="H32" s="2240"/>
      <c r="I32" s="2239"/>
      <c r="J32" s="2239"/>
      <c r="K32" s="2239"/>
    </row>
    <row r="33" spans="1:11" ht="1.5" customHeight="1" x14ac:dyDescent="0.2">
      <c r="A33" s="812" t="s">
        <v>1168</v>
      </c>
      <c r="B33" s="364"/>
      <c r="C33" s="364"/>
      <c r="D33" s="364"/>
      <c r="E33" s="364"/>
      <c r="F33" s="364"/>
      <c r="G33" s="813"/>
      <c r="H33" s="2240"/>
      <c r="I33" s="2239"/>
      <c r="J33" s="2239"/>
      <c r="K33" s="2239"/>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5" t="s">
        <v>540</v>
      </c>
      <c r="B41" s="2248"/>
      <c r="C41" s="2248"/>
      <c r="D41" s="2248"/>
      <c r="E41" s="2248"/>
      <c r="F41" s="2249"/>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7" bottom="0.6" header="0.4" footer="0.4"/>
  <pageSetup scale="78"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110" zoomScaleNormal="110" workbookViewId="0">
      <selection activeCell="D20" sqref="D2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1905</v>
      </c>
      <c r="B1" s="2271"/>
      <c r="C1" s="2272"/>
      <c r="D1" s="826"/>
      <c r="E1" s="827"/>
      <c r="F1" s="827"/>
      <c r="G1" s="828"/>
      <c r="H1" s="829"/>
      <c r="I1" s="830"/>
      <c r="J1" s="2268"/>
      <c r="K1" s="2269"/>
      <c r="L1" s="2269"/>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5706903</v>
      </c>
      <c r="D5" s="841"/>
      <c r="E5" s="841"/>
      <c r="F5" s="1760">
        <f>(C5+D5)-E5</f>
        <v>5706903</v>
      </c>
      <c r="G5" s="837"/>
      <c r="H5" s="842"/>
      <c r="I5" s="842"/>
      <c r="J5" s="842"/>
      <c r="K5" s="793"/>
      <c r="L5" s="1769">
        <f>F5-K5</f>
        <v>5706903</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142389367</v>
      </c>
      <c r="D8" s="844"/>
      <c r="E8" s="844">
        <v>148500</v>
      </c>
      <c r="F8" s="1760">
        <f>(C8+D8)-E8</f>
        <v>142240867</v>
      </c>
      <c r="G8" s="843">
        <v>50</v>
      </c>
      <c r="H8" s="765">
        <v>48820726</v>
      </c>
      <c r="I8" s="765">
        <v>2677778</v>
      </c>
      <c r="J8" s="765">
        <v>148500</v>
      </c>
      <c r="K8" s="1769">
        <f>(H8+I8)-J8</f>
        <v>51350004</v>
      </c>
      <c r="L8" s="1769">
        <f>F8-K8</f>
        <v>90890863</v>
      </c>
    </row>
    <row r="9" spans="1:14" ht="14.25" thickTop="1" thickBot="1" x14ac:dyDescent="0.25">
      <c r="A9" s="778" t="s">
        <v>1118</v>
      </c>
      <c r="B9" s="840">
        <v>232</v>
      </c>
      <c r="C9" s="765">
        <v>19387</v>
      </c>
      <c r="D9" s="765"/>
      <c r="E9" s="765"/>
      <c r="F9" s="1760">
        <f>(C9+D9)-E9</f>
        <v>19387</v>
      </c>
      <c r="G9" s="843">
        <v>20</v>
      </c>
      <c r="H9" s="765">
        <v>9165</v>
      </c>
      <c r="I9" s="765">
        <v>969</v>
      </c>
      <c r="J9" s="765"/>
      <c r="K9" s="1769">
        <f>(H9+I9)-J9</f>
        <v>10134</v>
      </c>
      <c r="L9" s="1769">
        <f>F9-K9</f>
        <v>9253</v>
      </c>
    </row>
    <row r="10" spans="1:14" ht="24" thickTop="1" thickBot="1" x14ac:dyDescent="0.25">
      <c r="A10" s="845" t="s">
        <v>1119</v>
      </c>
      <c r="B10" s="840">
        <v>240</v>
      </c>
      <c r="C10" s="846">
        <v>13460160</v>
      </c>
      <c r="D10" s="846"/>
      <c r="E10" s="846"/>
      <c r="F10" s="1764">
        <f>(C10+D10)-E10</f>
        <v>13460160</v>
      </c>
      <c r="G10" s="843">
        <v>20</v>
      </c>
      <c r="H10" s="847">
        <v>8871207</v>
      </c>
      <c r="I10" s="847">
        <v>617533</v>
      </c>
      <c r="J10" s="847"/>
      <c r="K10" s="1769">
        <f>(H10+I10)-J10</f>
        <v>9488740</v>
      </c>
      <c r="L10" s="1769">
        <f>F10-K10</f>
        <v>3971420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9777591</v>
      </c>
      <c r="D12" s="844">
        <v>184252</v>
      </c>
      <c r="E12" s="844">
        <v>1393985</v>
      </c>
      <c r="F12" s="1760">
        <f>(C12+D12)-E12</f>
        <v>8567858</v>
      </c>
      <c r="G12" s="843">
        <v>10</v>
      </c>
      <c r="H12" s="765">
        <v>8845903</v>
      </c>
      <c r="I12" s="765">
        <v>224443</v>
      </c>
      <c r="J12" s="765">
        <v>1393985</v>
      </c>
      <c r="K12" s="1769">
        <f>(H12+I12)-J12</f>
        <v>7676361</v>
      </c>
      <c r="L12" s="1769">
        <f>F12-K12</f>
        <v>891497</v>
      </c>
    </row>
    <row r="13" spans="1:14" ht="14.25" thickTop="1" thickBot="1" x14ac:dyDescent="0.25">
      <c r="A13" s="848" t="s">
        <v>1121</v>
      </c>
      <c r="B13" s="840">
        <v>252</v>
      </c>
      <c r="C13" s="844">
        <v>2308934</v>
      </c>
      <c r="D13" s="844">
        <v>66009</v>
      </c>
      <c r="E13" s="844"/>
      <c r="F13" s="1760">
        <f>(C13+D13)-E13</f>
        <v>2374943</v>
      </c>
      <c r="G13" s="843">
        <v>5</v>
      </c>
      <c r="H13" s="765">
        <v>1901916</v>
      </c>
      <c r="I13" s="765">
        <v>216014</v>
      </c>
      <c r="J13" s="765"/>
      <c r="K13" s="1769">
        <f>(H13+I13)-J13</f>
        <v>2117930</v>
      </c>
      <c r="L13" s="1769">
        <f>F13-K13</f>
        <v>257013</v>
      </c>
    </row>
    <row r="14" spans="1:14" ht="14.25" thickTop="1" thickBot="1" x14ac:dyDescent="0.25">
      <c r="A14" s="848" t="s">
        <v>1122</v>
      </c>
      <c r="B14" s="840">
        <v>253</v>
      </c>
      <c r="C14" s="765">
        <v>2962751</v>
      </c>
      <c r="D14" s="765">
        <v>1391</v>
      </c>
      <c r="E14" s="765">
        <v>8800</v>
      </c>
      <c r="F14" s="1760">
        <f>(C14+D14)-E14</f>
        <v>2955342</v>
      </c>
      <c r="G14" s="843">
        <v>3</v>
      </c>
      <c r="H14" s="765">
        <v>2892143</v>
      </c>
      <c r="I14" s="765">
        <v>46943</v>
      </c>
      <c r="J14" s="765">
        <v>8800</v>
      </c>
      <c r="K14" s="1769">
        <f>(H14+I14)-J14</f>
        <v>2930286</v>
      </c>
      <c r="L14" s="1769">
        <f>F14-K14</f>
        <v>25056</v>
      </c>
    </row>
    <row r="15" spans="1:14" ht="15" customHeight="1" thickTop="1" thickBot="1" x14ac:dyDescent="0.25">
      <c r="A15" s="1631" t="s">
        <v>527</v>
      </c>
      <c r="B15" s="1630">
        <v>260</v>
      </c>
      <c r="C15" s="844"/>
      <c r="D15" s="844">
        <v>379857</v>
      </c>
      <c r="E15" s="844"/>
      <c r="F15" s="1760">
        <f>(C15+D15)-E15</f>
        <v>379857</v>
      </c>
      <c r="G15" s="849" t="s">
        <v>861</v>
      </c>
      <c r="H15" s="781"/>
      <c r="I15" s="781"/>
      <c r="J15" s="781"/>
      <c r="K15" s="781"/>
      <c r="L15" s="1769">
        <f>F15-K15</f>
        <v>379857</v>
      </c>
    </row>
    <row r="16" spans="1:14" ht="15" customHeight="1" thickTop="1" thickBot="1" x14ac:dyDescent="0.25">
      <c r="A16" s="1765" t="s">
        <v>642</v>
      </c>
      <c r="B16" s="1766">
        <v>200</v>
      </c>
      <c r="C16" s="1760">
        <f>SUM(C3,C5:C6,C8:C10,C12:C15)</f>
        <v>176625093</v>
      </c>
      <c r="D16" s="1760">
        <f>SUM(D3,D5:D6,D8:D10,D12:D15)</f>
        <v>631509</v>
      </c>
      <c r="E16" s="1760">
        <f>SUM(E3,E5:E6,E8:E10,E12:E15)</f>
        <v>1551285</v>
      </c>
      <c r="F16" s="1760">
        <f>SUM(F3,F5:F6,F8:F10,F12:F15)</f>
        <v>175705317</v>
      </c>
      <c r="G16" s="843"/>
      <c r="H16" s="1760">
        <f>SUM(H3,H6,H8:H10,H12:H14,)</f>
        <v>71341060</v>
      </c>
      <c r="I16" s="1760">
        <f>SUM(I3,I6,I8:I10,I12:I14,)</f>
        <v>3783680</v>
      </c>
      <c r="J16" s="1760">
        <f>SUM(J3,J6,J8:J10,J12:J14,)</f>
        <v>1551285</v>
      </c>
      <c r="K16" s="1760">
        <f>(H16+I16)-J16</f>
        <v>73573455</v>
      </c>
      <c r="L16" s="1760">
        <f>F16-K16</f>
        <v>102131862</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1140232</v>
      </c>
      <c r="G17" s="837">
        <v>10</v>
      </c>
      <c r="H17" s="769"/>
      <c r="I17" s="1769">
        <f>F17/G17</f>
        <v>114023.2</v>
      </c>
      <c r="J17" s="769"/>
      <c r="K17" s="795"/>
      <c r="L17" s="795"/>
    </row>
    <row r="18" spans="1:12" ht="14.25" thickTop="1" thickBot="1" x14ac:dyDescent="0.25">
      <c r="A18" s="1767" t="s">
        <v>684</v>
      </c>
      <c r="B18" s="1768"/>
      <c r="C18" s="771"/>
      <c r="D18" s="771"/>
      <c r="E18" s="771"/>
      <c r="F18" s="850"/>
      <c r="G18" s="851"/>
      <c r="H18" s="773"/>
      <c r="I18" s="1760">
        <f>SUM(I16,I17)</f>
        <v>3897703.2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4"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topLeftCell="B1" colorId="8" zoomScale="110" zoomScaleNormal="110" workbookViewId="0">
      <pane ySplit="5" topLeftCell="A129"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1971</v>
      </c>
      <c r="B1" s="2277"/>
      <c r="C1" s="2277"/>
      <c r="D1" s="2277"/>
      <c r="E1" s="2277"/>
      <c r="F1" s="2278"/>
      <c r="G1" s="855"/>
    </row>
    <row r="2" spans="1:7" ht="15" customHeight="1" thickBot="1" x14ac:dyDescent="0.25">
      <c r="A2" s="2279" t="s">
        <v>476</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2"/>
      <c r="B5" s="2283"/>
      <c r="C5" s="2283"/>
      <c r="D5" s="2283"/>
      <c r="E5" s="2283"/>
      <c r="F5" s="2283"/>
    </row>
    <row r="6" spans="1:7" ht="13.5" customHeight="1" thickBot="1" x14ac:dyDescent="0.25">
      <c r="A6" s="2273" t="s">
        <v>1103</v>
      </c>
      <c r="B6" s="2274"/>
      <c r="C6" s="2274"/>
      <c r="D6" s="2274"/>
      <c r="E6" s="2274"/>
      <c r="F6" s="2275"/>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53218432</v>
      </c>
      <c r="G8" s="865"/>
    </row>
    <row r="9" spans="1:7" x14ac:dyDescent="0.2">
      <c r="A9" s="869" t="s">
        <v>459</v>
      </c>
      <c r="B9" s="870" t="s">
        <v>1873</v>
      </c>
      <c r="C9" s="871"/>
      <c r="D9" s="869" t="s">
        <v>500</v>
      </c>
      <c r="E9" s="868"/>
      <c r="F9" s="1909">
        <f>'Expenditures 15-22'!K151</f>
        <v>6078321</v>
      </c>
      <c r="G9" s="872"/>
    </row>
    <row r="10" spans="1:7" x14ac:dyDescent="0.2">
      <c r="A10" s="869" t="s">
        <v>498</v>
      </c>
      <c r="B10" s="870" t="s">
        <v>1874</v>
      </c>
      <c r="C10" s="871"/>
      <c r="D10" s="869" t="s">
        <v>500</v>
      </c>
      <c r="E10" s="868"/>
      <c r="F10" s="1909">
        <f>'Expenditures 15-22'!K174</f>
        <v>11773835</v>
      </c>
      <c r="G10" s="872"/>
    </row>
    <row r="11" spans="1:7" x14ac:dyDescent="0.2">
      <c r="A11" s="869" t="s">
        <v>460</v>
      </c>
      <c r="B11" s="870" t="s">
        <v>1875</v>
      </c>
      <c r="C11" s="871"/>
      <c r="D11" s="869" t="s">
        <v>500</v>
      </c>
      <c r="E11" s="868"/>
      <c r="F11" s="1909">
        <f>'Expenditures 15-22'!K210</f>
        <v>5381443</v>
      </c>
      <c r="G11" s="872"/>
    </row>
    <row r="12" spans="1:7" x14ac:dyDescent="0.2">
      <c r="A12" s="869" t="s">
        <v>461</v>
      </c>
      <c r="B12" s="870" t="s">
        <v>1876</v>
      </c>
      <c r="C12" s="871"/>
      <c r="D12" s="869" t="s">
        <v>500</v>
      </c>
      <c r="E12" s="868"/>
      <c r="F12" s="1909">
        <f>'Expenditures 15-22'!K295</f>
        <v>1843975</v>
      </c>
      <c r="G12" s="872"/>
    </row>
    <row r="13" spans="1:7" x14ac:dyDescent="0.2">
      <c r="A13" s="869" t="s">
        <v>106</v>
      </c>
      <c r="B13" s="870" t="s">
        <v>1877</v>
      </c>
      <c r="C13" s="871"/>
      <c r="D13" s="869" t="s">
        <v>500</v>
      </c>
      <c r="E13" s="868"/>
      <c r="F13" s="1909">
        <f>'Expenditures 15-22'!K342</f>
        <v>2093996</v>
      </c>
      <c r="G13" s="873"/>
    </row>
    <row r="14" spans="1:7" ht="12" customHeight="1" thickBot="1" x14ac:dyDescent="0.25">
      <c r="A14" s="1770"/>
      <c r="B14" s="1771"/>
      <c r="C14" s="1772"/>
      <c r="D14" s="1773" t="s">
        <v>500</v>
      </c>
      <c r="E14" s="1774" t="s">
        <v>957</v>
      </c>
      <c r="F14" s="1775">
        <f>SUM(F8:F13)</f>
        <v>80390002</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510881</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133015</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88963</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11200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833680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47529</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266890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894659</v>
      </c>
      <c r="G52" s="865"/>
    </row>
    <row r="53" spans="1:7" x14ac:dyDescent="0.2">
      <c r="A53" s="869" t="s">
        <v>458</v>
      </c>
      <c r="B53" s="869" t="s">
        <v>1474</v>
      </c>
      <c r="C53" s="889">
        <f>'Expenditures 15-22'!B102</f>
        <v>4000</v>
      </c>
      <c r="D53" s="888" t="str">
        <f>'Expenditures 15-22'!A102</f>
        <v>Total Payments to Other Govt Units</v>
      </c>
      <c r="E53" s="868"/>
      <c r="F53" s="1913">
        <f>'Expenditures 15-22'!K102</f>
        <v>81470</v>
      </c>
      <c r="G53" s="865"/>
    </row>
    <row r="54" spans="1:7" x14ac:dyDescent="0.2">
      <c r="A54" s="869" t="s">
        <v>458</v>
      </c>
      <c r="B54" s="869" t="s">
        <v>1475</v>
      </c>
      <c r="C54" s="889" t="s">
        <v>981</v>
      </c>
      <c r="D54" s="885" t="s">
        <v>1094</v>
      </c>
      <c r="E54" s="868"/>
      <c r="F54" s="1913">
        <f>'Expenditures 15-22'!G114</f>
        <v>98926</v>
      </c>
      <c r="G54" s="865"/>
    </row>
    <row r="55" spans="1:7" x14ac:dyDescent="0.2">
      <c r="A55" s="869" t="s">
        <v>458</v>
      </c>
      <c r="B55" s="869" t="s">
        <v>1476</v>
      </c>
      <c r="C55" s="889" t="s">
        <v>981</v>
      </c>
      <c r="D55" s="885" t="s">
        <v>290</v>
      </c>
      <c r="E55" s="868"/>
      <c r="F55" s="1913">
        <f>'Expenditures 15-22'!I114</f>
        <v>1131019</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1206960</v>
      </c>
      <c r="G58" s="865"/>
    </row>
    <row r="59" spans="1:7" x14ac:dyDescent="0.2">
      <c r="A59" s="893" t="s">
        <v>459</v>
      </c>
      <c r="B59" s="856" t="s">
        <v>1880</v>
      </c>
      <c r="C59" s="894" t="s">
        <v>981</v>
      </c>
      <c r="D59" s="856" t="s">
        <v>290</v>
      </c>
      <c r="F59" s="1916">
        <f>'Expenditures 15-22'!I151</f>
        <v>0</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9466245</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24554</v>
      </c>
      <c r="G67" s="865"/>
    </row>
    <row r="68" spans="1:8" x14ac:dyDescent="0.2">
      <c r="A68" s="869" t="s">
        <v>461</v>
      </c>
      <c r="B68" s="869" t="s">
        <v>1478</v>
      </c>
      <c r="C68" s="886" t="str">
        <f>'Expenditures 15-22'!B218</f>
        <v>1225</v>
      </c>
      <c r="D68" s="892" t="str">
        <f>'Expenditures 15-22'!A218</f>
        <v>Special Education Programs - Pre-K</v>
      </c>
      <c r="E68" s="868"/>
      <c r="F68" s="1913">
        <f>'Expenditures 15-22'!K218</f>
        <v>4916</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1148</v>
      </c>
      <c r="G71" s="865"/>
    </row>
    <row r="72" spans="1:8" x14ac:dyDescent="0.2">
      <c r="A72" s="869" t="s">
        <v>461</v>
      </c>
      <c r="B72" s="869" t="s">
        <v>1892</v>
      </c>
      <c r="C72" s="886">
        <f>'Expenditures 15-22'!B280</f>
        <v>3000</v>
      </c>
      <c r="D72" s="876" t="s">
        <v>448</v>
      </c>
      <c r="E72" s="868"/>
      <c r="F72" s="1913">
        <f>'Expenditures 15-22'!K280</f>
        <v>112927</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14914982</v>
      </c>
      <c r="G76" s="865"/>
    </row>
    <row r="77" spans="1:8" s="893" customFormat="1" ht="12" customHeight="1" thickTop="1" thickBot="1" x14ac:dyDescent="0.25">
      <c r="A77" s="1779"/>
      <c r="B77" s="1776"/>
      <c r="C77" s="1772"/>
      <c r="D77" s="1777" t="s">
        <v>1896</v>
      </c>
      <c r="E77" s="1774"/>
      <c r="F77" s="1780">
        <f>(F14-F76)</f>
        <v>65475020</v>
      </c>
      <c r="G77" s="869"/>
    </row>
    <row r="78" spans="1:8" s="893" customFormat="1" ht="12" customHeight="1" thickTop="1" x14ac:dyDescent="0.2">
      <c r="A78" s="1781"/>
      <c r="B78" s="1776"/>
      <c r="C78" s="1772"/>
      <c r="D78" s="1777" t="s">
        <v>2058</v>
      </c>
      <c r="E78" s="1774"/>
      <c r="F78" s="898">
        <v>7061.3</v>
      </c>
      <c r="G78" s="899"/>
      <c r="H78" s="869"/>
    </row>
    <row r="79" spans="1:8" s="893" customFormat="1" ht="12" customHeight="1" thickBot="1" x14ac:dyDescent="0.25">
      <c r="A79" s="1782"/>
      <c r="B79" s="1776"/>
      <c r="C79" s="1772"/>
      <c r="D79" s="1777" t="s">
        <v>1897</v>
      </c>
      <c r="E79" s="1774" t="s">
        <v>957</v>
      </c>
      <c r="F79" s="1783">
        <f>IF(F78&gt;0,F77/F78," Complete Line 78")</f>
        <v>9272.3747751830397</v>
      </c>
      <c r="G79" s="869"/>
    </row>
    <row r="80" spans="1:8" s="893" customFormat="1" ht="8.25" customHeight="1" thickTop="1" x14ac:dyDescent="0.2">
      <c r="A80" s="900"/>
      <c r="B80" s="869"/>
      <c r="C80" s="871"/>
      <c r="D80" s="901"/>
      <c r="E80" s="868"/>
      <c r="F80" s="902"/>
      <c r="G80" s="869"/>
    </row>
    <row r="81" spans="1:7" s="893" customFormat="1" ht="12" thickBot="1" x14ac:dyDescent="0.25">
      <c r="A81" s="2273" t="s">
        <v>1104</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1588162</v>
      </c>
      <c r="G94" s="912"/>
    </row>
    <row r="95" spans="1:7" x14ac:dyDescent="0.2">
      <c r="A95" s="908" t="s">
        <v>140</v>
      </c>
      <c r="B95" s="908" t="s">
        <v>175</v>
      </c>
      <c r="C95" s="910">
        <v>1700</v>
      </c>
      <c r="D95" s="918" t="str">
        <f>'Revenues 9-14'!A82</f>
        <v>Total District/School Activity Income</v>
      </c>
      <c r="E95" s="906"/>
      <c r="F95" s="1789">
        <f>SUM('Revenues 9-14'!C82,'Revenues 9-14'!D82)</f>
        <v>617062</v>
      </c>
      <c r="G95" s="912"/>
    </row>
    <row r="96" spans="1:7" x14ac:dyDescent="0.2">
      <c r="A96" s="908" t="s">
        <v>458</v>
      </c>
      <c r="B96" s="908" t="s">
        <v>176</v>
      </c>
      <c r="C96" s="910">
        <f>'Revenues 9-14'!B84</f>
        <v>1811</v>
      </c>
      <c r="D96" s="911" t="str">
        <f>'Revenues 9-14'!A84</f>
        <v>Rentals - Regular Textbooks</v>
      </c>
      <c r="E96" s="906"/>
      <c r="F96" s="1789">
        <f>'Revenues 9-14'!C84</f>
        <v>533181</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157984</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1557063</v>
      </c>
      <c r="G104" s="912"/>
    </row>
    <row r="105" spans="1:7" x14ac:dyDescent="0.2">
      <c r="A105" s="908" t="s">
        <v>502</v>
      </c>
      <c r="B105" s="908" t="s">
        <v>1999</v>
      </c>
      <c r="C105" s="913">
        <v>3100</v>
      </c>
      <c r="D105" s="919" t="str">
        <f>'Revenues 9-14'!A132</f>
        <v>Total Special Education</v>
      </c>
      <c r="E105" s="906"/>
      <c r="F105" s="1789">
        <f>SUM('Revenues 9-14'!C132:D132,'Revenues 9-14'!F132)</f>
        <v>510140</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73586</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11282</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106594</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2566273</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358776</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836915</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468231</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40462</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1466007</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3780</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34952</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1750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162396</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75515</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254261</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2101624</v>
      </c>
      <c r="G171" s="927"/>
    </row>
    <row r="172" spans="1:7" x14ac:dyDescent="0.2">
      <c r="A172" s="1918" t="s">
        <v>663</v>
      </c>
      <c r="B172" s="1919" t="s">
        <v>1916</v>
      </c>
      <c r="C172" s="1920">
        <v>3300</v>
      </c>
      <c r="D172" s="1921" t="s">
        <v>1919</v>
      </c>
      <c r="E172" s="906"/>
      <c r="F172" s="1906">
        <v>14268</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13540264</v>
      </c>
    </row>
    <row r="175" spans="1:7" ht="12" customHeight="1" x14ac:dyDescent="0.2">
      <c r="A175" s="1770"/>
      <c r="B175" s="1784"/>
      <c r="C175" s="1785"/>
      <c r="D175" s="1786" t="s">
        <v>2053</v>
      </c>
      <c r="E175" s="1787"/>
      <c r="F175" s="1789">
        <f>'PCTC-OEPP 27-28'!F77-F174</f>
        <v>51934756</v>
      </c>
    </row>
    <row r="176" spans="1:7" ht="12" customHeight="1" x14ac:dyDescent="0.2">
      <c r="A176" s="1770"/>
      <c r="B176" s="1784"/>
      <c r="C176" s="1785"/>
      <c r="D176" s="1786" t="s">
        <v>1813</v>
      </c>
      <c r="E176" s="1787"/>
      <c r="F176" s="1789">
        <f>'Cap Outlay Deprec 26'!I18</f>
        <v>3897703.2</v>
      </c>
    </row>
    <row r="177" spans="1:7" ht="12" customHeight="1" x14ac:dyDescent="0.2">
      <c r="A177" s="1770"/>
      <c r="B177" s="1784"/>
      <c r="C177" s="1785"/>
      <c r="D177" s="1786" t="s">
        <v>2054</v>
      </c>
      <c r="E177" s="1787"/>
      <c r="F177" s="1789">
        <f>F175+F176</f>
        <v>55832459.200000003</v>
      </c>
    </row>
    <row r="178" spans="1:7" ht="12" customHeight="1" x14ac:dyDescent="0.2">
      <c r="A178" s="1770"/>
      <c r="B178" s="1790"/>
      <c r="C178" s="1785"/>
      <c r="D178" s="1786" t="str">
        <f>D78</f>
        <v>9 Month ADA from District Average Daily Attendance/Prior General State Aid Inquiry 2018-2019</v>
      </c>
      <c r="E178" s="1787"/>
      <c r="F178" s="1791">
        <f>'PCTC-OEPP 27-28'!F78</f>
        <v>7061.3</v>
      </c>
      <c r="G178" s="930"/>
    </row>
    <row r="179" spans="1:7" ht="12" customHeight="1" thickBot="1" x14ac:dyDescent="0.25">
      <c r="A179" s="1770"/>
      <c r="B179" s="1790"/>
      <c r="C179" s="1785"/>
      <c r="D179" s="1786" t="s">
        <v>2055</v>
      </c>
      <c r="E179" s="1787" t="s">
        <v>1544</v>
      </c>
      <c r="F179" s="1792">
        <f>F177/F178</f>
        <v>7906.8244091031402</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 right="0.25"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6" zoomScaleNormal="100" workbookViewId="0">
      <selection activeCell="D26" sqref="D26"/>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87" t="s">
        <v>1814</v>
      </c>
      <c r="B4" s="2288"/>
      <c r="C4" s="2288"/>
      <c r="D4" s="2288"/>
      <c r="E4" s="2288"/>
      <c r="F4" s="2288"/>
      <c r="G4" s="2289"/>
    </row>
    <row r="5" spans="1:7" x14ac:dyDescent="0.25">
      <c r="A5" s="2290"/>
      <c r="B5" s="2291"/>
      <c r="C5" s="2291"/>
      <c r="D5" s="2291"/>
      <c r="E5" s="2291"/>
      <c r="F5" s="2291"/>
      <c r="G5" s="2292"/>
    </row>
    <row r="6" spans="1:7" ht="18.75" x14ac:dyDescent="0.25">
      <c r="A6" s="1534" t="s">
        <v>1815</v>
      </c>
      <c r="B6" s="1535"/>
      <c r="C6" s="1535"/>
      <c r="D6" s="1535"/>
      <c r="E6" s="1535"/>
      <c r="F6" s="1535"/>
      <c r="G6" s="1536"/>
    </row>
    <row r="7" spans="1:7" ht="30.75" customHeight="1" x14ac:dyDescent="0.25">
      <c r="A7" s="2293" t="s">
        <v>1928</v>
      </c>
      <c r="B7" s="2294"/>
      <c r="C7" s="2294"/>
      <c r="D7" s="2294"/>
      <c r="E7" s="2294"/>
      <c r="F7" s="2294"/>
      <c r="G7" s="2295"/>
    </row>
    <row r="8" spans="1:7" ht="15.75" customHeight="1" x14ac:dyDescent="0.25">
      <c r="A8" s="2296" t="s">
        <v>1903</v>
      </c>
      <c r="B8" s="2297"/>
      <c r="C8" s="2297"/>
      <c r="D8" s="2297"/>
      <c r="E8" s="2297"/>
      <c r="F8" s="2297"/>
      <c r="G8" s="2298"/>
    </row>
    <row r="9" spans="1:7" ht="35.25" customHeight="1" x14ac:dyDescent="0.25">
      <c r="A9" s="2293" t="s">
        <v>1931</v>
      </c>
      <c r="B9" s="2294"/>
      <c r="C9" s="2294"/>
      <c r="D9" s="2294"/>
      <c r="E9" s="2294"/>
      <c r="F9" s="2294"/>
      <c r="G9" s="2295"/>
    </row>
    <row r="10" spans="1:7" ht="15" customHeight="1" x14ac:dyDescent="0.25">
      <c r="A10" s="1537" t="s">
        <v>1816</v>
      </c>
      <c r="B10" s="1538"/>
      <c r="C10" s="1538"/>
      <c r="D10" s="1538"/>
      <c r="E10" s="1538"/>
      <c r="F10" s="1538"/>
      <c r="G10" s="1539"/>
    </row>
    <row r="11" spans="1:7" ht="17.25" customHeight="1" x14ac:dyDescent="0.25">
      <c r="A11" s="2293" t="s">
        <v>1930</v>
      </c>
      <c r="B11" s="2294"/>
      <c r="C11" s="2294"/>
      <c r="D11" s="2294"/>
      <c r="E11" s="2294"/>
      <c r="F11" s="2294"/>
      <c r="G11" s="2295"/>
    </row>
    <row r="12" spans="1:7" ht="15" customHeight="1" x14ac:dyDescent="0.25">
      <c r="A12" s="1537" t="s">
        <v>1821</v>
      </c>
      <c r="B12" s="1538"/>
      <c r="C12" s="1538"/>
      <c r="D12" s="1538"/>
      <c r="E12" s="1538"/>
      <c r="F12" s="1538"/>
      <c r="G12" s="1539"/>
    </row>
    <row r="13" spans="1:7" ht="32.25" customHeight="1" x14ac:dyDescent="0.25">
      <c r="A13" s="2284" t="s">
        <v>1972</v>
      </c>
      <c r="B13" s="2285"/>
      <c r="C13" s="2285"/>
      <c r="D13" s="2285"/>
      <c r="E13" s="2285"/>
      <c r="F13" s="2285"/>
      <c r="G13" s="2286"/>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2089</v>
      </c>
      <c r="B17" s="1934" t="s">
        <v>2088</v>
      </c>
      <c r="C17" s="1938" t="s">
        <v>2090</v>
      </c>
      <c r="D17" s="1844">
        <v>25308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308</v>
      </c>
      <c r="H17" s="1647"/>
    </row>
    <row r="18" spans="1:8" x14ac:dyDescent="0.25">
      <c r="A18" s="1937" t="s">
        <v>2089</v>
      </c>
      <c r="B18" s="1934" t="s">
        <v>2088</v>
      </c>
      <c r="C18" s="1938" t="s">
        <v>2091</v>
      </c>
      <c r="D18" s="1844">
        <v>112676</v>
      </c>
      <c r="E18" s="1540">
        <f t="shared" ref="E18:E140" si="2">IF(D18&lt;=25000,D18,IF(D18&gt;25000,25000,0))</f>
        <v>25000</v>
      </c>
      <c r="F18" s="1932">
        <f t="shared" si="1"/>
        <v>25000</v>
      </c>
      <c r="G18" s="1793">
        <f t="shared" ref="G18:G140" si="3">IF(F18=0,0,D18-F18)</f>
        <v>87676</v>
      </c>
    </row>
    <row r="19" spans="1:8" x14ac:dyDescent="0.25">
      <c r="A19" s="1937" t="s">
        <v>2089</v>
      </c>
      <c r="B19" s="1934" t="s">
        <v>2088</v>
      </c>
      <c r="C19" s="1938" t="s">
        <v>2092</v>
      </c>
      <c r="D19" s="1844">
        <v>894498</v>
      </c>
      <c r="E19" s="1540">
        <f t="shared" si="2"/>
        <v>25000</v>
      </c>
      <c r="F19" s="1932">
        <f t="shared" si="1"/>
        <v>25000</v>
      </c>
      <c r="G19" s="1793">
        <f t="shared" si="3"/>
        <v>869498</v>
      </c>
    </row>
    <row r="20" spans="1:8" x14ac:dyDescent="0.25">
      <c r="A20" s="1937" t="s">
        <v>2089</v>
      </c>
      <c r="B20" s="1934" t="s">
        <v>2088</v>
      </c>
      <c r="C20" s="1938" t="s">
        <v>2093</v>
      </c>
      <c r="D20" s="1844">
        <v>195295</v>
      </c>
      <c r="E20" s="1540">
        <f t="shared" si="2"/>
        <v>25000</v>
      </c>
      <c r="F20" s="1932">
        <f t="shared" si="1"/>
        <v>25000</v>
      </c>
      <c r="G20" s="1793">
        <f t="shared" si="3"/>
        <v>170295</v>
      </c>
    </row>
    <row r="21" spans="1:8" x14ac:dyDescent="0.25">
      <c r="A21" s="1937" t="s">
        <v>2089</v>
      </c>
      <c r="B21" s="1934" t="s">
        <v>2088</v>
      </c>
      <c r="C21" s="1938" t="s">
        <v>2094</v>
      </c>
      <c r="D21" s="1844">
        <v>14925</v>
      </c>
      <c r="E21" s="1540">
        <f t="shared" si="2"/>
        <v>14925</v>
      </c>
      <c r="F21" s="1932">
        <f t="shared" si="1"/>
        <v>14925</v>
      </c>
      <c r="G21" s="1793">
        <f t="shared" si="3"/>
        <v>0</v>
      </c>
    </row>
    <row r="22" spans="1:8" x14ac:dyDescent="0.25">
      <c r="A22" s="1937"/>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1242702</v>
      </c>
      <c r="E141" s="1541">
        <f t="shared" si="0"/>
        <v>25000</v>
      </c>
      <c r="F141" s="1933">
        <f>SUM(F17:F140)</f>
        <v>114925</v>
      </c>
      <c r="G141" s="1795">
        <f>SUM(G17:G140)</f>
        <v>1127777</v>
      </c>
    </row>
  </sheetData>
  <sheetProtection password="F60E" sheet="1" selectLockedCells="1"/>
  <mergeCells count="6">
    <mergeCell ref="A13:G13"/>
    <mergeCell ref="A4:G5"/>
    <mergeCell ref="A11:G11"/>
    <mergeCell ref="A7:G7"/>
    <mergeCell ref="A8:G8"/>
    <mergeCell ref="A9:G9"/>
  </mergeCells>
  <pageMargins left="0.2" right="0.2" top="0.75" bottom="0.4" header="0.4"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9" t="s">
        <v>1678</v>
      </c>
      <c r="B5" s="2300"/>
      <c r="C5" s="2300"/>
      <c r="D5" s="2300"/>
      <c r="E5" s="2300"/>
      <c r="F5" s="2300"/>
      <c r="G5" s="230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1232342</v>
      </c>
      <c r="F10" s="974"/>
      <c r="G10" s="975"/>
      <c r="H10" s="162"/>
      <c r="I10" s="162"/>
    </row>
    <row r="11" spans="1:9" s="668" customFormat="1" ht="22.5" customHeight="1" x14ac:dyDescent="0.2">
      <c r="A11" s="2304" t="s">
        <v>1973</v>
      </c>
      <c r="B11" s="2305"/>
      <c r="C11" s="2305"/>
      <c r="D11" s="2306"/>
      <c r="E11" s="977">
        <v>96361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35838836</v>
      </c>
      <c r="F19" s="1799"/>
      <c r="G19" s="1801">
        <f>'Expenditures 15-22'!K33-SUM('Expenditures 15-22'!G33,'Expenditures 15-22'!I33)+'Expenditures 15-22'!D229</f>
        <v>35838836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3884227</v>
      </c>
      <c r="F21" s="1802"/>
      <c r="G21" s="1805">
        <f>'Expenditures 15-22'!K42-SUM('Expenditures 15-22'!G42,'Expenditures 15-22'!I42)+'Expenditures 15-22'!K120-SUM('Expenditures 15-22'!G120,'Expenditures 15-22'!I120)+'Expenditures 15-22'!K180-SUM('Expenditures 15-22'!G180,'Expenditures 15-22'!I180)+'Expenditures 15-22'!D238</f>
        <v>3884227</v>
      </c>
      <c r="H21" s="987"/>
      <c r="I21" s="162"/>
    </row>
    <row r="22" spans="1:9" s="668" customFormat="1" ht="12" customHeight="1" x14ac:dyDescent="0.2">
      <c r="A22" s="994" t="s">
        <v>563</v>
      </c>
      <c r="B22" s="995"/>
      <c r="C22" s="993">
        <v>2200</v>
      </c>
      <c r="D22" s="1802"/>
      <c r="E22" s="1804">
        <f>'Expenditures 15-22'!K47-SUM('Expenditures 15-22'!G47,'Expenditures 15-22'!I47)+'Expenditures 15-22'!D243</f>
        <v>779165</v>
      </c>
      <c r="F22" s="1802"/>
      <c r="G22" s="1805">
        <f>'Expenditures 15-22'!K47-SUM('Expenditures 15-22'!G47,'Expenditures 15-22'!I47)+'Expenditures 15-22'!D243</f>
        <v>779165</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3385443</v>
      </c>
      <c r="F23" s="1802"/>
      <c r="G23" s="1804">
        <f>'Expenditures 15-22'!K53-SUM('Expenditures 15-22'!G53,'Expenditures 15-22'!I53)+'Expenditures 15-22'!D257+'Expenditures 15-22'!K330-SUM('Expenditures 15-22'!G330,'Expenditures 15-22'!I330)</f>
        <v>3385443</v>
      </c>
      <c r="H23" s="987"/>
      <c r="I23" s="162"/>
    </row>
    <row r="24" spans="1:9" s="668" customFormat="1" ht="12" customHeight="1" x14ac:dyDescent="0.2">
      <c r="A24" s="994" t="s">
        <v>565</v>
      </c>
      <c r="B24" s="995"/>
      <c r="C24" s="993">
        <v>2400</v>
      </c>
      <c r="D24" s="1802"/>
      <c r="E24" s="1804">
        <f>'Expenditures 15-22'!K57-SUM('Expenditures 15-22'!G57,'Expenditures 15-22'!I57)+'Expenditures 15-22'!D261</f>
        <v>3239409</v>
      </c>
      <c r="F24" s="1802"/>
      <c r="G24" s="1805">
        <f>'Expenditures 15-22'!K57-SUM('Expenditures 15-22'!G57,'Expenditures 15-22'!I57)+'Expenditures 15-22'!D261</f>
        <v>3239409</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230034</v>
      </c>
      <c r="E26" s="1804">
        <f>'Expenditures 15-22'!K122-SUM('Expenditures 15-22'!G122,'Expenditures 15-22'!I122)+E7</f>
        <v>0</v>
      </c>
      <c r="F26" s="1804">
        <f>'Expenditures 15-22'!K59-SUM('Expenditures 15-22'!G59,'Expenditures 15-22'!I59)+'Expenditures 15-22'!D263-E7</f>
        <v>230034</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401835</v>
      </c>
      <c r="E27" s="1804">
        <f>E8</f>
        <v>0</v>
      </c>
      <c r="F27" s="1804">
        <f>'Expenditures 15-22'!K60-SUM('Expenditures 15-22'!G60,'Expenditures 15-22'!I60)+'Expenditures 15-22'!D264-E8</f>
        <v>401835</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7912031</v>
      </c>
      <c r="F28" s="1806">
        <f>'Expenditures 15-22'!K61-SUM('Expenditures 15-22'!G61,'Expenditures 15-22'!I61)+'Expenditures 15-22'!K124-SUM('Expenditures 15-22'!G124,'Expenditures 15-22'!I124)+'Expenditures 15-22'!D266-E9</f>
        <v>7912031</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5385223</v>
      </c>
      <c r="F29" s="1802"/>
      <c r="G29" s="1805">
        <f>'Expenditures 15-22'!K62-SUM('Expenditures 15-22'!G62,'Expenditures 15-22'!I62)+'Expenditures 15-22'!K125-SUM('Expenditures 15-22'!G125,'Expenditures 15-22'!I125)+'Expenditures 15-22'!K182-SUM('Expenditures 15-22'!G182,'Expenditures 15-22'!I182)+'Expenditures 15-22'!D267</f>
        <v>5385223</v>
      </c>
      <c r="H29" s="985"/>
    </row>
    <row r="30" spans="1:9" ht="12" customHeight="1" x14ac:dyDescent="0.2">
      <c r="A30" s="994" t="s">
        <v>100</v>
      </c>
      <c r="B30" s="997"/>
      <c r="C30" s="993">
        <v>2560</v>
      </c>
      <c r="D30" s="1802"/>
      <c r="E30" s="1804">
        <f>'Expenditures 15-22'!K63-SUM('Expenditures 15-22'!G63,'Expenditures 15-22'!I63)+'Expenditures 15-22'!D268-E10</f>
        <v>1547265</v>
      </c>
      <c r="F30" s="1802"/>
      <c r="G30" s="1804">
        <f>'Expenditures 15-22'!K63-SUM('Expenditures 15-22'!G63,'Expenditures 15-22'!I63)+'Expenditures 15-22'!D268-E10</f>
        <v>1547265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903268</v>
      </c>
      <c r="F35" s="1802"/>
      <c r="G35" s="1804">
        <f>'Expenditures 15-22'!K69-SUM('Expenditures 15-22'!G69,'Expenditures 15-22'!I69)+'Expenditures 15-22'!D274</f>
        <v>903268</v>
      </c>
    </row>
    <row r="36" spans="1:7" ht="12" customHeight="1" x14ac:dyDescent="0.2">
      <c r="A36" s="994" t="s">
        <v>402</v>
      </c>
      <c r="B36" s="997"/>
      <c r="C36" s="993">
        <v>2640</v>
      </c>
      <c r="D36" s="1804">
        <f>'Expenditures 15-22'!K70-SUM('Expenditures 15-22'!G70,'Expenditures 15-22'!I70)+'Expenditures 15-22'!D275-E13</f>
        <v>322573</v>
      </c>
      <c r="E36" s="1804">
        <f>E13</f>
        <v>0</v>
      </c>
      <c r="F36" s="1804">
        <f>'Expenditures 15-22'!K70-SUM('Expenditures 15-22'!G70,'Expenditures 15-22'!I70)+'Expenditures 15-22'!D275-E13</f>
        <v>322573</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17466</v>
      </c>
      <c r="F38" s="1802"/>
      <c r="G38" s="1804">
        <f>'Expenditures 15-22'!K73-SUM('Expenditures 15-22'!G73,'Expenditures 15-22'!I73)+'Expenditures 15-22'!K128-SUM('Expenditures 15-22'!G128,'Expenditures 15-22'!I128)+'Expenditures 15-22'!K183-SUM('Expenditures 15-22'!G183,'Expenditures 15-22'!I183)+'Expenditures 15-22'!D278</f>
        <v>17466</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1007586</v>
      </c>
      <c r="F39" s="1802"/>
      <c r="G39" s="1804">
        <f>'Expenditures 15-22'!K75-SUM('Expenditures 15-22'!G75,'Expenditures 15-22'!I75)+'Expenditures 15-22'!K130-SUM('Expenditures 15-22'!G130,'Expenditures 15-22'!I130)+'Expenditures 15-22'!K185-SUM('Expenditures 15-22'!G185,'Expenditures 15-22'!I185)+'Expenditures 15-22'!D280</f>
        <v>1007586</v>
      </c>
    </row>
    <row r="40" spans="1:7" ht="12" customHeight="1" x14ac:dyDescent="0.2">
      <c r="A40" s="990" t="s">
        <v>1819</v>
      </c>
      <c r="B40" s="991"/>
      <c r="C40" s="993"/>
      <c r="D40" s="1802"/>
      <c r="E40" s="1806">
        <f>-'Contracts Paid in CY 29'!G141</f>
        <v>-1127777</v>
      </c>
      <c r="F40" s="1802"/>
      <c r="G40" s="1806">
        <f>-'Contracts Paid in CY 29'!G141</f>
        <v>-1127777</v>
      </c>
    </row>
    <row r="41" spans="1:7" ht="12" customHeight="1" x14ac:dyDescent="0.2">
      <c r="A41" s="998" t="s">
        <v>156</v>
      </c>
      <c r="B41" s="999"/>
      <c r="C41" s="1000"/>
      <c r="D41" s="1806">
        <f>SUM(D19:D39)</f>
        <v>954442</v>
      </c>
      <c r="E41" s="1806">
        <f>SUM(E19:E40)</f>
        <v>62772142</v>
      </c>
      <c r="F41" s="1806">
        <f>SUM(F19:F39)</f>
        <v>8866473</v>
      </c>
      <c r="G41" s="1806">
        <f>SUM(G19:G40)</f>
        <v>54860111</v>
      </c>
    </row>
    <row r="42" spans="1:7" x14ac:dyDescent="0.2">
      <c r="A42" s="987"/>
      <c r="B42" s="162"/>
      <c r="C42" s="1001"/>
      <c r="D42" s="2302" t="s">
        <v>521</v>
      </c>
      <c r="E42" s="2303"/>
      <c r="F42" s="1002" t="s">
        <v>522</v>
      </c>
      <c r="G42" s="1003"/>
    </row>
    <row r="43" spans="1:7" ht="12" customHeight="1" x14ac:dyDescent="0.2">
      <c r="A43" s="987"/>
      <c r="B43" s="162"/>
      <c r="C43" s="1001"/>
      <c r="D43" s="1807" t="s">
        <v>472</v>
      </c>
      <c r="E43" s="1808">
        <f>D41</f>
        <v>954442</v>
      </c>
      <c r="F43" s="1807" t="s">
        <v>472</v>
      </c>
      <c r="G43" s="1808">
        <f>F41</f>
        <v>8866473</v>
      </c>
    </row>
    <row r="44" spans="1:7" ht="12" customHeight="1" x14ac:dyDescent="0.2">
      <c r="A44" s="987"/>
      <c r="B44" s="162"/>
      <c r="C44" s="1001"/>
      <c r="D44" s="1807" t="s">
        <v>473</v>
      </c>
      <c r="E44" s="1808">
        <f>E41</f>
        <v>62772142</v>
      </c>
      <c r="F44" s="1807" t="s">
        <v>473</v>
      </c>
      <c r="G44" s="1808">
        <f>G41</f>
        <v>54860111</v>
      </c>
    </row>
    <row r="45" spans="1:7" ht="12" customHeight="1" x14ac:dyDescent="0.2">
      <c r="A45" s="987"/>
      <c r="B45" s="162"/>
      <c r="C45" s="162"/>
      <c r="D45" s="1809" t="s">
        <v>1005</v>
      </c>
      <c r="E45" s="1810">
        <f>(E43/E44)</f>
        <v>1.5204865878242612E-2</v>
      </c>
      <c r="F45" s="1809" t="s">
        <v>1005</v>
      </c>
      <c r="G45" s="1810">
        <f>(G43/G44)</f>
        <v>0.16161966934408864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6" header="0.4" footer="0.4"/>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21" t="s">
        <v>1378</v>
      </c>
      <c r="B1" s="2321"/>
      <c r="C1" s="2321"/>
      <c r="D1" s="2321"/>
      <c r="E1" s="2321"/>
      <c r="F1" s="2321"/>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22" t="s">
        <v>1545</v>
      </c>
      <c r="B5" s="2323"/>
      <c r="C5" s="2324"/>
      <c r="D5" s="2324"/>
      <c r="E5" s="2324"/>
      <c r="F5" s="2324"/>
    </row>
    <row r="6" spans="1:10" ht="12" customHeight="1" x14ac:dyDescent="0.25">
      <c r="A6" s="1850"/>
      <c r="B6" s="1851"/>
      <c r="C6" s="2325" t="str">
        <f>COVER!A17</f>
        <v>Edwardsville CUSD 7</v>
      </c>
      <c r="D6" s="2325"/>
      <c r="E6" s="2325"/>
      <c r="F6" s="1852"/>
    </row>
    <row r="7" spans="1:10" ht="11.25" customHeight="1" thickBot="1" x14ac:dyDescent="0.3">
      <c r="A7" s="1850"/>
      <c r="B7" s="1851"/>
      <c r="C7" s="2326">
        <f>COVER!A13</f>
        <v>41057007026</v>
      </c>
      <c r="D7" s="2326"/>
      <c r="E7" s="2326"/>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t="s">
        <v>2060</v>
      </c>
      <c r="D9" s="1857" t="s">
        <v>2060</v>
      </c>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t="s">
        <v>2060</v>
      </c>
      <c r="D14" s="1865" t="s">
        <v>2060</v>
      </c>
      <c r="E14" s="1868"/>
      <c r="F14" s="1867" t="s">
        <v>2133</v>
      </c>
      <c r="H14" s="1878">
        <f t="shared" si="0"/>
        <v>5</v>
      </c>
      <c r="I14" s="1878">
        <f t="shared" si="1"/>
        <v>5</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2060</v>
      </c>
      <c r="D19" s="1865" t="s">
        <v>2060</v>
      </c>
      <c r="E19" s="1868"/>
      <c r="F19" s="1867" t="s">
        <v>2134</v>
      </c>
      <c r="H19" s="1878">
        <f t="shared" si="0"/>
        <v>5</v>
      </c>
      <c r="I19" s="1878">
        <f t="shared" si="1"/>
        <v>5</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1391</v>
      </c>
      <c r="B35" s="1872"/>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73"/>
      <c r="B39" s="1873"/>
      <c r="C39" s="1873"/>
      <c r="D39" s="1873"/>
      <c r="E39" s="1873"/>
      <c r="F39" s="1873"/>
    </row>
    <row r="40" spans="1:11" s="1870" customFormat="1" ht="12" customHeight="1" x14ac:dyDescent="0.25">
      <c r="A40" s="1874" t="s">
        <v>1390</v>
      </c>
      <c r="B40" s="1875"/>
      <c r="C40" s="2316"/>
      <c r="D40" s="2316"/>
      <c r="E40" s="2316"/>
      <c r="F40" s="2317"/>
      <c r="H40" s="1879"/>
      <c r="I40" s="1879"/>
      <c r="J40" s="1879"/>
      <c r="K40" s="1879"/>
    </row>
    <row r="41" spans="1:11" s="1870" customFormat="1" ht="12" customHeight="1" x14ac:dyDescent="0.25">
      <c r="A41" s="2318" t="s">
        <v>2135</v>
      </c>
      <c r="B41" s="2319"/>
      <c r="C41" s="2319"/>
      <c r="D41" s="2319"/>
      <c r="E41" s="2319"/>
      <c r="F41" s="2320"/>
      <c r="H41" s="1879"/>
      <c r="I41" s="1879"/>
      <c r="J41" s="1879"/>
      <c r="K41" s="1879"/>
    </row>
    <row r="42" spans="1:11" s="1870" customFormat="1" ht="12" customHeight="1" x14ac:dyDescent="0.25">
      <c r="A42" s="2318" t="s">
        <v>2136</v>
      </c>
      <c r="B42" s="2319"/>
      <c r="C42" s="2319"/>
      <c r="D42" s="2319"/>
      <c r="E42" s="2319"/>
      <c r="F42" s="2320"/>
      <c r="H42" s="1879"/>
      <c r="I42" s="1879"/>
      <c r="J42" s="1879"/>
      <c r="K42" s="1879"/>
    </row>
    <row r="43" spans="1:11" s="1870" customFormat="1" ht="15" x14ac:dyDescent="0.25">
      <c r="A43" s="2307"/>
      <c r="B43" s="2308"/>
      <c r="C43" s="2308"/>
      <c r="D43" s="2308"/>
      <c r="E43" s="2308"/>
      <c r="F43" s="2309"/>
      <c r="H43" s="1879"/>
      <c r="I43" s="1879"/>
      <c r="J43" s="1879"/>
      <c r="K43" s="1879"/>
    </row>
    <row r="44" spans="1:11" s="1870" customFormat="1" ht="12" hidden="1" customHeight="1" x14ac:dyDescent="0.25">
      <c r="A44" s="2307"/>
      <c r="B44" s="2308"/>
      <c r="C44" s="2308"/>
      <c r="D44" s="2308"/>
      <c r="E44" s="2308"/>
      <c r="F44" s="230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4" footer="0.4"/>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34" t="str">
        <f>COVER!A17</f>
        <v>Edwardsville CUSD 7</v>
      </c>
      <c r="J6" s="2335"/>
      <c r="Q6" s="1664"/>
    </row>
    <row r="7" spans="1:17" x14ac:dyDescent="0.2">
      <c r="A7" s="2336" t="s">
        <v>868</v>
      </c>
      <c r="B7" s="2337"/>
      <c r="C7" s="2337"/>
      <c r="D7" s="2337"/>
      <c r="E7" s="2338"/>
      <c r="F7" s="1017"/>
      <c r="G7" s="1009"/>
      <c r="H7" s="1016" t="s">
        <v>371</v>
      </c>
      <c r="I7" s="2339">
        <f>COVER!A13</f>
        <v>41057007026</v>
      </c>
      <c r="J7" s="233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40" t="s">
        <v>480</v>
      </c>
      <c r="B11" s="2341"/>
      <c r="C11" s="2342"/>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354080</v>
      </c>
      <c r="F12" s="1039"/>
      <c r="G12" s="1811">
        <f t="shared" ref="G12:G18" si="0">SUM(E12:F12)</f>
        <v>354080</v>
      </c>
      <c r="H12" s="1040"/>
      <c r="I12" s="1039"/>
      <c r="J12" s="1811">
        <f t="shared" ref="J12:J18" si="1">SUM(H12:I12)</f>
        <v>0</v>
      </c>
    </row>
    <row r="13" spans="1:17" ht="15" customHeight="1" x14ac:dyDescent="0.2">
      <c r="A13" s="1035">
        <v>2</v>
      </c>
      <c r="B13" s="1036" t="s">
        <v>42</v>
      </c>
      <c r="C13" s="1037"/>
      <c r="D13" s="1038">
        <v>2330</v>
      </c>
      <c r="E13" s="1811">
        <f>'Expenditures 15-22'!K51</f>
        <v>526293</v>
      </c>
      <c r="F13" s="1039"/>
      <c r="G13" s="1811">
        <f t="shared" si="0"/>
        <v>526293</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208456</v>
      </c>
      <c r="F15" s="1811">
        <f>'Expenditures 15-22'!K122</f>
        <v>0</v>
      </c>
      <c r="G15" s="1811">
        <f t="shared" si="0"/>
        <v>208456</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43" t="s">
        <v>7</v>
      </c>
      <c r="C18" s="2344"/>
      <c r="D18" s="2345"/>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1088829</v>
      </c>
      <c r="F19" s="1813">
        <f t="shared" si="2"/>
        <v>0</v>
      </c>
      <c r="G19" s="1813">
        <f t="shared" si="2"/>
        <v>1088829</v>
      </c>
      <c r="H19" s="1813">
        <f t="shared" si="2"/>
        <v>0</v>
      </c>
      <c r="I19" s="1813">
        <f t="shared" si="2"/>
        <v>0</v>
      </c>
      <c r="J19" s="1813">
        <f t="shared" si="2"/>
        <v>0</v>
      </c>
    </row>
    <row r="20" spans="1:10" ht="13.5" thickTop="1" x14ac:dyDescent="0.2">
      <c r="A20" s="1035">
        <v>9</v>
      </c>
      <c r="B20" s="2346" t="s">
        <v>1977</v>
      </c>
      <c r="C20" s="2346"/>
      <c r="D20" s="2347"/>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1032</v>
      </c>
      <c r="D27" s="1052"/>
      <c r="E27" s="1053"/>
      <c r="F27" s="2348" t="s">
        <v>1508</v>
      </c>
      <c r="G27" s="2348"/>
    </row>
    <row r="28" spans="1:10" ht="28.5" customHeight="1" x14ac:dyDescent="0.2">
      <c r="B28" s="1047"/>
      <c r="C28" s="2350"/>
      <c r="D28" s="2350"/>
      <c r="E28" s="1054"/>
      <c r="F28" s="2350"/>
      <c r="G28" s="2350"/>
    </row>
    <row r="29" spans="1:10" x14ac:dyDescent="0.2">
      <c r="B29" s="1047"/>
      <c r="C29" s="1055" t="s">
        <v>1560</v>
      </c>
      <c r="E29" s="1056"/>
      <c r="F29" s="2349" t="s">
        <v>1509</v>
      </c>
      <c r="G29" s="2349"/>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1979</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881</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36"/>
  <sheetViews>
    <sheetView showGridLines="0" topLeftCell="A10" zoomScale="110" zoomScaleNormal="110" workbookViewId="0">
      <selection activeCell="B24" sqref="B24"/>
    </sheetView>
  </sheetViews>
  <sheetFormatPr defaultColWidth="9.140625" defaultRowHeight="12.75" x14ac:dyDescent="0.2"/>
  <cols>
    <col min="1" max="1" width="4.85546875" style="329" customWidth="1"/>
    <col min="2" max="2" width="43" style="329" customWidth="1"/>
    <col min="3" max="3" width="3.140625" style="329" customWidth="1"/>
    <col min="4" max="7" width="10.7109375" style="329" customWidth="1"/>
    <col min="8" max="16384" width="9.140625" style="329"/>
  </cols>
  <sheetData>
    <row r="2" spans="1:7" x14ac:dyDescent="0.2">
      <c r="A2" s="389" t="s">
        <v>258</v>
      </c>
    </row>
    <row r="3" spans="1:7" x14ac:dyDescent="0.2">
      <c r="A3" s="329" t="s">
        <v>259</v>
      </c>
    </row>
    <row r="4" spans="1:7" x14ac:dyDescent="0.2">
      <c r="A4" s="329" t="s">
        <v>2137</v>
      </c>
    </row>
    <row r="5" spans="1:7" ht="13.5" thickBot="1" x14ac:dyDescent="0.25">
      <c r="D5" s="1951" t="s">
        <v>2138</v>
      </c>
      <c r="E5" s="1951" t="s">
        <v>2139</v>
      </c>
      <c r="F5" s="1951" t="s">
        <v>2140</v>
      </c>
      <c r="G5" s="1951" t="s">
        <v>2141</v>
      </c>
    </row>
    <row r="6" spans="1:7" x14ac:dyDescent="0.2">
      <c r="A6" s="1068"/>
      <c r="B6" s="389" t="s">
        <v>15</v>
      </c>
      <c r="D6" s="1952"/>
      <c r="E6" s="1952"/>
      <c r="F6" s="1952"/>
      <c r="G6" s="1952"/>
    </row>
    <row r="7" spans="1:7" ht="25.5" x14ac:dyDescent="0.2">
      <c r="A7" s="1068">
        <v>74</v>
      </c>
      <c r="B7" s="1939" t="s">
        <v>2142</v>
      </c>
      <c r="D7" s="1950">
        <v>69954</v>
      </c>
      <c r="E7" s="1950"/>
      <c r="F7" s="1950"/>
      <c r="G7" s="1950"/>
    </row>
    <row r="8" spans="1:7" x14ac:dyDescent="0.2">
      <c r="A8" s="1068">
        <v>78</v>
      </c>
      <c r="B8" s="329" t="s">
        <v>2143</v>
      </c>
      <c r="D8" s="1950">
        <v>6090</v>
      </c>
      <c r="E8" s="1950"/>
      <c r="F8" s="1950"/>
      <c r="G8" s="1950"/>
    </row>
    <row r="9" spans="1:7" x14ac:dyDescent="0.2">
      <c r="A9" s="1068">
        <v>106</v>
      </c>
      <c r="B9" s="329" t="s">
        <v>2144</v>
      </c>
      <c r="D9" s="1950">
        <v>1557063</v>
      </c>
      <c r="E9" s="1950"/>
      <c r="F9" s="1950"/>
      <c r="G9" s="1950"/>
    </row>
    <row r="10" spans="1:7" x14ac:dyDescent="0.2">
      <c r="A10" s="1068">
        <v>107</v>
      </c>
      <c r="B10" s="329" t="s">
        <v>2151</v>
      </c>
      <c r="D10" s="1950"/>
      <c r="E10" s="1950"/>
      <c r="F10" s="1950"/>
      <c r="G10" s="1950"/>
    </row>
    <row r="11" spans="1:7" x14ac:dyDescent="0.2">
      <c r="A11" s="1068"/>
      <c r="B11" s="329" t="s">
        <v>2145</v>
      </c>
      <c r="D11" s="1950">
        <v>86039</v>
      </c>
      <c r="E11" s="1950"/>
      <c r="F11" s="1950"/>
      <c r="G11" s="1950"/>
    </row>
    <row r="12" spans="1:7" x14ac:dyDescent="0.2">
      <c r="A12" s="1068"/>
      <c r="B12" s="329" t="s">
        <v>2146</v>
      </c>
      <c r="D12" s="1950">
        <v>60661</v>
      </c>
      <c r="E12" s="1950"/>
      <c r="F12" s="1950"/>
      <c r="G12" s="1950">
        <v>1200</v>
      </c>
    </row>
    <row r="13" spans="1:7" x14ac:dyDescent="0.2">
      <c r="A13" s="1068"/>
      <c r="B13" s="329" t="s">
        <v>2147</v>
      </c>
      <c r="D13" s="1950"/>
      <c r="E13" s="1950">
        <v>34506</v>
      </c>
      <c r="F13" s="1950"/>
      <c r="G13" s="1950"/>
    </row>
    <row r="14" spans="1:7" x14ac:dyDescent="0.2">
      <c r="A14" s="1068"/>
      <c r="B14" s="329" t="s">
        <v>2148</v>
      </c>
      <c r="D14" s="1950"/>
      <c r="E14" s="1950">
        <v>2000</v>
      </c>
      <c r="F14" s="1950"/>
      <c r="G14" s="1950"/>
    </row>
    <row r="15" spans="1:7" x14ac:dyDescent="0.2">
      <c r="A15" s="1068"/>
      <c r="B15" s="329" t="s">
        <v>2149</v>
      </c>
      <c r="D15" s="1950"/>
      <c r="E15" s="1950"/>
      <c r="F15" s="1950">
        <v>15174</v>
      </c>
      <c r="G15" s="1950"/>
    </row>
    <row r="16" spans="1:7" x14ac:dyDescent="0.2">
      <c r="A16" s="1068">
        <v>168</v>
      </c>
      <c r="B16" s="329" t="s">
        <v>2150</v>
      </c>
      <c r="D16" s="1950"/>
      <c r="E16" s="1950"/>
      <c r="F16" s="1950"/>
      <c r="G16" s="1950"/>
    </row>
    <row r="17" spans="1:7" x14ac:dyDescent="0.2">
      <c r="A17" s="1069"/>
      <c r="B17" s="329" t="s">
        <v>2153</v>
      </c>
      <c r="D17" s="1950">
        <v>239257</v>
      </c>
      <c r="E17" s="1950"/>
      <c r="F17" s="1950"/>
      <c r="G17" s="1950"/>
    </row>
    <row r="18" spans="1:7" x14ac:dyDescent="0.2">
      <c r="A18" s="1069"/>
      <c r="B18" s="329" t="s">
        <v>2154</v>
      </c>
      <c r="D18" s="1950">
        <v>59069</v>
      </c>
      <c r="E18" s="1950"/>
      <c r="F18" s="1950"/>
      <c r="G18" s="1950"/>
    </row>
    <row r="19" spans="1:7" x14ac:dyDescent="0.2">
      <c r="A19" s="1069"/>
      <c r="B19" s="329" t="s">
        <v>2152</v>
      </c>
      <c r="D19" s="1950">
        <v>60450</v>
      </c>
      <c r="E19" s="1950"/>
      <c r="F19" s="1950"/>
      <c r="G19" s="1950"/>
    </row>
    <row r="20" spans="1:7" x14ac:dyDescent="0.2">
      <c r="A20" s="1069">
        <v>197</v>
      </c>
      <c r="B20" s="329" t="s">
        <v>2155</v>
      </c>
      <c r="D20" s="1950">
        <v>96361</v>
      </c>
      <c r="E20" s="1950"/>
      <c r="F20" s="1950"/>
      <c r="G20" s="1950"/>
    </row>
    <row r="21" spans="1:7" x14ac:dyDescent="0.2">
      <c r="A21" s="1069">
        <v>220</v>
      </c>
      <c r="B21" s="329" t="s">
        <v>2156</v>
      </c>
      <c r="D21" s="1950">
        <v>34952</v>
      </c>
      <c r="E21" s="1950"/>
      <c r="F21" s="1950"/>
      <c r="G21" s="1950"/>
    </row>
    <row r="22" spans="1:7" x14ac:dyDescent="0.2">
      <c r="A22" s="1069"/>
      <c r="D22" s="1950"/>
      <c r="E22" s="1950"/>
      <c r="F22" s="1950"/>
      <c r="G22" s="1950"/>
    </row>
    <row r="23" spans="1:7" x14ac:dyDescent="0.2">
      <c r="A23" s="1069"/>
      <c r="B23" s="389" t="s">
        <v>16</v>
      </c>
    </row>
    <row r="24" spans="1:7" x14ac:dyDescent="0.2">
      <c r="A24" s="1069">
        <v>73</v>
      </c>
      <c r="B24" s="329" t="s">
        <v>2157</v>
      </c>
      <c r="D24" s="1950">
        <v>17466</v>
      </c>
    </row>
    <row r="25" spans="1:7" x14ac:dyDescent="0.2">
      <c r="A25" s="1069"/>
    </row>
    <row r="26" spans="1:7" x14ac:dyDescent="0.2">
      <c r="A26" s="1069"/>
    </row>
    <row r="27" spans="1:7" x14ac:dyDescent="0.2">
      <c r="A27" s="1069"/>
    </row>
    <row r="28" spans="1:7" x14ac:dyDescent="0.2">
      <c r="A28" s="1069"/>
    </row>
    <row r="29" spans="1:7" x14ac:dyDescent="0.2">
      <c r="A29" s="1069"/>
    </row>
    <row r="30" spans="1:7" x14ac:dyDescent="0.2">
      <c r="A30" s="1069"/>
    </row>
    <row r="31" spans="1:7" x14ac:dyDescent="0.2">
      <c r="A31" s="1069"/>
    </row>
    <row r="32" spans="1:7" x14ac:dyDescent="0.2">
      <c r="A32" s="1069"/>
    </row>
    <row r="33" spans="1:2" x14ac:dyDescent="0.2">
      <c r="A33" s="1069"/>
    </row>
    <row r="34" spans="1:2" x14ac:dyDescent="0.2">
      <c r="A34" s="1069"/>
    </row>
    <row r="35" spans="1:2" x14ac:dyDescent="0.2">
      <c r="A35" s="1069"/>
      <c r="B35" s="258" t="str">
        <f>COVER!A17</f>
        <v>Edwardsville CUSD 7</v>
      </c>
    </row>
    <row r="36" spans="1:2" x14ac:dyDescent="0.2">
      <c r="B36" s="1070">
        <f>COVER!A13</f>
        <v>41057007026</v>
      </c>
    </row>
  </sheetData>
  <phoneticPr fontId="13" type="noConversion"/>
  <printOptions horizontalCentered="1"/>
  <pageMargins left="0.2" right="0.2" top="1.17" bottom="0.75" header="0.19" footer="0.16"/>
  <pageSetup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4" sqref="C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rintOptions horizontalCentered="1"/>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53" t="s">
        <v>1684</v>
      </c>
      <c r="B18" s="2353"/>
    </row>
  </sheetData>
  <sheetProtection selectLockedCells="1"/>
  <mergeCells count="1">
    <mergeCell ref="A18:B18"/>
  </mergeCells>
  <phoneticPr fontId="13"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1276350</xdr:colOff>
                <xdr:row>4</xdr:row>
                <xdr:rowOff>152400</xdr:rowOff>
              </from>
              <to>
                <xdr:col>1</xdr:col>
                <xdr:colOff>2190750</xdr:colOff>
                <xdr:row>9</xdr:row>
                <xdr:rowOff>114300</xdr:rowOff>
              </to>
            </anchor>
          </objectPr>
        </oleObject>
      </mc:Choice>
      <mc:Fallback>
        <oleObject progId="Acrobat Document" dvAspect="DVASPECT_ICON" shapeId="3584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1689</v>
      </c>
      <c r="B1" s="2355"/>
      <c r="C1" s="2355"/>
      <c r="D1" s="2355"/>
      <c r="E1" s="2355"/>
      <c r="F1" s="2356"/>
    </row>
    <row r="2" spans="1:8" ht="45" customHeight="1" x14ac:dyDescent="0.2">
      <c r="A2" s="2364" t="s">
        <v>1983</v>
      </c>
      <c r="B2" s="2365"/>
      <c r="C2" s="2365"/>
      <c r="D2" s="2365"/>
      <c r="E2" s="2365"/>
      <c r="F2" s="2366"/>
      <c r="G2" s="1074"/>
      <c r="H2" s="1074"/>
    </row>
    <row r="3" spans="1:8" ht="57" customHeight="1" x14ac:dyDescent="0.2">
      <c r="A3" s="2367" t="s">
        <v>1685</v>
      </c>
      <c r="B3" s="2368"/>
      <c r="C3" s="2368"/>
      <c r="D3" s="2368"/>
      <c r="E3" s="2368"/>
      <c r="F3" s="2369"/>
      <c r="G3" s="1074"/>
      <c r="H3" s="1074"/>
    </row>
    <row r="4" spans="1:8" ht="14.25" customHeight="1" x14ac:dyDescent="0.2">
      <c r="A4" s="2373" t="s">
        <v>1984</v>
      </c>
      <c r="B4" s="2374"/>
      <c r="C4" s="2374"/>
      <c r="D4" s="2374"/>
      <c r="E4" s="2374"/>
      <c r="F4" s="2375"/>
      <c r="G4" s="1074"/>
      <c r="H4" s="1074"/>
    </row>
    <row r="5" spans="1:8" ht="14.25" customHeight="1" x14ac:dyDescent="0.2">
      <c r="A5" s="2376" t="s">
        <v>1980</v>
      </c>
      <c r="B5" s="2377"/>
      <c r="C5" s="2377"/>
      <c r="D5" s="2377"/>
      <c r="E5" s="2377"/>
      <c r="F5" s="2378"/>
      <c r="G5" s="1074"/>
      <c r="H5" s="1074"/>
    </row>
    <row r="6" spans="1:8" s="1075" customFormat="1" ht="41.25" customHeight="1" x14ac:dyDescent="0.2">
      <c r="A6" s="2370" t="s">
        <v>1690</v>
      </c>
      <c r="B6" s="2371"/>
      <c r="C6" s="2371"/>
      <c r="D6" s="2371"/>
      <c r="E6" s="2371"/>
      <c r="F6" s="2372"/>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58456770</v>
      </c>
      <c r="C8" s="1815">
        <f>'Acct Summary 7-8'!D8</f>
        <v>7212728</v>
      </c>
      <c r="D8" s="1815">
        <f>'Acct Summary 7-8'!F8</f>
        <v>5382756</v>
      </c>
      <c r="E8" s="1815">
        <f>'Acct Summary 7-8'!I8</f>
        <v>698737</v>
      </c>
      <c r="F8" s="1815">
        <f>SUM(B8:E8)</f>
        <v>71750991</v>
      </c>
    </row>
    <row r="9" spans="1:8" s="1079" customFormat="1" ht="14.25" customHeight="1" thickBot="1" x14ac:dyDescent="0.25">
      <c r="A9" s="1078" t="s">
        <v>1368</v>
      </c>
      <c r="B9" s="1816">
        <f>'Acct Summary 7-8'!C17</f>
        <v>53218432</v>
      </c>
      <c r="C9" s="1816">
        <f>'Acct Summary 7-8'!D17</f>
        <v>6078321</v>
      </c>
      <c r="D9" s="1816">
        <f>'Acct Summary 7-8'!F17</f>
        <v>5381443</v>
      </c>
      <c r="E9" s="1815"/>
      <c r="F9" s="1815">
        <f>SUM(B9:E9)</f>
        <v>64678196</v>
      </c>
    </row>
    <row r="10" spans="1:8" s="1079" customFormat="1" ht="14.25" thickTop="1" thickBot="1" x14ac:dyDescent="0.25">
      <c r="A10" s="1080" t="s">
        <v>1369</v>
      </c>
      <c r="B10" s="1817">
        <f>(B8-B9)</f>
        <v>5238338</v>
      </c>
      <c r="C10" s="1817">
        <f>(C8-C9)</f>
        <v>1134407</v>
      </c>
      <c r="D10" s="1817">
        <f>(D8-D9)</f>
        <v>1313</v>
      </c>
      <c r="E10" s="1816">
        <f>(E8-E9)</f>
        <v>698737</v>
      </c>
      <c r="F10" s="1818">
        <f>SUM(F8-F9)</f>
        <v>7072795</v>
      </c>
    </row>
    <row r="11" spans="1:8" s="1079" customFormat="1" ht="14.25" thickTop="1" thickBot="1" x14ac:dyDescent="0.25">
      <c r="A11" s="1081" t="s">
        <v>1981</v>
      </c>
      <c r="B11" s="1819">
        <f>'Acct Summary 7-8'!C81</f>
        <v>-368050</v>
      </c>
      <c r="C11" s="1819">
        <f>'Acct Summary 7-8'!D81</f>
        <v>3436396</v>
      </c>
      <c r="D11" s="1819">
        <f>'Acct Summary 7-8'!F81</f>
        <v>604448</v>
      </c>
      <c r="E11" s="1819">
        <f>'Acct Summary 7-8'!I81</f>
        <v>698737</v>
      </c>
      <c r="F11" s="1820">
        <f>SUM(B11:E11)</f>
        <v>4371531</v>
      </c>
    </row>
    <row r="12" spans="1:8" ht="16.5" customHeight="1" thickTop="1" x14ac:dyDescent="0.2">
      <c r="A12" s="1082"/>
      <c r="B12" s="1083"/>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1686</v>
      </c>
      <c r="B16" s="2357"/>
      <c r="C16" s="2357"/>
      <c r="D16" s="2357"/>
      <c r="E16" s="2357"/>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4"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D79" sqref="D7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9" t="s">
        <v>664</v>
      </c>
      <c r="B3" s="2380"/>
      <c r="C3" s="2380"/>
      <c r="D3" s="2381"/>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90" t="s">
        <v>1503</v>
      </c>
      <c r="D7" s="2391"/>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2" t="s">
        <v>1007</v>
      </c>
      <c r="B15" s="2383"/>
      <c r="C15" s="2383"/>
      <c r="D15" s="2384"/>
    </row>
    <row r="16" spans="1:4" s="668" customFormat="1" ht="24" customHeight="1" x14ac:dyDescent="0.2">
      <c r="A16" s="2385" t="s">
        <v>662</v>
      </c>
      <c r="B16" s="2386"/>
      <c r="C16" s="2386"/>
      <c r="D16" s="2387"/>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4" t="s">
        <v>313</v>
      </c>
      <c r="D21" s="2395"/>
    </row>
    <row r="22" spans="1:10" ht="12.75" x14ac:dyDescent="0.2">
      <c r="A22" s="1139"/>
      <c r="B22" s="1140">
        <v>2</v>
      </c>
      <c r="C22" s="2392" t="s">
        <v>1523</v>
      </c>
      <c r="D22" s="2393"/>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6" t="s">
        <v>535</v>
      </c>
      <c r="D43" s="2397"/>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8" t="s">
        <v>783</v>
      </c>
      <c r="D56" s="2389"/>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8" t="s">
        <v>1695</v>
      </c>
      <c r="D70" s="2389"/>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41057007026</v>
      </c>
    </row>
    <row r="3" spans="1:2" x14ac:dyDescent="0.2">
      <c r="A3" t="s">
        <v>955</v>
      </c>
      <c r="B3" s="138" t="str">
        <f>COVER!A15</f>
        <v>Madison</v>
      </c>
    </row>
    <row r="4" spans="1:2" x14ac:dyDescent="0.2">
      <c r="A4" t="s">
        <v>1006</v>
      </c>
      <c r="B4" s="138" t="str">
        <f>COVER!A17</f>
        <v>Edwardsville CUSD 7</v>
      </c>
    </row>
    <row r="5" spans="1:2" x14ac:dyDescent="0.2">
      <c r="A5" t="s">
        <v>703</v>
      </c>
      <c r="B5" s="138" t="str">
        <f>COVER!A38</f>
        <v>Dr. Jason Henderson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065-023270</v>
      </c>
    </row>
    <row r="16" spans="1:2" x14ac:dyDescent="0.2">
      <c r="A16" t="s">
        <v>421</v>
      </c>
      <c r="B16" s="138" t="str">
        <f>COVER!T13</f>
        <v>Schowalter &amp; Jabouri, P.C.</v>
      </c>
    </row>
    <row r="17" spans="1:2" x14ac:dyDescent="0.2">
      <c r="A17" t="s">
        <v>883</v>
      </c>
      <c r="B17" s="138" t="str">
        <f>COVER!T15</f>
        <v>James K. Torti</v>
      </c>
    </row>
    <row r="18" spans="1:2" x14ac:dyDescent="0.2">
      <c r="A18" t="s">
        <v>1149</v>
      </c>
      <c r="B18" s="138" t="str">
        <f>COVER!T17</f>
        <v>11878 Gravois Road</v>
      </c>
    </row>
    <row r="19" spans="1:2" x14ac:dyDescent="0.2">
      <c r="A19" t="s">
        <v>885</v>
      </c>
      <c r="B19" s="138" t="str">
        <f>COVER!T25</f>
        <v>jtorti@sjcpa.com</v>
      </c>
    </row>
    <row r="20" spans="1:2" x14ac:dyDescent="0.2">
      <c r="A20" t="s">
        <v>886</v>
      </c>
      <c r="B20" s="138" t="str">
        <f>COVER!T19</f>
        <v>St.  Louis</v>
      </c>
    </row>
    <row r="21" spans="1:2" x14ac:dyDescent="0.2">
      <c r="A21" t="s">
        <v>478</v>
      </c>
      <c r="B21" s="138" t="str">
        <f>COVER!X19</f>
        <v>MO</v>
      </c>
    </row>
    <row r="22" spans="1:2" x14ac:dyDescent="0.2">
      <c r="A22" t="s">
        <v>887</v>
      </c>
      <c r="B22" s="138">
        <f>COVER!Z19</f>
        <v>63127</v>
      </c>
    </row>
    <row r="23" spans="1:2" x14ac:dyDescent="0.2">
      <c r="A23" t="s">
        <v>1151</v>
      </c>
      <c r="B23" s="138" t="str">
        <f>COVER!T21</f>
        <v>314-849-4999</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38171096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184895</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44897560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40425497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45265610</v>
      </c>
      <c r="C91" s="2" t="s">
        <v>572</v>
      </c>
      <c r="D91" s="2" t="str">
        <f t="shared" si="0"/>
        <v>Error?</v>
      </c>
    </row>
    <row r="92" spans="1:4" x14ac:dyDescent="0.2">
      <c r="A92" s="5">
        <v>31</v>
      </c>
      <c r="B92" s="138">
        <f>'Assets-Liab 5-6'!C39</f>
        <v>-562977</v>
      </c>
      <c r="D92" s="2" t="str">
        <f t="shared" si="0"/>
        <v>Error?</v>
      </c>
    </row>
    <row r="93" spans="1:4" x14ac:dyDescent="0.2">
      <c r="A93" s="5">
        <v>32</v>
      </c>
      <c r="B93" s="138">
        <f>'Assets-Liab 5-6'!C41</f>
        <v>44897560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6840696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16414</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10902753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7210418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7466357</v>
      </c>
      <c r="C122" s="2" t="s">
        <v>572</v>
      </c>
      <c r="D122" s="2" t="str">
        <f t="shared" si="0"/>
        <v>Error?</v>
      </c>
    </row>
    <row r="123" spans="1:4" x14ac:dyDescent="0.2">
      <c r="A123" s="5">
        <v>62</v>
      </c>
      <c r="B123" s="138">
        <f>'Assets-Liab 5-6'!D39</f>
        <v>2784982</v>
      </c>
      <c r="D123" s="2" t="str">
        <f t="shared" si="0"/>
        <v>Error?</v>
      </c>
    </row>
    <row r="124" spans="1:4" x14ac:dyDescent="0.2">
      <c r="A124" s="5">
        <v>63</v>
      </c>
      <c r="B124" s="138">
        <f>'Assets-Liab 5-6'!D41</f>
        <v>10902753</v>
      </c>
      <c r="C124" s="2" t="s">
        <v>572</v>
      </c>
      <c r="D124" s="2" t="str">
        <f t="shared" si="0"/>
        <v>Error?</v>
      </c>
    </row>
    <row r="125" spans="1:4" x14ac:dyDescent="0.2">
      <c r="A125" s="10">
        <v>64</v>
      </c>
      <c r="D125" s="2" t="str">
        <f t="shared" si="0"/>
        <v>OK</v>
      </c>
    </row>
    <row r="126" spans="1:4" x14ac:dyDescent="0.2">
      <c r="A126" s="5">
        <v>65</v>
      </c>
      <c r="B126" s="138">
        <f>'Assets-Liab 5-6'!E6</f>
        <v>11451300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12070935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12070240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12070240</v>
      </c>
      <c r="C139" s="2" t="s">
        <v>572</v>
      </c>
      <c r="D139" s="2" t="str">
        <f t="shared" si="1"/>
        <v>Error?</v>
      </c>
    </row>
    <row r="140" spans="1:4" x14ac:dyDescent="0.2">
      <c r="A140" s="5">
        <v>79</v>
      </c>
      <c r="B140" s="138">
        <f>'Assets-Liab 5-6'!E39</f>
        <v>695</v>
      </c>
      <c r="D140" s="2" t="str">
        <f t="shared" si="1"/>
        <v>Error?</v>
      </c>
    </row>
    <row r="141" spans="1:4" x14ac:dyDescent="0.2">
      <c r="A141" s="5">
        <v>80</v>
      </c>
      <c r="B141" s="138">
        <f>'Assets-Liab 5-6'!E41</f>
        <v>12070935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2736279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3598940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2884167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2994492</v>
      </c>
      <c r="C169" s="2" t="s">
        <v>572</v>
      </c>
      <c r="D169" s="2" t="str">
        <f t="shared" si="1"/>
        <v>Error?</v>
      </c>
    </row>
    <row r="170" spans="1:4" x14ac:dyDescent="0.2">
      <c r="A170" s="5">
        <v>109</v>
      </c>
      <c r="B170" s="138">
        <f>'Assets-Liab 5-6'!F39</f>
        <v>604448</v>
      </c>
      <c r="D170" s="2" t="str">
        <f t="shared" si="1"/>
        <v>Error?</v>
      </c>
    </row>
    <row r="171" spans="1:4" x14ac:dyDescent="0.2">
      <c r="A171" s="5">
        <v>110</v>
      </c>
      <c r="B171" s="138">
        <f>'Assets-Liab 5-6'!F41</f>
        <v>3598940</v>
      </c>
      <c r="C171" s="2" t="s">
        <v>572</v>
      </c>
      <c r="D171" s="2" t="str">
        <f t="shared" si="1"/>
        <v>Error?</v>
      </c>
    </row>
    <row r="172" spans="1:4" x14ac:dyDescent="0.2">
      <c r="A172" s="10">
        <v>111</v>
      </c>
      <c r="D172" s="2" t="str">
        <f t="shared" si="1"/>
        <v>OK</v>
      </c>
    </row>
    <row r="173" spans="1:4" x14ac:dyDescent="0.2">
      <c r="A173" s="5">
        <v>112</v>
      </c>
      <c r="B173" s="138">
        <f>'Assets-Liab 5-6'!G6</f>
        <v>1518632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2547647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1600713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1600713</v>
      </c>
      <c r="C188" s="2" t="s">
        <v>572</v>
      </c>
      <c r="D188" s="2" t="str">
        <f t="shared" si="1"/>
        <v>Error?</v>
      </c>
    </row>
    <row r="189" spans="1:4" x14ac:dyDescent="0.2">
      <c r="A189" s="5">
        <v>128</v>
      </c>
      <c r="B189" s="138">
        <f>'Assets-Liab 5-6'!G39</f>
        <v>946934</v>
      </c>
      <c r="D189" s="2" t="str">
        <f t="shared" si="1"/>
        <v>Error?</v>
      </c>
    </row>
    <row r="190" spans="1:4" x14ac:dyDescent="0.2">
      <c r="A190" s="5">
        <v>129</v>
      </c>
      <c r="B190" s="138">
        <f>'Assets-Liab 5-6'!G41</f>
        <v>2547647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728074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1077</v>
      </c>
      <c r="D212" s="2" t="str">
        <f t="shared" si="2"/>
        <v>Error?</v>
      </c>
    </row>
    <row r="213" spans="1:4" x14ac:dyDescent="0.2">
      <c r="A213" s="12">
        <v>152</v>
      </c>
      <c r="B213" s="138">
        <f>'Assets-Liab 5-6'!H41</f>
        <v>728074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5706903</v>
      </c>
      <c r="D273" s="2" t="str">
        <f t="shared" si="3"/>
        <v>Error?</v>
      </c>
    </row>
    <row r="274" spans="1:4" x14ac:dyDescent="0.2">
      <c r="A274" s="5">
        <v>213</v>
      </c>
      <c r="B274" s="138">
        <f>'Assets-Liab 5-6'!M17</f>
        <v>142260254</v>
      </c>
      <c r="D274" s="2" t="str">
        <f t="shared" si="3"/>
        <v>Error?</v>
      </c>
    </row>
    <row r="275" spans="1:4" x14ac:dyDescent="0.2">
      <c r="A275" s="5">
        <v>214</v>
      </c>
      <c r="B275" s="138">
        <f>'Assets-Liab 5-6'!M18</f>
        <v>13460160</v>
      </c>
      <c r="D275" s="2" t="str">
        <f t="shared" si="3"/>
        <v>Error?</v>
      </c>
    </row>
    <row r="276" spans="1:4" x14ac:dyDescent="0.2">
      <c r="A276" s="5">
        <v>215</v>
      </c>
      <c r="B276" s="138">
        <f>'Assets-Liab 5-6'!M19</f>
        <v>13898143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175705317</v>
      </c>
      <c r="C279" s="2" t="s">
        <v>572</v>
      </c>
      <c r="D279" s="2" t="str">
        <f t="shared" si="3"/>
        <v>Error?</v>
      </c>
    </row>
    <row r="280" spans="1:4" x14ac:dyDescent="0.2">
      <c r="A280" s="5">
        <v>219</v>
      </c>
      <c r="B280" s="138">
        <f>'Assets-Liab 5-6'!M40</f>
        <v>175705317</v>
      </c>
      <c r="D280" s="2" t="str">
        <f t="shared" si="3"/>
        <v>Error?</v>
      </c>
    </row>
    <row r="281" spans="1:4" x14ac:dyDescent="0.2">
      <c r="A281" s="5">
        <v>220</v>
      </c>
      <c r="B281" s="138">
        <f>'Assets-Liab 5-6'!M41</f>
        <v>175705317</v>
      </c>
      <c r="C281" s="2" t="s">
        <v>572</v>
      </c>
      <c r="D281" s="2" t="str">
        <f t="shared" si="3"/>
        <v>Error?</v>
      </c>
    </row>
    <row r="282" spans="1:4" x14ac:dyDescent="0.2">
      <c r="A282" s="5">
        <v>221</v>
      </c>
      <c r="B282" s="138">
        <f>'Assets-Liab 5-6'!N21</f>
        <v>695</v>
      </c>
      <c r="D282" s="2" t="str">
        <f t="shared" si="3"/>
        <v>Error?</v>
      </c>
    </row>
    <row r="283" spans="1:4" x14ac:dyDescent="0.2">
      <c r="A283" s="5">
        <v>222</v>
      </c>
      <c r="B283" s="138">
        <f>'Assets-Liab 5-6'!N22</f>
        <v>91987119</v>
      </c>
      <c r="D283" s="2" t="str">
        <f t="shared" si="3"/>
        <v>Error?</v>
      </c>
    </row>
    <row r="284" spans="1:4" x14ac:dyDescent="0.2">
      <c r="A284" s="5">
        <v>223</v>
      </c>
      <c r="B284" s="138">
        <f>'Assets-Liab 5-6'!N23</f>
        <v>91987814</v>
      </c>
      <c r="C284" s="2" t="s">
        <v>572</v>
      </c>
      <c r="D284" s="2" t="str">
        <f t="shared" si="3"/>
        <v>Error?</v>
      </c>
    </row>
    <row r="285" spans="1:4" x14ac:dyDescent="0.2">
      <c r="A285" s="5">
        <v>224</v>
      </c>
      <c r="B285" s="138">
        <f>'Assets-Liab 5-6'!N36</f>
        <v>91987814</v>
      </c>
      <c r="D285" s="2" t="str">
        <f t="shared" si="3"/>
        <v>Error?</v>
      </c>
    </row>
    <row r="286" spans="1:4" x14ac:dyDescent="0.2">
      <c r="A286" s="10">
        <v>225</v>
      </c>
      <c r="D286" s="2" t="str">
        <f t="shared" si="3"/>
        <v>OK</v>
      </c>
    </row>
    <row r="287" spans="1:4" x14ac:dyDescent="0.2">
      <c r="A287" s="5">
        <v>226</v>
      </c>
      <c r="B287" s="138">
        <f>'Assets-Liab 5-6'!N37</f>
        <v>91987814</v>
      </c>
      <c r="C287" s="2" t="s">
        <v>572</v>
      </c>
      <c r="D287" s="2" t="str">
        <f t="shared" si="3"/>
        <v>Error?</v>
      </c>
    </row>
    <row r="288" spans="1:4" x14ac:dyDescent="0.2">
      <c r="A288" s="5">
        <v>227</v>
      </c>
      <c r="B288" s="138">
        <f>'Assets-Liab 5-6'!N41</f>
        <v>91987814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17902412</v>
      </c>
      <c r="D705" s="2" t="str">
        <f t="shared" si="10"/>
        <v>Error?</v>
      </c>
    </row>
    <row r="706" spans="1:4" x14ac:dyDescent="0.2">
      <c r="A706" s="5">
        <v>645</v>
      </c>
      <c r="B706" s="138">
        <f>'Expenditures 15-22'!C16</f>
        <v>68338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107407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921821</v>
      </c>
      <c r="D717" s="2" t="str">
        <f t="shared" si="10"/>
        <v>Error?</v>
      </c>
    </row>
    <row r="718" spans="1:4" x14ac:dyDescent="0.2">
      <c r="A718" s="5">
        <v>657</v>
      </c>
      <c r="B718" s="138">
        <f>'Expenditures 15-22'!C14</f>
        <v>1165901</v>
      </c>
      <c r="D718" s="2" t="str">
        <f t="shared" si="10"/>
        <v>Error?</v>
      </c>
    </row>
    <row r="719" spans="1:4" x14ac:dyDescent="0.2">
      <c r="A719" s="5">
        <v>658</v>
      </c>
      <c r="B719" s="138">
        <f>'Expenditures 15-22'!C15</f>
        <v>79188</v>
      </c>
      <c r="D719" s="2" t="str">
        <f t="shared" si="10"/>
        <v>Error?</v>
      </c>
    </row>
    <row r="720" spans="1:4" x14ac:dyDescent="0.2">
      <c r="A720" s="5">
        <v>659</v>
      </c>
      <c r="B720" s="138">
        <f>'Expenditures 15-22'!C33</f>
        <v>25574262</v>
      </c>
      <c r="C720" s="2" t="s">
        <v>572</v>
      </c>
      <c r="D720" s="2" t="str">
        <f t="shared" si="10"/>
        <v>Error?</v>
      </c>
    </row>
    <row r="721" spans="1:4" x14ac:dyDescent="0.2">
      <c r="A721" s="5">
        <v>660</v>
      </c>
      <c r="B721" s="138">
        <f>'Expenditures 15-22'!C36</f>
        <v>588426</v>
      </c>
      <c r="D721" s="2" t="str">
        <f t="shared" si="10"/>
        <v>Error?</v>
      </c>
    </row>
    <row r="722" spans="1:4" x14ac:dyDescent="0.2">
      <c r="A722" s="5">
        <v>661</v>
      </c>
      <c r="B722" s="138">
        <f>'Expenditures 15-22'!C37</f>
        <v>394477</v>
      </c>
      <c r="D722" s="2" t="str">
        <f t="shared" si="10"/>
        <v>Error?</v>
      </c>
    </row>
    <row r="723" spans="1:4" x14ac:dyDescent="0.2">
      <c r="A723" s="5">
        <v>662</v>
      </c>
      <c r="B723" s="138">
        <f>'Expenditures 15-22'!C38</f>
        <v>861955</v>
      </c>
      <c r="D723" s="2" t="str">
        <f t="shared" si="10"/>
        <v>Error?</v>
      </c>
    </row>
    <row r="724" spans="1:4" x14ac:dyDescent="0.2">
      <c r="A724" s="5">
        <v>663</v>
      </c>
      <c r="B724" s="138">
        <f>'Expenditures 15-22'!C39</f>
        <v>530662</v>
      </c>
      <c r="D724" s="2" t="str">
        <f t="shared" si="10"/>
        <v>Error?</v>
      </c>
    </row>
    <row r="725" spans="1:4" x14ac:dyDescent="0.2">
      <c r="A725" s="5">
        <v>664</v>
      </c>
      <c r="B725" s="138">
        <f>'Expenditures 15-22'!C40</f>
        <v>613087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2988607</v>
      </c>
      <c r="C727" s="2" t="s">
        <v>572</v>
      </c>
      <c r="D727" s="2" t="str">
        <f t="shared" si="10"/>
        <v>Error?</v>
      </c>
    </row>
    <row r="728" spans="1:4" x14ac:dyDescent="0.2">
      <c r="A728" s="5">
        <v>667</v>
      </c>
      <c r="B728" s="138">
        <f>'Expenditures 15-22'!C44</f>
        <v>386042</v>
      </c>
      <c r="D728" s="2" t="str">
        <f t="shared" si="10"/>
        <v>Error?</v>
      </c>
    </row>
    <row r="729" spans="1:4" x14ac:dyDescent="0.2">
      <c r="A729" s="5">
        <v>668</v>
      </c>
      <c r="B729" s="138">
        <f>'Expenditures 15-22'!C45</f>
        <v>128449</v>
      </c>
      <c r="D729" s="2" t="str">
        <f t="shared" si="10"/>
        <v>Error?</v>
      </c>
    </row>
    <row r="730" spans="1:4" x14ac:dyDescent="0.2">
      <c r="A730" s="5">
        <v>669</v>
      </c>
      <c r="B730" s="138">
        <f>'Expenditures 15-22'!C46</f>
        <v>14136</v>
      </c>
      <c r="D730" s="2" t="str">
        <f t="shared" si="10"/>
        <v>Error?</v>
      </c>
    </row>
    <row r="731" spans="1:4" x14ac:dyDescent="0.2">
      <c r="A731" s="5">
        <v>670</v>
      </c>
      <c r="B731" s="138">
        <f>'Expenditures 15-22'!C47</f>
        <v>528627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276413</v>
      </c>
      <c r="D733" s="2" t="str">
        <f t="shared" si="10"/>
        <v>Error?</v>
      </c>
    </row>
    <row r="734" spans="1:4" x14ac:dyDescent="0.2">
      <c r="A734" s="5">
        <v>673</v>
      </c>
      <c r="B734" s="138">
        <f>'Expenditures 15-22'!C53</f>
        <v>670874</v>
      </c>
      <c r="C734" s="2" t="s">
        <v>572</v>
      </c>
      <c r="D734" s="2" t="str">
        <f t="shared" si="10"/>
        <v>Error?</v>
      </c>
    </row>
    <row r="735" spans="1:4" x14ac:dyDescent="0.2">
      <c r="A735" s="5">
        <v>674</v>
      </c>
      <c r="B735" s="138">
        <f>'Expenditures 15-22'!C55</f>
        <v>2433202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2433202</v>
      </c>
      <c r="C737" s="2" t="s">
        <v>572</v>
      </c>
      <c r="D737" s="2" t="str">
        <f t="shared" si="10"/>
        <v>Error?</v>
      </c>
    </row>
    <row r="738" spans="1:4" x14ac:dyDescent="0.2">
      <c r="A738" s="5">
        <v>677</v>
      </c>
      <c r="B738" s="138">
        <f>'Expenditures 15-22'!C59</f>
        <v>143357</v>
      </c>
      <c r="D738" s="2" t="str">
        <f t="shared" si="10"/>
        <v>Error?</v>
      </c>
    </row>
    <row r="739" spans="1:4" x14ac:dyDescent="0.2">
      <c r="A739" s="5">
        <v>678</v>
      </c>
      <c r="B739" s="138">
        <f>'Expenditures 15-22'!C60</f>
        <v>287491</v>
      </c>
      <c r="D739" s="2" t="str">
        <f t="shared" si="10"/>
        <v>Error?</v>
      </c>
    </row>
    <row r="740" spans="1:4" x14ac:dyDescent="0.2">
      <c r="A740" s="5">
        <v>679</v>
      </c>
      <c r="B740" s="138">
        <f>'Expenditures 15-22'!C61</f>
        <v>1928326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971607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3330781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434730</v>
      </c>
      <c r="D748" s="2" t="str">
        <f t="shared" si="10"/>
        <v>Error?</v>
      </c>
    </row>
    <row r="749" spans="1:4" x14ac:dyDescent="0.2">
      <c r="A749" s="5">
        <v>688</v>
      </c>
      <c r="B749" s="138">
        <f>'Expenditures 15-22'!C70</f>
        <v>230875</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665605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10617696</v>
      </c>
      <c r="C755" s="2" t="s">
        <v>572</v>
      </c>
      <c r="D755" s="2" t="str">
        <f t="shared" si="10"/>
        <v>Error?</v>
      </c>
    </row>
    <row r="756" spans="1:4" x14ac:dyDescent="0.2">
      <c r="A756" s="5">
        <v>695</v>
      </c>
      <c r="B756" s="138">
        <f>'Expenditures 15-22'!C75</f>
        <v>752993</v>
      </c>
      <c r="D756" s="2" t="str">
        <f t="shared" si="10"/>
        <v>Error?</v>
      </c>
    </row>
    <row r="757" spans="1:4" x14ac:dyDescent="0.2">
      <c r="A757" s="5">
        <v>696</v>
      </c>
      <c r="B757" s="138">
        <f>'Expenditures 15-22'!C114</f>
        <v>36944951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4665953</v>
      </c>
      <c r="D763" s="2" t="str">
        <f t="shared" si="10"/>
        <v>Error?</v>
      </c>
    </row>
    <row r="764" spans="1:4" x14ac:dyDescent="0.2">
      <c r="A764" s="5">
        <v>703</v>
      </c>
      <c r="B764" s="138">
        <f>'Expenditures 15-22'!D16</f>
        <v>15587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29019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219808</v>
      </c>
      <c r="D775" s="2" t="str">
        <f t="shared" si="11"/>
        <v>Error?</v>
      </c>
    </row>
    <row r="776" spans="1:4" x14ac:dyDescent="0.2">
      <c r="A776" s="5">
        <v>715</v>
      </c>
      <c r="B776" s="138">
        <f>'Expenditures 15-22'!D14</f>
        <v>149005</v>
      </c>
      <c r="D776" s="2" t="str">
        <f t="shared" si="11"/>
        <v>Error?</v>
      </c>
    </row>
    <row r="777" spans="1:4" x14ac:dyDescent="0.2">
      <c r="A777" s="5">
        <v>716</v>
      </c>
      <c r="B777" s="138">
        <f>'Expenditures 15-22'!D15</f>
        <v>9137</v>
      </c>
      <c r="D777" s="2" t="str">
        <f t="shared" si="11"/>
        <v>Error?</v>
      </c>
    </row>
    <row r="778" spans="1:4" x14ac:dyDescent="0.2">
      <c r="A778" s="5">
        <v>717</v>
      </c>
      <c r="B778" s="138">
        <f>'Expenditures 15-22'!D33</f>
        <v>6070058</v>
      </c>
      <c r="C778" s="2" t="s">
        <v>572</v>
      </c>
      <c r="D778" s="2" t="str">
        <f t="shared" si="11"/>
        <v>Error?</v>
      </c>
    </row>
    <row r="779" spans="1:4" x14ac:dyDescent="0.2">
      <c r="A779" s="5">
        <v>718</v>
      </c>
      <c r="B779" s="138">
        <f>'Expenditures 15-22'!D36</f>
        <v>139041</v>
      </c>
      <c r="D779" s="2" t="str">
        <f t="shared" si="11"/>
        <v>Error?</v>
      </c>
    </row>
    <row r="780" spans="1:4" x14ac:dyDescent="0.2">
      <c r="A780" s="5">
        <v>719</v>
      </c>
      <c r="B780" s="138">
        <f>'Expenditures 15-22'!D37</f>
        <v>99621</v>
      </c>
      <c r="D780" s="2" t="str">
        <f t="shared" si="11"/>
        <v>Error?</v>
      </c>
    </row>
    <row r="781" spans="1:4" x14ac:dyDescent="0.2">
      <c r="A781" s="5">
        <v>720</v>
      </c>
      <c r="B781" s="138">
        <f>'Expenditures 15-22'!D38</f>
        <v>196222</v>
      </c>
      <c r="D781" s="2" t="str">
        <f t="shared" si="11"/>
        <v>Error?</v>
      </c>
    </row>
    <row r="782" spans="1:4" x14ac:dyDescent="0.2">
      <c r="A782" s="5">
        <v>721</v>
      </c>
      <c r="B782" s="138">
        <f>'Expenditures 15-22'!D39</f>
        <v>130501</v>
      </c>
      <c r="D782" s="2" t="str">
        <f t="shared" si="11"/>
        <v>Error?</v>
      </c>
    </row>
    <row r="783" spans="1:4" x14ac:dyDescent="0.2">
      <c r="A783" s="5">
        <v>722</v>
      </c>
      <c r="B783" s="138">
        <f>'Expenditures 15-22'!D40</f>
        <v>154082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719467</v>
      </c>
      <c r="C785" s="2" t="s">
        <v>572</v>
      </c>
      <c r="D785" s="2" t="str">
        <f t="shared" si="11"/>
        <v>Error?</v>
      </c>
    </row>
    <row r="786" spans="1:4" x14ac:dyDescent="0.2">
      <c r="A786" s="5">
        <v>725</v>
      </c>
      <c r="B786" s="138">
        <f>'Expenditures 15-22'!D44</f>
        <v>87673</v>
      </c>
      <c r="D786" s="2" t="str">
        <f t="shared" si="11"/>
        <v>Error?</v>
      </c>
    </row>
    <row r="787" spans="1:4" x14ac:dyDescent="0.2">
      <c r="A787" s="5">
        <v>726</v>
      </c>
      <c r="B787" s="138">
        <f>'Expenditures 15-22'!D45</f>
        <v>27241</v>
      </c>
      <c r="D787" s="2" t="str">
        <f t="shared" si="11"/>
        <v>Error?</v>
      </c>
    </row>
    <row r="788" spans="1:4" x14ac:dyDescent="0.2">
      <c r="A788" s="5">
        <v>727</v>
      </c>
      <c r="B788" s="138">
        <f>'Expenditures 15-22'!D46</f>
        <v>1216</v>
      </c>
      <c r="D788" s="2" t="str">
        <f t="shared" si="11"/>
        <v>Error?</v>
      </c>
    </row>
    <row r="789" spans="1:4" x14ac:dyDescent="0.2">
      <c r="A789" s="5">
        <v>728</v>
      </c>
      <c r="B789" s="138">
        <f>'Expenditures 15-22'!D47</f>
        <v>116130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67919</v>
      </c>
      <c r="D791" s="2" t="str">
        <f t="shared" si="11"/>
        <v>Error?</v>
      </c>
    </row>
    <row r="792" spans="1:4" x14ac:dyDescent="0.2">
      <c r="A792" s="5">
        <v>731</v>
      </c>
      <c r="B792" s="138">
        <f>'Expenditures 15-22'!D53</f>
        <v>172578</v>
      </c>
      <c r="C792" s="2" t="s">
        <v>572</v>
      </c>
      <c r="D792" s="2" t="str">
        <f t="shared" si="11"/>
        <v>Error?</v>
      </c>
    </row>
    <row r="793" spans="1:4" x14ac:dyDescent="0.2">
      <c r="A793" s="5">
        <v>732</v>
      </c>
      <c r="B793" s="138">
        <f>'Expenditures 15-22'!D55</f>
        <v>631009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631009</v>
      </c>
      <c r="C795" s="2" t="s">
        <v>572</v>
      </c>
      <c r="D795" s="2" t="str">
        <f t="shared" si="11"/>
        <v>Error?</v>
      </c>
    </row>
    <row r="796" spans="1:4" x14ac:dyDescent="0.2">
      <c r="A796" s="5">
        <v>735</v>
      </c>
      <c r="B796" s="138">
        <f>'Expenditures 15-22'!D59</f>
        <v>14750</v>
      </c>
      <c r="D796" s="2" t="str">
        <f t="shared" si="11"/>
        <v>Error?</v>
      </c>
    </row>
    <row r="797" spans="1:4" x14ac:dyDescent="0.2">
      <c r="A797" s="5">
        <v>736</v>
      </c>
      <c r="B797" s="138">
        <f>'Expenditures 15-22'!D60</f>
        <v>69857</v>
      </c>
      <c r="D797" s="2" t="str">
        <f t="shared" si="11"/>
        <v>Error?</v>
      </c>
    </row>
    <row r="798" spans="1:4" x14ac:dyDescent="0.2">
      <c r="A798" s="5">
        <v>737</v>
      </c>
      <c r="B798" s="138">
        <f>'Expenditures 15-22'!D61</f>
        <v>469145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211186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764938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101321</v>
      </c>
      <c r="D806" s="2" t="str">
        <f t="shared" si="11"/>
        <v>Error?</v>
      </c>
    </row>
    <row r="807" spans="1:4" x14ac:dyDescent="0.2">
      <c r="A807" s="5">
        <v>746</v>
      </c>
      <c r="B807" s="138">
        <f>'Expenditures 15-22'!D70</f>
        <v>64761</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166082</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2570204</v>
      </c>
      <c r="C813" s="2" t="s">
        <v>572</v>
      </c>
      <c r="D813" s="2" t="str">
        <f t="shared" si="11"/>
        <v>Error?</v>
      </c>
    </row>
    <row r="814" spans="1:4" x14ac:dyDescent="0.2">
      <c r="A814" s="5">
        <v>753</v>
      </c>
      <c r="B814" s="138">
        <f>'Expenditures 15-22'!D75</f>
        <v>60024</v>
      </c>
      <c r="D814" s="2" t="str">
        <f t="shared" si="11"/>
        <v>Error?</v>
      </c>
    </row>
    <row r="815" spans="1:4" x14ac:dyDescent="0.2">
      <c r="A815" s="5">
        <v>754</v>
      </c>
      <c r="B815" s="138">
        <f>'Expenditures 15-22'!D114</f>
        <v>8700286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213521</v>
      </c>
      <c r="D821" s="2" t="str">
        <f t="shared" si="11"/>
        <v>Error?</v>
      </c>
    </row>
    <row r="822" spans="1:4" x14ac:dyDescent="0.2">
      <c r="A822" s="5">
        <v>761</v>
      </c>
      <c r="B822" s="138">
        <f>'Expenditures 15-22'!E16</f>
        <v>263</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1192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12217</v>
      </c>
      <c r="D833" s="2" t="str">
        <f t="shared" si="12"/>
        <v>Error?</v>
      </c>
    </row>
    <row r="834" spans="1:4" x14ac:dyDescent="0.2">
      <c r="A834" s="5">
        <v>773</v>
      </c>
      <c r="B834" s="138">
        <f>'Expenditures 15-22'!E14</f>
        <v>104235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489308</v>
      </c>
      <c r="C836" s="2" t="s">
        <v>572</v>
      </c>
      <c r="D836" s="2" t="str">
        <f t="shared" si="12"/>
        <v>Error?</v>
      </c>
    </row>
    <row r="837" spans="1:4" x14ac:dyDescent="0.2">
      <c r="A837" s="5">
        <v>776</v>
      </c>
      <c r="B837" s="138">
        <f>'Expenditures 15-22'!E36</f>
        <v>1732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5100</v>
      </c>
      <c r="D839" s="2" t="str">
        <f t="shared" si="12"/>
        <v>Error?</v>
      </c>
    </row>
    <row r="840" spans="1:4" x14ac:dyDescent="0.2">
      <c r="A840" s="5">
        <v>779</v>
      </c>
      <c r="B840" s="138">
        <f>'Expenditures 15-22'!E39</f>
        <v>3099</v>
      </c>
      <c r="D840" s="2" t="str">
        <f t="shared" si="12"/>
        <v>Error?</v>
      </c>
    </row>
    <row r="841" spans="1:4" x14ac:dyDescent="0.2">
      <c r="A841" s="5">
        <v>780</v>
      </c>
      <c r="B841" s="138">
        <f>'Expenditures 15-22'!E40</f>
        <v>1194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11125</v>
      </c>
      <c r="C843" s="2" t="s">
        <v>572</v>
      </c>
      <c r="D843" s="2" t="str">
        <f t="shared" si="12"/>
        <v>Error?</v>
      </c>
    </row>
    <row r="844" spans="1:4" x14ac:dyDescent="0.2">
      <c r="A844" s="5">
        <v>783</v>
      </c>
      <c r="B844" s="138">
        <f>'Expenditures 15-22'!E44</f>
        <v>70025</v>
      </c>
      <c r="D844" s="2" t="str">
        <f t="shared" si="12"/>
        <v>Error?</v>
      </c>
    </row>
    <row r="845" spans="1:4" x14ac:dyDescent="0.2">
      <c r="A845" s="5">
        <v>784</v>
      </c>
      <c r="B845" s="138">
        <f>'Expenditures 15-22'!E45</f>
        <v>200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70225</v>
      </c>
      <c r="C847" s="2" t="s">
        <v>572</v>
      </c>
      <c r="D847" s="2" t="str">
        <f t="shared" si="12"/>
        <v>Error?</v>
      </c>
    </row>
    <row r="848" spans="1:4" x14ac:dyDescent="0.2">
      <c r="A848" s="5">
        <v>787</v>
      </c>
      <c r="B848" s="138">
        <f>'Expenditures 15-22'!E49</f>
        <v>276229</v>
      </c>
      <c r="D848" s="2" t="str">
        <f t="shared" si="12"/>
        <v>Error?</v>
      </c>
    </row>
    <row r="849" spans="1:4" x14ac:dyDescent="0.2">
      <c r="A849" s="5">
        <v>788</v>
      </c>
      <c r="B849" s="138">
        <f>'Expenditures 15-22'!E50</f>
        <v>8560</v>
      </c>
      <c r="D849" s="2" t="str">
        <f t="shared" si="12"/>
        <v>Error?</v>
      </c>
    </row>
    <row r="850" spans="1:4" x14ac:dyDescent="0.2">
      <c r="A850" s="5">
        <v>789</v>
      </c>
      <c r="B850" s="138">
        <f>'Expenditures 15-22'!E53</f>
        <v>310186</v>
      </c>
      <c r="C850" s="2" t="s">
        <v>572</v>
      </c>
      <c r="D850" s="2" t="str">
        <f t="shared" si="12"/>
        <v>Error?</v>
      </c>
    </row>
    <row r="851" spans="1:4" x14ac:dyDescent="0.2">
      <c r="A851" s="5">
        <v>790</v>
      </c>
      <c r="B851" s="138">
        <f>'Expenditures 15-22'!E55</f>
        <v>30240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30240</v>
      </c>
      <c r="C853" s="2" t="s">
        <v>572</v>
      </c>
      <c r="D853" s="2" t="str">
        <f t="shared" si="12"/>
        <v>Error?</v>
      </c>
    </row>
    <row r="854" spans="1:4" x14ac:dyDescent="0.2">
      <c r="A854" s="5">
        <v>793</v>
      </c>
      <c r="B854" s="138">
        <f>'Expenditures 15-22'!E59</f>
        <v>14098</v>
      </c>
      <c r="D854" s="2" t="str">
        <f t="shared" si="12"/>
        <v>Error?</v>
      </c>
    </row>
    <row r="855" spans="1:4" x14ac:dyDescent="0.2">
      <c r="A855" s="5">
        <v>794</v>
      </c>
      <c r="B855" s="138">
        <f>'Expenditures 15-22'!E60</f>
        <v>0</v>
      </c>
      <c r="D855" s="2" t="str">
        <f t="shared" si="12"/>
        <v>Error?</v>
      </c>
    </row>
    <row r="856" spans="1:4" x14ac:dyDescent="0.2">
      <c r="A856" s="5">
        <v>795</v>
      </c>
      <c r="B856" s="138">
        <f>'Expenditures 15-22'!E61</f>
        <v>50690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1398803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1463591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185274</v>
      </c>
      <c r="D864" s="2" t="str">
        <f t="shared" si="12"/>
        <v>Error?</v>
      </c>
    </row>
    <row r="865" spans="1:4" x14ac:dyDescent="0.2">
      <c r="A865" s="5">
        <v>804</v>
      </c>
      <c r="B865" s="138">
        <f>'Expenditures 15-22'!E70</f>
        <v>2333</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187607</v>
      </c>
      <c r="C869" s="2" t="s">
        <v>572</v>
      </c>
      <c r="D869" s="2" t="str">
        <f t="shared" si="12"/>
        <v>Error?</v>
      </c>
    </row>
    <row r="870" spans="1:4" x14ac:dyDescent="0.2">
      <c r="A870" s="5">
        <v>809</v>
      </c>
      <c r="B870" s="138">
        <f>'Expenditures 15-22'!E73</f>
        <v>13245</v>
      </c>
      <c r="D870" s="2" t="str">
        <f t="shared" si="12"/>
        <v>Error?</v>
      </c>
    </row>
    <row r="871" spans="1:4" x14ac:dyDescent="0.2">
      <c r="A871" s="5">
        <v>810</v>
      </c>
      <c r="B871" s="138">
        <f>'Expenditures 15-22'!E74</f>
        <v>2086219</v>
      </c>
      <c r="C871" s="2" t="s">
        <v>572</v>
      </c>
      <c r="D871" s="2" t="str">
        <f t="shared" si="12"/>
        <v>Error?</v>
      </c>
    </row>
    <row r="872" spans="1:4" x14ac:dyDescent="0.2">
      <c r="A872" s="5">
        <v>811</v>
      </c>
      <c r="B872" s="138">
        <f>'Expenditures 15-22'!E75</f>
        <v>64348</v>
      </c>
      <c r="D872" s="2" t="str">
        <f t="shared" si="12"/>
        <v>Error?</v>
      </c>
    </row>
    <row r="873" spans="1:4" x14ac:dyDescent="0.2">
      <c r="A873" s="5">
        <v>812</v>
      </c>
      <c r="B873" s="138">
        <f>'Expenditures 15-22'!E114</f>
        <v>2721345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1584913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29281</v>
      </c>
      <c r="D891" s="2" t="str">
        <f t="shared" si="12"/>
        <v>Error?</v>
      </c>
    </row>
    <row r="892" spans="1:4" x14ac:dyDescent="0.2">
      <c r="A892" s="5">
        <v>831</v>
      </c>
      <c r="B892" s="138">
        <f>'Expenditures 15-22'!F14</f>
        <v>81383</v>
      </c>
      <c r="D892" s="2" t="str">
        <f t="shared" si="12"/>
        <v>Error?</v>
      </c>
    </row>
    <row r="893" spans="1:4" x14ac:dyDescent="0.2">
      <c r="A893" s="5">
        <v>832</v>
      </c>
      <c r="B893" s="138">
        <f>'Expenditures 15-22'!F15</f>
        <v>638</v>
      </c>
      <c r="D893" s="2" t="str">
        <f t="shared" si="12"/>
        <v>Error?</v>
      </c>
    </row>
    <row r="894" spans="1:4" x14ac:dyDescent="0.2">
      <c r="A894" s="5">
        <v>833</v>
      </c>
      <c r="B894" s="138">
        <f>'Expenditures 15-22'!F33</f>
        <v>1846631</v>
      </c>
      <c r="C894" s="2" t="s">
        <v>572</v>
      </c>
      <c r="D894" s="2" t="str">
        <f t="shared" si="12"/>
        <v>Error?</v>
      </c>
    </row>
    <row r="895" spans="1:4" x14ac:dyDescent="0.2">
      <c r="A895" s="5">
        <v>834</v>
      </c>
      <c r="B895" s="138">
        <f>'Expenditures 15-22'!F36</f>
        <v>3501</v>
      </c>
      <c r="D895" s="2" t="str">
        <f t="shared" ref="D895:D958" si="13">IF(ISBLANK(B895),"OK",IF(A895-B895=0,"OK","Error?"))</f>
        <v>Error?</v>
      </c>
    </row>
    <row r="896" spans="1:4" x14ac:dyDescent="0.2">
      <c r="A896" s="5">
        <v>835</v>
      </c>
      <c r="B896" s="138">
        <f>'Expenditures 15-22'!F37</f>
        <v>19073</v>
      </c>
      <c r="D896" s="2" t="str">
        <f t="shared" si="13"/>
        <v>Error?</v>
      </c>
    </row>
    <row r="897" spans="1:4" x14ac:dyDescent="0.2">
      <c r="A897" s="5">
        <v>836</v>
      </c>
      <c r="B897" s="138">
        <f>'Expenditures 15-22'!F38</f>
        <v>21963</v>
      </c>
      <c r="D897" s="2" t="str">
        <f t="shared" si="13"/>
        <v>Error?</v>
      </c>
    </row>
    <row r="898" spans="1:4" x14ac:dyDescent="0.2">
      <c r="A898" s="5">
        <v>837</v>
      </c>
      <c r="B898" s="138">
        <f>'Expenditures 15-22'!F39</f>
        <v>9318</v>
      </c>
      <c r="D898" s="2" t="str">
        <f t="shared" si="13"/>
        <v>Error?</v>
      </c>
    </row>
    <row r="899" spans="1:4" x14ac:dyDescent="0.2">
      <c r="A899" s="5">
        <v>838</v>
      </c>
      <c r="B899" s="138">
        <f>'Expenditures 15-22'!F40</f>
        <v>6075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59930</v>
      </c>
      <c r="C901" s="2" t="s">
        <v>572</v>
      </c>
      <c r="D901" s="2" t="str">
        <f t="shared" si="13"/>
        <v>Error?</v>
      </c>
    </row>
    <row r="902" spans="1:4" x14ac:dyDescent="0.2">
      <c r="A902" s="5">
        <v>841</v>
      </c>
      <c r="B902" s="138">
        <f>'Expenditures 15-22'!F44</f>
        <v>13205</v>
      </c>
      <c r="D902" s="2" t="str">
        <f t="shared" si="13"/>
        <v>Error?</v>
      </c>
    </row>
    <row r="903" spans="1:4" x14ac:dyDescent="0.2">
      <c r="A903" s="5">
        <v>842</v>
      </c>
      <c r="B903" s="138">
        <f>'Expenditures 15-22'!F45</f>
        <v>12865</v>
      </c>
      <c r="D903" s="2" t="str">
        <f t="shared" si="13"/>
        <v>Error?</v>
      </c>
    </row>
    <row r="904" spans="1:4" x14ac:dyDescent="0.2">
      <c r="A904" s="5">
        <v>843</v>
      </c>
      <c r="B904" s="138">
        <f>'Expenditures 15-22'!F46</f>
        <v>4392</v>
      </c>
      <c r="D904" s="2" t="str">
        <f t="shared" si="13"/>
        <v>Error?</v>
      </c>
    </row>
    <row r="905" spans="1:4" x14ac:dyDescent="0.2">
      <c r="A905" s="5">
        <v>844</v>
      </c>
      <c r="B905" s="138">
        <f>'Expenditures 15-22'!F47</f>
        <v>30462</v>
      </c>
      <c r="C905" s="2" t="s">
        <v>572</v>
      </c>
      <c r="D905" s="2" t="str">
        <f t="shared" si="13"/>
        <v>Error?</v>
      </c>
    </row>
    <row r="906" spans="1:4" x14ac:dyDescent="0.2">
      <c r="A906" s="5">
        <v>845</v>
      </c>
      <c r="B906" s="138">
        <f>'Expenditures 15-22'!F49</f>
        <v>4895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6671</v>
      </c>
      <c r="C908" s="2" t="s">
        <v>572</v>
      </c>
      <c r="D908" s="2" t="str">
        <f t="shared" si="13"/>
        <v>Error?</v>
      </c>
    </row>
    <row r="909" spans="1:4" x14ac:dyDescent="0.2">
      <c r="A909" s="5">
        <v>848</v>
      </c>
      <c r="B909" s="138">
        <f>'Expenditures 15-22'!F55</f>
        <v>2163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2163</v>
      </c>
      <c r="C911" s="2" t="s">
        <v>572</v>
      </c>
      <c r="D911" s="2" t="str">
        <f t="shared" si="13"/>
        <v>Error?</v>
      </c>
    </row>
    <row r="912" spans="1:4" x14ac:dyDescent="0.2">
      <c r="A912" s="5">
        <v>851</v>
      </c>
      <c r="B912" s="138">
        <f>'Expenditures 15-22'!F59</f>
        <v>33602</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166518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51080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251200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114842</v>
      </c>
      <c r="D922" s="2" t="str">
        <f t="shared" si="13"/>
        <v>Error?</v>
      </c>
    </row>
    <row r="923" spans="1:4" x14ac:dyDescent="0.2">
      <c r="A923" s="5">
        <v>862</v>
      </c>
      <c r="B923" s="138">
        <f>'Expenditures 15-22'!F70</f>
        <v>4371</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119213</v>
      </c>
      <c r="C927" s="2" t="s">
        <v>572</v>
      </c>
      <c r="D927" s="2" t="str">
        <f t="shared" si="13"/>
        <v>Error?</v>
      </c>
    </row>
    <row r="928" spans="1:4" x14ac:dyDescent="0.2">
      <c r="A928" s="5">
        <v>867</v>
      </c>
      <c r="B928" s="138">
        <f>'Expenditures 15-22'!F73</f>
        <v>1200</v>
      </c>
      <c r="D928" s="2" t="str">
        <f t="shared" si="13"/>
        <v>Error?</v>
      </c>
    </row>
    <row r="929" spans="1:4" x14ac:dyDescent="0.2">
      <c r="A929" s="5">
        <v>868</v>
      </c>
      <c r="B929" s="138">
        <f>'Expenditures 15-22'!F74</f>
        <v>470839</v>
      </c>
      <c r="C929" s="2" t="s">
        <v>572</v>
      </c>
      <c r="D929" s="2" t="str">
        <f t="shared" si="13"/>
        <v>Error?</v>
      </c>
    </row>
    <row r="930" spans="1:4" x14ac:dyDescent="0.2">
      <c r="A930" s="5">
        <v>869</v>
      </c>
      <c r="B930" s="138">
        <f>'Expenditures 15-22'!F75</f>
        <v>17294</v>
      </c>
      <c r="D930" s="2" t="str">
        <f t="shared" si="13"/>
        <v>Error?</v>
      </c>
    </row>
    <row r="931" spans="1:4" x14ac:dyDescent="0.2">
      <c r="A931" s="5">
        <v>870</v>
      </c>
      <c r="B931" s="138">
        <f>'Expenditures 15-22'!F114</f>
        <v>2334764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17361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17361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6697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6697</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7974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66894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74868</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81565</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98926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34842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1194141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1188</v>
      </c>
      <c r="D1023" s="2" t="str">
        <f t="shared" ref="D1023:D1086" si="15">IF(ISBLANK(B1023),"OK",IF(A1023-B1023=0,"OK","Error?"))</f>
        <v>Error?</v>
      </c>
    </row>
    <row r="1024" spans="1:4" x14ac:dyDescent="0.2">
      <c r="A1024" s="5">
        <v>963</v>
      </c>
      <c r="B1024" s="138">
        <f>'Expenditures 15-22'!H53</f>
        <v>1188</v>
      </c>
      <c r="C1024" s="2" t="s">
        <v>572</v>
      </c>
      <c r="D1024" s="2" t="str">
        <f t="shared" si="15"/>
        <v>Error?</v>
      </c>
    </row>
    <row r="1025" spans="1:4" x14ac:dyDescent="0.2">
      <c r="A1025" s="5">
        <v>964</v>
      </c>
      <c r="B1025" s="138">
        <f>'Expenditures 15-22'!H55</f>
        <v>800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800</v>
      </c>
      <c r="C1027" s="2" t="s">
        <v>572</v>
      </c>
      <c r="D1027" s="2" t="str">
        <f t="shared" si="15"/>
        <v>Error?</v>
      </c>
    </row>
    <row r="1028" spans="1:4" x14ac:dyDescent="0.2">
      <c r="A1028" s="5">
        <v>967</v>
      </c>
      <c r="B1028" s="138">
        <f>'Expenditures 15-22'!H59</f>
        <v>2649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2649</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3021</v>
      </c>
      <c r="D1044" s="2" t="str">
        <f t="shared" si="15"/>
        <v>Error?</v>
      </c>
    </row>
    <row r="1045" spans="1:4" x14ac:dyDescent="0.2">
      <c r="A1045" s="5">
        <v>984</v>
      </c>
      <c r="B1045" s="138">
        <f>'Expenditures 15-22'!H74</f>
        <v>7658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1201799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24461614</v>
      </c>
      <c r="C1093" s="2" t="s">
        <v>572</v>
      </c>
      <c r="D1093" s="2" t="str">
        <f t="shared" si="16"/>
        <v>Error?</v>
      </c>
    </row>
    <row r="1094" spans="1:4" x14ac:dyDescent="0.2">
      <c r="A1094" s="5">
        <v>1033</v>
      </c>
      <c r="B1094" s="138">
        <f>'Expenditures 15-22'!K16</f>
        <v>84188</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137722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1243473</v>
      </c>
      <c r="C1105" s="2" t="s">
        <v>572</v>
      </c>
      <c r="D1105" s="2" t="str">
        <f t="shared" si="16"/>
        <v>Error?</v>
      </c>
    </row>
    <row r="1106" spans="1:4" x14ac:dyDescent="0.2">
      <c r="A1106" s="5">
        <v>1045</v>
      </c>
      <c r="B1106" s="138">
        <f>'Expenditures 15-22'!K14</f>
        <v>1570537</v>
      </c>
      <c r="C1106" s="2" t="s">
        <v>572</v>
      </c>
      <c r="D1106" s="2" t="str">
        <f t="shared" si="16"/>
        <v>Error?</v>
      </c>
    </row>
    <row r="1107" spans="1:4" x14ac:dyDescent="0.2">
      <c r="A1107" s="5">
        <v>1046</v>
      </c>
      <c r="B1107" s="138">
        <f>'Expenditures 15-22'!K15</f>
        <v>88963</v>
      </c>
      <c r="C1107" s="2" t="s">
        <v>572</v>
      </c>
      <c r="D1107" s="2" t="str">
        <f t="shared" si="16"/>
        <v>Error?</v>
      </c>
    </row>
    <row r="1108" spans="1:4" x14ac:dyDescent="0.2">
      <c r="A1108" s="5">
        <v>1047</v>
      </c>
      <c r="B1108" s="138">
        <f>'Expenditures 15-22'!K33</f>
        <v>35410805</v>
      </c>
      <c r="C1108" s="2" t="s">
        <v>572</v>
      </c>
      <c r="D1108" s="2" t="str">
        <f t="shared" si="16"/>
        <v>Error?</v>
      </c>
    </row>
    <row r="1109" spans="1:4" x14ac:dyDescent="0.2">
      <c r="A1109" s="5">
        <v>1048</v>
      </c>
      <c r="B1109" s="138">
        <f>'Expenditures 15-22'!K36</f>
        <v>755461</v>
      </c>
      <c r="C1109" s="2" t="s">
        <v>572</v>
      </c>
      <c r="D1109" s="2" t="str">
        <f t="shared" si="16"/>
        <v>Error?</v>
      </c>
    </row>
    <row r="1110" spans="1:4" x14ac:dyDescent="0.2">
      <c r="A1110" s="5">
        <v>1049</v>
      </c>
      <c r="B1110" s="138">
        <f>'Expenditures 15-22'!K37</f>
        <v>513171</v>
      </c>
      <c r="C1110" s="2" t="s">
        <v>572</v>
      </c>
      <c r="D1110" s="2" t="str">
        <f t="shared" si="16"/>
        <v>Error?</v>
      </c>
    </row>
    <row r="1111" spans="1:4" x14ac:dyDescent="0.2">
      <c r="A1111" s="5">
        <v>1050</v>
      </c>
      <c r="B1111" s="138">
        <f>'Expenditures 15-22'!K38</f>
        <v>1092757</v>
      </c>
      <c r="C1111" s="2" t="s">
        <v>572</v>
      </c>
      <c r="D1111" s="2" t="str">
        <f t="shared" si="16"/>
        <v>Error?</v>
      </c>
    </row>
    <row r="1112" spans="1:4" x14ac:dyDescent="0.2">
      <c r="A1112" s="5">
        <v>1051</v>
      </c>
      <c r="B1112" s="138">
        <f>'Expenditures 15-22'!K39</f>
        <v>673580</v>
      </c>
      <c r="C1112" s="2" t="s">
        <v>572</v>
      </c>
      <c r="D1112" s="2" t="str">
        <f t="shared" si="16"/>
        <v>Error?</v>
      </c>
    </row>
    <row r="1113" spans="1:4" x14ac:dyDescent="0.2">
      <c r="A1113" s="5">
        <v>1052</v>
      </c>
      <c r="B1113" s="138">
        <f>'Expenditures 15-22'!K40</f>
        <v>783730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3818699</v>
      </c>
      <c r="C1115" s="2" t="s">
        <v>572</v>
      </c>
      <c r="D1115" s="2" t="str">
        <f t="shared" si="16"/>
        <v>Error?</v>
      </c>
    </row>
    <row r="1116" spans="1:4" x14ac:dyDescent="0.2">
      <c r="A1116" s="5">
        <v>1055</v>
      </c>
      <c r="B1116" s="138">
        <f>'Expenditures 15-22'!K44</f>
        <v>556945</v>
      </c>
      <c r="C1116" s="2" t="s">
        <v>572</v>
      </c>
      <c r="D1116" s="2" t="str">
        <f t="shared" si="16"/>
        <v>Error?</v>
      </c>
    </row>
    <row r="1117" spans="1:4" x14ac:dyDescent="0.2">
      <c r="A1117" s="5">
        <v>1056</v>
      </c>
      <c r="B1117" s="138">
        <f>'Expenditures 15-22'!K45</f>
        <v>190588</v>
      </c>
      <c r="C1117" s="2" t="s">
        <v>572</v>
      </c>
      <c r="D1117" s="2" t="str">
        <f t="shared" si="16"/>
        <v>Error?</v>
      </c>
    </row>
    <row r="1118" spans="1:4" x14ac:dyDescent="0.2">
      <c r="A1118" s="5">
        <v>1057</v>
      </c>
      <c r="B1118" s="138">
        <f>'Expenditures 15-22'!K46</f>
        <v>19744</v>
      </c>
      <c r="C1118" s="2" t="s">
        <v>572</v>
      </c>
      <c r="D1118" s="2" t="str">
        <f t="shared" si="16"/>
        <v>Error?</v>
      </c>
    </row>
    <row r="1119" spans="1:4" x14ac:dyDescent="0.2">
      <c r="A1119" s="5">
        <v>1058</v>
      </c>
      <c r="B1119" s="138">
        <f>'Expenditures 15-22'!K47</f>
        <v>767277</v>
      </c>
      <c r="C1119" s="2" t="s">
        <v>572</v>
      </c>
      <c r="D1119" s="2" t="str">
        <f t="shared" si="16"/>
        <v>Error?</v>
      </c>
    </row>
    <row r="1120" spans="1:4" x14ac:dyDescent="0.2">
      <c r="A1120" s="5">
        <v>1059</v>
      </c>
      <c r="B1120" s="138">
        <f>'Expenditures 15-22'!K49</f>
        <v>281124</v>
      </c>
      <c r="C1120" s="2" t="s">
        <v>572</v>
      </c>
      <c r="D1120" s="2" t="str">
        <f t="shared" si="16"/>
        <v>Error?</v>
      </c>
    </row>
    <row r="1121" spans="1:4" x14ac:dyDescent="0.2">
      <c r="A1121" s="5">
        <v>1060</v>
      </c>
      <c r="B1121" s="138">
        <f>'Expenditures 15-22'!K50</f>
        <v>354080</v>
      </c>
      <c r="C1121" s="2" t="s">
        <v>572</v>
      </c>
      <c r="D1121" s="2" t="str">
        <f t="shared" si="16"/>
        <v>Error?</v>
      </c>
    </row>
    <row r="1122" spans="1:4" x14ac:dyDescent="0.2">
      <c r="A1122" s="5">
        <v>1061</v>
      </c>
      <c r="B1122" s="138">
        <f>'Expenditures 15-22'!K53</f>
        <v>1161497</v>
      </c>
      <c r="C1122" s="2" t="s">
        <v>572</v>
      </c>
      <c r="D1122" s="2" t="str">
        <f t="shared" si="16"/>
        <v>Error?</v>
      </c>
    </row>
    <row r="1123" spans="1:4" x14ac:dyDescent="0.2">
      <c r="A1123" s="5">
        <v>1062</v>
      </c>
      <c r="B1123" s="138">
        <f>'Expenditures 15-22'!K55</f>
        <v>3097414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3097414</v>
      </c>
      <c r="C1125" s="2" t="s">
        <v>572</v>
      </c>
      <c r="D1125" s="2" t="str">
        <f t="shared" si="16"/>
        <v>Error?</v>
      </c>
    </row>
    <row r="1126" spans="1:4" x14ac:dyDescent="0.2">
      <c r="A1126" s="5">
        <v>1065</v>
      </c>
      <c r="B1126" s="138">
        <f>'Expenditures 15-22'!K59</f>
        <v>208456</v>
      </c>
      <c r="C1126" s="2" t="s">
        <v>572</v>
      </c>
      <c r="D1126" s="2" t="str">
        <f t="shared" si="16"/>
        <v>Error?</v>
      </c>
    </row>
    <row r="1127" spans="1:4" x14ac:dyDescent="0.2">
      <c r="A1127" s="5">
        <v>1066</v>
      </c>
      <c r="B1127" s="138">
        <f>'Expenditures 15-22'!K60</f>
        <v>357348</v>
      </c>
      <c r="C1127" s="2" t="s">
        <v>572</v>
      </c>
      <c r="D1127" s="2" t="str">
        <f t="shared" si="16"/>
        <v>Error?</v>
      </c>
    </row>
    <row r="1128" spans="1:4" x14ac:dyDescent="0.2">
      <c r="A1128" s="5">
        <v>1067</v>
      </c>
      <c r="B1128" s="138">
        <f>'Expenditures 15-22'!K61</f>
        <v>2646065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2699570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5911439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1750260</v>
      </c>
      <c r="C1136" s="2" t="s">
        <v>572</v>
      </c>
      <c r="D1136" s="2" t="str">
        <f t="shared" si="16"/>
        <v>Error?</v>
      </c>
    </row>
    <row r="1137" spans="1:4" x14ac:dyDescent="0.2">
      <c r="A1137" s="5">
        <v>1076</v>
      </c>
      <c r="B1137" s="138">
        <f>'Expenditures 15-22'!K70</f>
        <v>307446</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2057706</v>
      </c>
      <c r="C1141" s="2" t="s">
        <v>572</v>
      </c>
      <c r="D1141" s="2" t="str">
        <f t="shared" si="16"/>
        <v>Error?</v>
      </c>
    </row>
    <row r="1142" spans="1:4" x14ac:dyDescent="0.2">
      <c r="A1142" s="5">
        <v>1081</v>
      </c>
      <c r="B1142" s="138">
        <f>'Expenditures 15-22'!K73</f>
        <v>17466</v>
      </c>
      <c r="C1142" s="2" t="s">
        <v>572</v>
      </c>
      <c r="D1142" s="2" t="str">
        <f t="shared" si="16"/>
        <v>Error?</v>
      </c>
    </row>
    <row r="1143" spans="1:4" x14ac:dyDescent="0.2">
      <c r="A1143" s="5">
        <v>1082</v>
      </c>
      <c r="B1143" s="138">
        <f>'Expenditures 15-22'!K74</f>
        <v>16831498</v>
      </c>
      <c r="C1143" s="2" t="s">
        <v>572</v>
      </c>
      <c r="D1143" s="2" t="str">
        <f t="shared" si="16"/>
        <v>Error?</v>
      </c>
    </row>
    <row r="1144" spans="1:4" x14ac:dyDescent="0.2">
      <c r="A1144" s="5">
        <v>1083</v>
      </c>
      <c r="B1144" s="138">
        <f>'Expenditures 15-22'!K75</f>
        <v>894659</v>
      </c>
      <c r="C1144" s="2" t="s">
        <v>572</v>
      </c>
      <c r="D1144" s="2" t="str">
        <f t="shared" si="16"/>
        <v>Error?</v>
      </c>
    </row>
    <row r="1145" spans="1:4" x14ac:dyDescent="0.2">
      <c r="A1145" s="5">
        <v>1084</v>
      </c>
      <c r="B1145" s="138">
        <f>'Expenditures 15-22'!K102</f>
        <v>81470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53218432</v>
      </c>
      <c r="C1152" s="2" t="s">
        <v>572</v>
      </c>
      <c r="D1152" s="2" t="str">
        <f t="shared" si="17"/>
        <v>Error?</v>
      </c>
    </row>
    <row r="1153" spans="1:4" x14ac:dyDescent="0.2">
      <c r="A1153" s="5">
        <v>1092</v>
      </c>
      <c r="B1153" s="138">
        <f>'Expenditures 15-22'!K115</f>
        <v>5238338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777643</v>
      </c>
      <c r="D1221" s="2" t="str">
        <f t="shared" si="18"/>
        <v>Error?</v>
      </c>
    </row>
    <row r="1222" spans="1:4" x14ac:dyDescent="0.2">
      <c r="A1222" s="10">
        <v>1161</v>
      </c>
      <c r="D1222" s="2" t="str">
        <f t="shared" si="18"/>
        <v>OK</v>
      </c>
    </row>
    <row r="1223" spans="1:4" x14ac:dyDescent="0.2">
      <c r="A1223" s="5">
        <v>1162</v>
      </c>
      <c r="B1223" s="138">
        <f>'Expenditures 15-22'!C127</f>
        <v>777643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777643</v>
      </c>
      <c r="C1225" s="2" t="s">
        <v>572</v>
      </c>
      <c r="D1225" s="2" t="str">
        <f t="shared" si="18"/>
        <v>Error?</v>
      </c>
    </row>
    <row r="1226" spans="1:4" x14ac:dyDescent="0.2">
      <c r="A1226" s="5">
        <v>1165</v>
      </c>
      <c r="B1226" s="138">
        <f>'Expenditures 15-22'!C151</f>
        <v>777643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153549</v>
      </c>
      <c r="D1229" s="2" t="str">
        <f t="shared" si="18"/>
        <v>Error?</v>
      </c>
    </row>
    <row r="1230" spans="1:4" x14ac:dyDescent="0.2">
      <c r="A1230" s="10">
        <v>1169</v>
      </c>
      <c r="D1230" s="2" t="str">
        <f t="shared" si="18"/>
        <v>OK</v>
      </c>
    </row>
    <row r="1231" spans="1:4" x14ac:dyDescent="0.2">
      <c r="A1231" s="5">
        <v>1170</v>
      </c>
      <c r="B1231" s="138">
        <f>'Expenditures 15-22'!D127</f>
        <v>153549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153549</v>
      </c>
      <c r="C1233" s="2" t="s">
        <v>572</v>
      </c>
      <c r="D1233" s="2" t="str">
        <f t="shared" si="18"/>
        <v>Error?</v>
      </c>
    </row>
    <row r="1234" spans="1:4" x14ac:dyDescent="0.2">
      <c r="A1234" s="5">
        <v>1173</v>
      </c>
      <c r="B1234" s="138">
        <f>'Expenditures 15-22'!D151</f>
        <v>153549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998295</v>
      </c>
      <c r="D1237" s="2" t="str">
        <f t="shared" si="18"/>
        <v>Error?</v>
      </c>
    </row>
    <row r="1238" spans="1:4" x14ac:dyDescent="0.2">
      <c r="A1238" s="10">
        <v>1177</v>
      </c>
      <c r="D1238" s="2" t="str">
        <f t="shared" si="18"/>
        <v>OK</v>
      </c>
    </row>
    <row r="1239" spans="1:4" x14ac:dyDescent="0.2">
      <c r="A1239" s="5">
        <v>1178</v>
      </c>
      <c r="B1239" s="138">
        <f>'Expenditures 15-22'!E127</f>
        <v>998295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998295</v>
      </c>
      <c r="C1241" s="2" t="s">
        <v>572</v>
      </c>
      <c r="D1241" s="2" t="str">
        <f t="shared" si="18"/>
        <v>Error?</v>
      </c>
    </row>
    <row r="1242" spans="1:4" x14ac:dyDescent="0.2">
      <c r="A1242" s="5">
        <v>1181</v>
      </c>
      <c r="B1242" s="138">
        <f>'Expenditures 15-22'!E151</f>
        <v>998295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2933938</v>
      </c>
      <c r="D1245" s="2" t="str">
        <f t="shared" si="18"/>
        <v>Error?</v>
      </c>
    </row>
    <row r="1246" spans="1:4" x14ac:dyDescent="0.2">
      <c r="A1246" s="10">
        <v>1185</v>
      </c>
      <c r="D1246" s="2" t="str">
        <f t="shared" si="18"/>
        <v>OK</v>
      </c>
    </row>
    <row r="1247" spans="1:4" x14ac:dyDescent="0.2">
      <c r="A1247" s="5">
        <v>1186</v>
      </c>
      <c r="B1247" s="138">
        <f>'Expenditures 15-22'!F127</f>
        <v>2933938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2933938</v>
      </c>
      <c r="C1249" s="2" t="s">
        <v>572</v>
      </c>
      <c r="D1249" s="2" t="str">
        <f t="shared" si="18"/>
        <v>Error?</v>
      </c>
    </row>
    <row r="1250" spans="1:4" x14ac:dyDescent="0.2">
      <c r="A1250" s="5">
        <v>1189</v>
      </c>
      <c r="B1250" s="138">
        <f>'Expenditures 15-22'!F151</f>
        <v>2933938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1206960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1206960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1206960</v>
      </c>
      <c r="C1258" s="2" t="s">
        <v>572</v>
      </c>
      <c r="D1258" s="2" t="str">
        <f t="shared" si="18"/>
        <v>Error?</v>
      </c>
    </row>
    <row r="1259" spans="1:4" x14ac:dyDescent="0.2">
      <c r="A1259" s="5">
        <v>1198</v>
      </c>
      <c r="B1259" s="138">
        <f>'Expenditures 15-22'!G151</f>
        <v>1206960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6078321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6078321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6078321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6078321</v>
      </c>
      <c r="C1288" s="2" t="s">
        <v>572</v>
      </c>
      <c r="D1288" s="2" t="str">
        <f t="shared" si="19"/>
        <v>Error?</v>
      </c>
    </row>
    <row r="1289" spans="1:4" x14ac:dyDescent="0.2">
      <c r="A1289" s="5">
        <v>1228</v>
      </c>
      <c r="B1289" s="138">
        <f>'Expenditures 15-22'!K152</f>
        <v>1134407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2307590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9466245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11773835</v>
      </c>
      <c r="C1317" s="2" t="s">
        <v>572</v>
      </c>
      <c r="D1317" s="2" t="str">
        <f t="shared" si="19"/>
        <v>Error?</v>
      </c>
    </row>
    <row r="1318" spans="1:4" x14ac:dyDescent="0.2">
      <c r="A1318" s="5">
        <v>1257</v>
      </c>
      <c r="B1318" s="138">
        <f>'Expenditures 15-22'!H174</f>
        <v>11773835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2307590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9466245</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11773835</v>
      </c>
      <c r="C1331" s="2" t="s">
        <v>572</v>
      </c>
      <c r="D1331" s="2" t="str">
        <f t="shared" si="19"/>
        <v>Error?</v>
      </c>
    </row>
    <row r="1332" spans="1:4" x14ac:dyDescent="0.2">
      <c r="A1332" s="5">
        <v>1271</v>
      </c>
      <c r="B1332" s="138">
        <f>'Expenditures 15-22'!K174</f>
        <v>11773835</v>
      </c>
      <c r="C1332" s="2" t="s">
        <v>572</v>
      </c>
      <c r="D1332" s="2" t="str">
        <f t="shared" si="19"/>
        <v>Error?</v>
      </c>
    </row>
    <row r="1333" spans="1:4" x14ac:dyDescent="0.2">
      <c r="A1333" s="5">
        <v>1272</v>
      </c>
      <c r="B1333" s="138">
        <f>'Expenditures 15-22'!K175</f>
        <v>-403180</v>
      </c>
      <c r="C1333" s="2" t="s">
        <v>572</v>
      </c>
      <c r="D1333" s="2" t="str">
        <f t="shared" si="19"/>
        <v>Error?</v>
      </c>
    </row>
    <row r="1334" spans="1:4" x14ac:dyDescent="0.2">
      <c r="A1334" s="10">
        <v>1273</v>
      </c>
      <c r="D1334" s="2" t="str">
        <f t="shared" si="19"/>
        <v>OK</v>
      </c>
    </row>
    <row r="1335" spans="1:4" x14ac:dyDescent="0.2">
      <c r="A1335" s="5">
        <v>1274</v>
      </c>
      <c r="B1335" s="138">
        <f>'Expenditures 15-22'!C182</f>
        <v>36786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36786</v>
      </c>
      <c r="C1339" s="2" t="s">
        <v>572</v>
      </c>
      <c r="D1339" s="2" t="str">
        <f t="shared" si="19"/>
        <v>Error?</v>
      </c>
    </row>
    <row r="1340" spans="1:4" x14ac:dyDescent="0.2">
      <c r="A1340" s="5">
        <v>1279</v>
      </c>
      <c r="B1340" s="138">
        <f>'Expenditures 15-22'!C210</f>
        <v>36786</v>
      </c>
      <c r="C1340" s="2" t="s">
        <v>572</v>
      </c>
      <c r="D1340" s="2" t="str">
        <f t="shared" si="19"/>
        <v>Error?</v>
      </c>
    </row>
    <row r="1341" spans="1:4" x14ac:dyDescent="0.2">
      <c r="A1341" s="5">
        <v>1280</v>
      </c>
      <c r="B1341" s="138">
        <f>'Expenditures 15-22'!D182</f>
        <v>15621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15621</v>
      </c>
      <c r="C1345" s="2" t="s">
        <v>572</v>
      </c>
      <c r="D1345" s="2" t="str">
        <f t="shared" si="20"/>
        <v>Error?</v>
      </c>
    </row>
    <row r="1346" spans="1:4" x14ac:dyDescent="0.2">
      <c r="A1346" s="5">
        <v>1285</v>
      </c>
      <c r="B1346" s="138">
        <f>'Expenditures 15-22'!D210</f>
        <v>15621</v>
      </c>
      <c r="C1346" s="2" t="s">
        <v>572</v>
      </c>
      <c r="D1346" s="2" t="str">
        <f t="shared" si="20"/>
        <v>Error?</v>
      </c>
    </row>
    <row r="1347" spans="1:4" x14ac:dyDescent="0.2">
      <c r="A1347" s="5">
        <v>1286</v>
      </c>
      <c r="B1347" s="138">
        <f>'Expenditures 15-22'!E182</f>
        <v>4837165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4837165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4837165</v>
      </c>
      <c r="C1353" s="2" t="s">
        <v>572</v>
      </c>
      <c r="D1353" s="2" t="str">
        <f t="shared" si="20"/>
        <v>Error?</v>
      </c>
    </row>
    <row r="1354" spans="1:4" x14ac:dyDescent="0.2">
      <c r="A1354" s="5">
        <v>1293</v>
      </c>
      <c r="B1354" s="138">
        <f>'Expenditures 15-22'!F182</f>
        <v>489995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489995</v>
      </c>
      <c r="C1358" s="2" t="s">
        <v>572</v>
      </c>
      <c r="D1358" s="2" t="str">
        <f t="shared" si="20"/>
        <v>Error?</v>
      </c>
    </row>
    <row r="1359" spans="1:4" x14ac:dyDescent="0.2">
      <c r="A1359" s="5">
        <v>1298</v>
      </c>
      <c r="B1359" s="138">
        <f>'Expenditures 15-22'!F210</f>
        <v>489995</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1876</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1876</v>
      </c>
      <c r="C1375" s="2" t="s">
        <v>572</v>
      </c>
      <c r="D1375" s="2" t="str">
        <f t="shared" si="20"/>
        <v>Error?</v>
      </c>
    </row>
    <row r="1376" spans="1:4" x14ac:dyDescent="0.2">
      <c r="A1376" s="5">
        <v>1315</v>
      </c>
      <c r="B1376" s="138">
        <f>'Expenditures 15-22'!H210</f>
        <v>1876</v>
      </c>
      <c r="C1376" s="2" t="s">
        <v>572</v>
      </c>
      <c r="D1376" s="2" t="str">
        <f t="shared" si="20"/>
        <v>Error?</v>
      </c>
    </row>
    <row r="1377" spans="1:4" x14ac:dyDescent="0.2">
      <c r="A1377" s="5">
        <v>1316</v>
      </c>
      <c r="B1377" s="138">
        <f>'Expenditures 15-22'!K182</f>
        <v>5379567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5379567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1876</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1876</v>
      </c>
      <c r="C1387" s="2" t="s">
        <v>572</v>
      </c>
      <c r="D1387" s="2" t="str">
        <f t="shared" si="20"/>
        <v>Error?</v>
      </c>
    </row>
    <row r="1388" spans="1:4" x14ac:dyDescent="0.2">
      <c r="A1388" s="5">
        <v>1327</v>
      </c>
      <c r="B1388" s="138">
        <f>'Expenditures 15-22'!K210</f>
        <v>5381443</v>
      </c>
      <c r="C1388" s="2" t="s">
        <v>572</v>
      </c>
      <c r="D1388" s="2" t="str">
        <f t="shared" si="20"/>
        <v>Error?</v>
      </c>
    </row>
    <row r="1389" spans="1:4" x14ac:dyDescent="0.2">
      <c r="A1389" s="5">
        <v>1328</v>
      </c>
      <c r="B1389" s="138">
        <f>'Expenditures 15-22'!K211</f>
        <v>1313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981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1264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12608</v>
      </c>
      <c r="D1407" s="2" t="str">
        <f t="shared" ref="D1407:D1470" si="21">IF(ISBLANK(B1407),"OK",IF(A1407-B1407=0,"OK","Error?"))</f>
        <v>Error?</v>
      </c>
    </row>
    <row r="1408" spans="1:4" x14ac:dyDescent="0.2">
      <c r="A1408" s="5">
        <v>1347</v>
      </c>
      <c r="B1408" s="138">
        <f>'Expenditures 15-22'!D223</f>
        <v>64380</v>
      </c>
      <c r="D1408" s="2" t="str">
        <f t="shared" si="21"/>
        <v>Error?</v>
      </c>
    </row>
    <row r="1409" spans="1:4" x14ac:dyDescent="0.2">
      <c r="A1409" s="5">
        <v>1348</v>
      </c>
      <c r="B1409" s="138">
        <f>'Expenditures 15-22'!D224</f>
        <v>1148</v>
      </c>
      <c r="D1409" s="2" t="str">
        <f t="shared" si="21"/>
        <v>Error?</v>
      </c>
    </row>
    <row r="1410" spans="1:4" x14ac:dyDescent="0.2">
      <c r="A1410" s="5">
        <v>1349</v>
      </c>
      <c r="B1410" s="138">
        <f>'Expenditures 15-22'!D229</f>
        <v>594103</v>
      </c>
      <c r="C1410" s="2" t="s">
        <v>572</v>
      </c>
      <c r="D1410" s="2" t="str">
        <f t="shared" si="21"/>
        <v>Error?</v>
      </c>
    </row>
    <row r="1411" spans="1:4" x14ac:dyDescent="0.2">
      <c r="A1411" s="5">
        <v>1350</v>
      </c>
      <c r="B1411" s="138">
        <f>'Expenditures 15-22'!D232</f>
        <v>19371</v>
      </c>
      <c r="D1411" s="2" t="str">
        <f t="shared" si="21"/>
        <v>Error?</v>
      </c>
    </row>
    <row r="1412" spans="1:4" x14ac:dyDescent="0.2">
      <c r="A1412" s="5">
        <v>1351</v>
      </c>
      <c r="B1412" s="138">
        <f>'Expenditures 15-22'!D233</f>
        <v>5442</v>
      </c>
      <c r="D1412" s="2" t="str">
        <f t="shared" si="21"/>
        <v>Error?</v>
      </c>
    </row>
    <row r="1413" spans="1:4" x14ac:dyDescent="0.2">
      <c r="A1413" s="5">
        <v>1352</v>
      </c>
      <c r="B1413" s="138">
        <f>'Expenditures 15-22'!D234</f>
        <v>63997</v>
      </c>
      <c r="D1413" s="2" t="str">
        <f t="shared" si="21"/>
        <v>Error?</v>
      </c>
    </row>
    <row r="1414" spans="1:4" x14ac:dyDescent="0.2">
      <c r="A1414" s="5">
        <v>1353</v>
      </c>
      <c r="B1414" s="138">
        <f>'Expenditures 15-22'!D235</f>
        <v>7904</v>
      </c>
      <c r="D1414" s="2" t="str">
        <f t="shared" si="21"/>
        <v>Error?</v>
      </c>
    </row>
    <row r="1415" spans="1:4" x14ac:dyDescent="0.2">
      <c r="A1415" s="5">
        <v>1354</v>
      </c>
      <c r="B1415" s="138">
        <f>'Expenditures 15-22'!D236</f>
        <v>8384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105098</v>
      </c>
      <c r="C1417" s="2" t="s">
        <v>572</v>
      </c>
      <c r="D1417" s="2" t="str">
        <f t="shared" si="21"/>
        <v>Error?</v>
      </c>
    </row>
    <row r="1418" spans="1:4" x14ac:dyDescent="0.2">
      <c r="A1418" s="5">
        <v>1357</v>
      </c>
      <c r="B1418" s="138">
        <f>'Expenditures 15-22'!D240</f>
        <v>13911</v>
      </c>
      <c r="D1418" s="2" t="str">
        <f t="shared" si="21"/>
        <v>Error?</v>
      </c>
    </row>
    <row r="1419" spans="1:4" x14ac:dyDescent="0.2">
      <c r="A1419" s="5">
        <v>1358</v>
      </c>
      <c r="B1419" s="138">
        <f>'Expenditures 15-22'!D241</f>
        <v>19568</v>
      </c>
      <c r="D1419" s="2" t="str">
        <f t="shared" si="21"/>
        <v>Error?</v>
      </c>
    </row>
    <row r="1420" spans="1:4" x14ac:dyDescent="0.2">
      <c r="A1420" s="5">
        <v>1359</v>
      </c>
      <c r="B1420" s="138">
        <f>'Expenditures 15-22'!D242</f>
        <v>242</v>
      </c>
      <c r="D1420" s="2" t="str">
        <f t="shared" si="21"/>
        <v>Error?</v>
      </c>
    </row>
    <row r="1421" spans="1:4" x14ac:dyDescent="0.2">
      <c r="A1421" s="5">
        <v>1360</v>
      </c>
      <c r="B1421" s="138">
        <f>'Expenditures 15-22'!D243</f>
        <v>33721</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20303</v>
      </c>
      <c r="D1423" s="2" t="str">
        <f t="shared" si="21"/>
        <v>Error?</v>
      </c>
    </row>
    <row r="1424" spans="1:4" x14ac:dyDescent="0.2">
      <c r="A1424" s="5">
        <v>1363</v>
      </c>
      <c r="B1424" s="138">
        <f>'Expenditures 15-22'!D257</f>
        <v>139163</v>
      </c>
      <c r="C1424" s="2" t="s">
        <v>572</v>
      </c>
      <c r="D1424" s="2" t="str">
        <f t="shared" si="21"/>
        <v>Error?</v>
      </c>
    </row>
    <row r="1425" spans="1:4" x14ac:dyDescent="0.2">
      <c r="A1425" s="5">
        <v>1364</v>
      </c>
      <c r="B1425" s="138">
        <f>'Expenditures 15-22'!D259</f>
        <v>141995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141995</v>
      </c>
      <c r="C1427" s="2" t="s">
        <v>572</v>
      </c>
      <c r="D1427" s="2" t="str">
        <f t="shared" si="21"/>
        <v>Error?</v>
      </c>
    </row>
    <row r="1428" spans="1:4" x14ac:dyDescent="0.2">
      <c r="A1428" s="5">
        <v>1367</v>
      </c>
      <c r="B1428" s="138">
        <f>'Expenditures 15-22'!D263</f>
        <v>21578</v>
      </c>
      <c r="D1428" s="2" t="str">
        <f t="shared" si="21"/>
        <v>Error?</v>
      </c>
    </row>
    <row r="1429" spans="1:4" x14ac:dyDescent="0.2">
      <c r="A1429" s="5">
        <v>1368</v>
      </c>
      <c r="B1429" s="138">
        <f>'Expenditures 15-22'!D264</f>
        <v>44487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416088</v>
      </c>
      <c r="D1431" s="2" t="str">
        <f t="shared" si="21"/>
        <v>Error?</v>
      </c>
    </row>
    <row r="1432" spans="1:4" x14ac:dyDescent="0.2">
      <c r="A1432" s="5">
        <v>1371</v>
      </c>
      <c r="B1432" s="138">
        <f>'Expenditures 15-22'!D267</f>
        <v>5656</v>
      </c>
      <c r="D1432" s="2" t="str">
        <f t="shared" si="21"/>
        <v>Error?</v>
      </c>
    </row>
    <row r="1433" spans="1:4" x14ac:dyDescent="0.2">
      <c r="A1433" s="5">
        <v>1372</v>
      </c>
      <c r="B1433" s="138">
        <f>'Expenditures 15-22'!D268</f>
        <v>146931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634740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67101</v>
      </c>
      <c r="D1439" s="2" t="str">
        <f t="shared" si="21"/>
        <v>Error?</v>
      </c>
    </row>
    <row r="1440" spans="1:4" x14ac:dyDescent="0.2">
      <c r="A1440" s="5">
        <v>1379</v>
      </c>
      <c r="B1440" s="138">
        <f>'Expenditures 15-22'!D275</f>
        <v>15127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82228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1136945</v>
      </c>
      <c r="C1446" s="2" t="s">
        <v>572</v>
      </c>
      <c r="D1446" s="2" t="str">
        <f t="shared" si="21"/>
        <v>Error?</v>
      </c>
    </row>
    <row r="1447" spans="1:4" x14ac:dyDescent="0.2">
      <c r="A1447" s="5">
        <v>1386</v>
      </c>
      <c r="B1447" s="138">
        <f>'Expenditures 15-22'!D280</f>
        <v>112927</v>
      </c>
      <c r="D1447" s="2" t="str">
        <f t="shared" si="21"/>
        <v>Error?</v>
      </c>
    </row>
    <row r="1448" spans="1:4" x14ac:dyDescent="0.2">
      <c r="A1448" s="5">
        <v>1387</v>
      </c>
      <c r="B1448" s="138">
        <f>'Expenditures 15-22'!D295</f>
        <v>1843975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981</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1264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12608</v>
      </c>
      <c r="C1471" s="2" t="s">
        <v>572</v>
      </c>
      <c r="D1471" s="2" t="str">
        <f t="shared" ref="D1471:D1534" si="22">IF(ISBLANK(B1471),"OK",IF(A1471-B1471=0,"OK","Error?"))</f>
        <v>Error?</v>
      </c>
    </row>
    <row r="1472" spans="1:4" x14ac:dyDescent="0.2">
      <c r="A1472" s="5">
        <v>1411</v>
      </c>
      <c r="B1472" s="138">
        <f>'Expenditures 15-22'!K223</f>
        <v>64380</v>
      </c>
      <c r="C1472" s="2" t="s">
        <v>572</v>
      </c>
      <c r="D1472" s="2" t="str">
        <f t="shared" si="22"/>
        <v>Error?</v>
      </c>
    </row>
    <row r="1473" spans="1:4" x14ac:dyDescent="0.2">
      <c r="A1473" s="5">
        <v>1412</v>
      </c>
      <c r="B1473" s="138">
        <f>'Expenditures 15-22'!K224</f>
        <v>1148</v>
      </c>
      <c r="C1473" s="2" t="s">
        <v>572</v>
      </c>
      <c r="D1473" s="2" t="str">
        <f t="shared" si="22"/>
        <v>Error?</v>
      </c>
    </row>
    <row r="1474" spans="1:4" x14ac:dyDescent="0.2">
      <c r="A1474" s="5">
        <v>1413</v>
      </c>
      <c r="B1474" s="138">
        <f>'Expenditures 15-22'!K229</f>
        <v>594103</v>
      </c>
      <c r="C1474" s="2" t="s">
        <v>572</v>
      </c>
      <c r="D1474" s="2" t="str">
        <f t="shared" si="22"/>
        <v>Error?</v>
      </c>
    </row>
    <row r="1475" spans="1:4" x14ac:dyDescent="0.2">
      <c r="A1475" s="5">
        <v>1414</v>
      </c>
      <c r="B1475" s="138">
        <f>'Expenditures 15-22'!K232</f>
        <v>19371</v>
      </c>
      <c r="C1475" s="2" t="s">
        <v>572</v>
      </c>
      <c r="D1475" s="2" t="str">
        <f t="shared" si="22"/>
        <v>Error?</v>
      </c>
    </row>
    <row r="1476" spans="1:4" x14ac:dyDescent="0.2">
      <c r="A1476" s="5">
        <v>1415</v>
      </c>
      <c r="B1476" s="138">
        <f>'Expenditures 15-22'!K233</f>
        <v>5442</v>
      </c>
      <c r="C1476" s="2" t="s">
        <v>572</v>
      </c>
      <c r="D1476" s="2" t="str">
        <f t="shared" si="22"/>
        <v>Error?</v>
      </c>
    </row>
    <row r="1477" spans="1:4" x14ac:dyDescent="0.2">
      <c r="A1477" s="5">
        <v>1416</v>
      </c>
      <c r="B1477" s="138">
        <f>'Expenditures 15-22'!K234</f>
        <v>63997</v>
      </c>
      <c r="C1477" s="2" t="s">
        <v>572</v>
      </c>
      <c r="D1477" s="2" t="str">
        <f t="shared" si="22"/>
        <v>Error?</v>
      </c>
    </row>
    <row r="1478" spans="1:4" x14ac:dyDescent="0.2">
      <c r="A1478" s="5">
        <v>1417</v>
      </c>
      <c r="B1478" s="138">
        <f>'Expenditures 15-22'!K235</f>
        <v>7904</v>
      </c>
      <c r="C1478" s="2" t="s">
        <v>572</v>
      </c>
      <c r="D1478" s="2" t="str">
        <f t="shared" si="22"/>
        <v>Error?</v>
      </c>
    </row>
    <row r="1479" spans="1:4" x14ac:dyDescent="0.2">
      <c r="A1479" s="5">
        <v>1418</v>
      </c>
      <c r="B1479" s="138">
        <f>'Expenditures 15-22'!K236</f>
        <v>8384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105098</v>
      </c>
      <c r="C1481" s="2" t="s">
        <v>572</v>
      </c>
      <c r="D1481" s="2" t="str">
        <f t="shared" si="22"/>
        <v>Error?</v>
      </c>
    </row>
    <row r="1482" spans="1:4" x14ac:dyDescent="0.2">
      <c r="A1482" s="5">
        <v>1421</v>
      </c>
      <c r="B1482" s="138">
        <f>'Expenditures 15-22'!K240</f>
        <v>13911</v>
      </c>
      <c r="C1482" s="2" t="s">
        <v>572</v>
      </c>
      <c r="D1482" s="2" t="str">
        <f t="shared" si="22"/>
        <v>Error?</v>
      </c>
    </row>
    <row r="1483" spans="1:4" x14ac:dyDescent="0.2">
      <c r="A1483" s="5">
        <v>1422</v>
      </c>
      <c r="B1483" s="138">
        <f>'Expenditures 15-22'!K241</f>
        <v>19568</v>
      </c>
      <c r="C1483" s="2" t="s">
        <v>572</v>
      </c>
      <c r="D1483" s="2" t="str">
        <f t="shared" si="22"/>
        <v>Error?</v>
      </c>
    </row>
    <row r="1484" spans="1:4" x14ac:dyDescent="0.2">
      <c r="A1484" s="5">
        <v>1423</v>
      </c>
      <c r="B1484" s="138">
        <f>'Expenditures 15-22'!K242</f>
        <v>242</v>
      </c>
      <c r="C1484" s="2" t="s">
        <v>572</v>
      </c>
      <c r="D1484" s="2" t="str">
        <f t="shared" si="22"/>
        <v>Error?</v>
      </c>
    </row>
    <row r="1485" spans="1:4" x14ac:dyDescent="0.2">
      <c r="A1485" s="5">
        <v>1424</v>
      </c>
      <c r="B1485" s="138">
        <f>'Expenditures 15-22'!K243</f>
        <v>33721</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20303</v>
      </c>
      <c r="C1487" s="2" t="s">
        <v>572</v>
      </c>
      <c r="D1487" s="2" t="str">
        <f t="shared" si="22"/>
        <v>Error?</v>
      </c>
    </row>
    <row r="1488" spans="1:4" x14ac:dyDescent="0.2">
      <c r="A1488" s="5">
        <v>1427</v>
      </c>
      <c r="B1488" s="138">
        <f>'Expenditures 15-22'!K257</f>
        <v>139163</v>
      </c>
      <c r="C1488" s="2" t="s">
        <v>572</v>
      </c>
      <c r="D1488" s="2" t="str">
        <f t="shared" si="22"/>
        <v>Error?</v>
      </c>
    </row>
    <row r="1489" spans="1:4" x14ac:dyDescent="0.2">
      <c r="A1489" s="5">
        <v>1428</v>
      </c>
      <c r="B1489" s="138">
        <f>'Expenditures 15-22'!K259</f>
        <v>141995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141995</v>
      </c>
      <c r="C1491" s="2" t="s">
        <v>572</v>
      </c>
      <c r="D1491" s="2" t="str">
        <f t="shared" si="22"/>
        <v>Error?</v>
      </c>
    </row>
    <row r="1492" spans="1:4" x14ac:dyDescent="0.2">
      <c r="A1492" s="5">
        <v>1431</v>
      </c>
      <c r="B1492" s="138">
        <f>'Expenditures 15-22'!K263</f>
        <v>21578</v>
      </c>
      <c r="C1492" s="2" t="s">
        <v>572</v>
      </c>
      <c r="D1492" s="2" t="str">
        <f t="shared" si="22"/>
        <v>Error?</v>
      </c>
    </row>
    <row r="1493" spans="1:4" x14ac:dyDescent="0.2">
      <c r="A1493" s="5">
        <v>1432</v>
      </c>
      <c r="B1493" s="138">
        <f>'Expenditures 15-22'!K264</f>
        <v>44487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416088</v>
      </c>
      <c r="C1495" s="2" t="s">
        <v>572</v>
      </c>
      <c r="D1495" s="2" t="str">
        <f t="shared" si="22"/>
        <v>Error?</v>
      </c>
    </row>
    <row r="1496" spans="1:4" x14ac:dyDescent="0.2">
      <c r="A1496" s="5">
        <v>1435</v>
      </c>
      <c r="B1496" s="138">
        <f>'Expenditures 15-22'!K267</f>
        <v>5656</v>
      </c>
      <c r="C1496" s="2" t="s">
        <v>572</v>
      </c>
      <c r="D1496" s="2" t="str">
        <f t="shared" si="22"/>
        <v>Error?</v>
      </c>
    </row>
    <row r="1497" spans="1:4" x14ac:dyDescent="0.2">
      <c r="A1497" s="5">
        <v>1436</v>
      </c>
      <c r="B1497" s="138">
        <f>'Expenditures 15-22'!K268</f>
        <v>146931</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634740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67101</v>
      </c>
      <c r="C1503" s="2" t="s">
        <v>572</v>
      </c>
      <c r="D1503" s="2" t="str">
        <f t="shared" si="22"/>
        <v>Error?</v>
      </c>
    </row>
    <row r="1504" spans="1:4" x14ac:dyDescent="0.2">
      <c r="A1504" s="5">
        <v>1443</v>
      </c>
      <c r="B1504" s="138">
        <f>'Expenditures 15-22'!K275</f>
        <v>15127</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82228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1136945</v>
      </c>
      <c r="C1510" s="2" t="s">
        <v>572</v>
      </c>
      <c r="D1510" s="2" t="str">
        <f t="shared" si="22"/>
        <v>Error?</v>
      </c>
    </row>
    <row r="1511" spans="1:4" x14ac:dyDescent="0.2">
      <c r="A1511" s="5">
        <v>1450</v>
      </c>
      <c r="B1511" s="138">
        <f>'Expenditures 15-22'!K280</f>
        <v>112927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1843975</v>
      </c>
      <c r="C1517" s="2" t="s">
        <v>572</v>
      </c>
      <c r="D1517" s="2" t="str">
        <f t="shared" si="22"/>
        <v>Error?</v>
      </c>
    </row>
    <row r="1518" spans="1:4" x14ac:dyDescent="0.2">
      <c r="A1518" s="5">
        <v>1457</v>
      </c>
      <c r="B1518" s="138">
        <f>'Expenditures 15-22'!K296</f>
        <v>15654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50600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50600</v>
      </c>
      <c r="C1553" s="2" t="s">
        <v>572</v>
      </c>
      <c r="D1553" s="2" t="str">
        <f t="shared" si="23"/>
        <v>Error?</v>
      </c>
    </row>
    <row r="1554" spans="1:4" x14ac:dyDescent="0.2">
      <c r="A1554" s="5">
        <v>1493</v>
      </c>
      <c r="B1554" s="138">
        <f>'Expenditures 15-22'!H312</f>
        <v>50600</v>
      </c>
      <c r="C1554" s="2" t="s">
        <v>572</v>
      </c>
      <c r="D1554" s="2" t="str">
        <f t="shared" si="23"/>
        <v>Error?</v>
      </c>
    </row>
    <row r="1555" spans="1:4" x14ac:dyDescent="0.2">
      <c r="A1555" s="5">
        <v>1494</v>
      </c>
      <c r="B1555" s="138">
        <f>'Expenditures 15-22'!K301</f>
        <v>50600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50600</v>
      </c>
      <c r="C1559" s="2" t="s">
        <v>572</v>
      </c>
      <c r="D1559" s="2" t="str">
        <f t="shared" si="23"/>
        <v>Error?</v>
      </c>
    </row>
    <row r="1560" spans="1:4" x14ac:dyDescent="0.2">
      <c r="A1560" s="5">
        <v>1499</v>
      </c>
      <c r="B1560" s="138">
        <f>'Expenditures 15-22'!K312</f>
        <v>50600</v>
      </c>
      <c r="C1560" s="2" t="s">
        <v>572</v>
      </c>
      <c r="D1560" s="2" t="str">
        <f t="shared" si="23"/>
        <v>Error?</v>
      </c>
    </row>
    <row r="1561" spans="1:4" x14ac:dyDescent="0.2">
      <c r="A1561" s="5">
        <v>1500</v>
      </c>
      <c r="B1561" s="138">
        <f>'Expenditures 15-22'!K313</f>
        <v>68068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-5332940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-368050</v>
      </c>
      <c r="C1630" s="2" t="s">
        <v>572</v>
      </c>
      <c r="D1630" s="2" t="str">
        <f t="shared" si="24"/>
        <v>Error?</v>
      </c>
    </row>
    <row r="1631" spans="1:4" x14ac:dyDescent="0.2">
      <c r="A1631" s="5">
        <v>1570</v>
      </c>
      <c r="B1631" s="138">
        <f>'Acct Summary 7-8'!D79</f>
        <v>2301989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3436396</v>
      </c>
      <c r="C1644" s="2" t="s">
        <v>572</v>
      </c>
      <c r="D1644" s="2" t="str">
        <f t="shared" si="24"/>
        <v>Error?</v>
      </c>
    </row>
    <row r="1645" spans="1:4" x14ac:dyDescent="0.2">
      <c r="A1645" s="5">
        <v>1584</v>
      </c>
      <c r="B1645" s="138">
        <f>'Acct Summary 7-8'!E79</f>
        <v>427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695</v>
      </c>
      <c r="C1658" s="2" t="s">
        <v>572</v>
      </c>
      <c r="D1658" s="2" t="str">
        <f t="shared" si="24"/>
        <v>Error?</v>
      </c>
    </row>
    <row r="1659" spans="1:4" x14ac:dyDescent="0.2">
      <c r="A1659" s="5">
        <v>1598</v>
      </c>
      <c r="B1659" s="138">
        <f>'Acct Summary 7-8'!F79</f>
        <v>603135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604448</v>
      </c>
      <c r="C1672" s="2" t="s">
        <v>572</v>
      </c>
      <c r="D1672" s="2" t="str">
        <f t="shared" si="25"/>
        <v>Error?</v>
      </c>
    </row>
    <row r="1673" spans="1:4" x14ac:dyDescent="0.2">
      <c r="A1673" s="5">
        <v>1612</v>
      </c>
      <c r="B1673" s="138">
        <f>'Acct Summary 7-8'!G79</f>
        <v>931280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946934</v>
      </c>
      <c r="C1686" s="2" t="s">
        <v>572</v>
      </c>
      <c r="D1686" s="2" t="str">
        <f t="shared" si="25"/>
        <v>Error?</v>
      </c>
    </row>
    <row r="1687" spans="1:4" x14ac:dyDescent="0.2">
      <c r="A1687" s="5">
        <v>1626</v>
      </c>
      <c r="B1687" s="138">
        <f>'Acct Summary 7-8'!H79</f>
        <v>790006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728074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38244365</v>
      </c>
      <c r="C1744" s="2" t="s">
        <v>572</v>
      </c>
      <c r="D1744" s="2" t="str">
        <f t="shared" si="26"/>
        <v>Error?</v>
      </c>
    </row>
    <row r="1745" spans="1:5" x14ac:dyDescent="0.2">
      <c r="A1745" s="5">
        <v>1684</v>
      </c>
      <c r="B1745" s="138">
        <f>'Tax Sched 23'!B5</f>
        <v>6953503</v>
      </c>
      <c r="C1745" s="2" t="s">
        <v>572</v>
      </c>
      <c r="D1745" s="2" t="str">
        <f t="shared" si="26"/>
        <v>Error?</v>
      </c>
    </row>
    <row r="1746" spans="1:5" x14ac:dyDescent="0.2">
      <c r="A1746" s="5">
        <v>1685</v>
      </c>
      <c r="B1746" s="138">
        <f>'Tax Sched 23'!B6</f>
        <v>11356648</v>
      </c>
      <c r="C1746" s="2" t="s">
        <v>572</v>
      </c>
      <c r="D1746" s="2" t="str">
        <f t="shared" si="26"/>
        <v>Error?</v>
      </c>
    </row>
    <row r="1747" spans="1:5" x14ac:dyDescent="0.2">
      <c r="A1747" s="5">
        <v>1686</v>
      </c>
      <c r="B1747" s="138">
        <f>'Tax Sched 23'!B7</f>
        <v>2781414</v>
      </c>
      <c r="C1747" s="2" t="s">
        <v>572</v>
      </c>
      <c r="D1747" s="2" t="str">
        <f t="shared" si="26"/>
        <v>Error?</v>
      </c>
    </row>
    <row r="1748" spans="1:5" x14ac:dyDescent="0.2">
      <c r="A1748" s="5">
        <v>1687</v>
      </c>
      <c r="B1748" s="138">
        <f>'Tax Sched 23'!B8</f>
        <v>618846</v>
      </c>
      <c r="C1748" s="2" t="s">
        <v>572</v>
      </c>
      <c r="D1748" s="2" t="str">
        <f t="shared" si="26"/>
        <v>Error?</v>
      </c>
    </row>
    <row r="1749" spans="1:5" x14ac:dyDescent="0.2">
      <c r="A1749" s="5">
        <v>1688</v>
      </c>
      <c r="B1749" s="138">
        <f>'Tax Sched 23'!B10</f>
        <v>695370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2226501</v>
      </c>
      <c r="C1752" s="2" t="s">
        <v>572</v>
      </c>
      <c r="D1752" s="2" t="str">
        <f t="shared" si="26"/>
        <v>Error?</v>
      </c>
    </row>
    <row r="1753" spans="1:5" x14ac:dyDescent="0.2">
      <c r="A1753" s="5">
        <v>1692</v>
      </c>
      <c r="B1753" s="138">
        <f>'Tax Sched 23'!B12</f>
        <v>695370</v>
      </c>
      <c r="C1753" s="2" t="s">
        <v>572</v>
      </c>
      <c r="D1753" s="2" t="str">
        <f t="shared" si="26"/>
        <v>Error?</v>
      </c>
    </row>
    <row r="1754" spans="1:5" x14ac:dyDescent="0.2">
      <c r="A1754" s="5">
        <v>1693</v>
      </c>
      <c r="B1754" s="138">
        <f>'Tax Sched 23'!B14</f>
        <v>556283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65238061</v>
      </c>
      <c r="C1759" s="2" t="s">
        <v>572</v>
      </c>
      <c r="D1759" s="2" t="str">
        <f t="shared" si="26"/>
        <v>Error?</v>
      </c>
    </row>
    <row r="1760" spans="1:5" x14ac:dyDescent="0.2">
      <c r="A1760" s="5">
        <v>1699</v>
      </c>
      <c r="B1760" s="138">
        <f>'Tax Sched 23'!D4</f>
        <v>36210903</v>
      </c>
      <c r="C1760" s="2" t="s">
        <v>572</v>
      </c>
      <c r="D1760" s="2" t="str">
        <f t="shared" si="26"/>
        <v>Error?</v>
      </c>
    </row>
    <row r="1761" spans="1:5" x14ac:dyDescent="0.2">
      <c r="A1761" s="5">
        <v>1700</v>
      </c>
      <c r="B1761" s="138">
        <f>'Tax Sched 23'!D5</f>
        <v>6583781</v>
      </c>
      <c r="C1761" s="2" t="s">
        <v>572</v>
      </c>
      <c r="D1761" s="2" t="str">
        <f t="shared" si="26"/>
        <v>Error?</v>
      </c>
    </row>
    <row r="1762" spans="1:5" s="8" customFormat="1" x14ac:dyDescent="0.2">
      <c r="A1762" s="5">
        <v>1701</v>
      </c>
      <c r="B1762" s="138">
        <f>'Tax Sched 23'!D6</f>
        <v>10737708</v>
      </c>
      <c r="C1762" s="2" t="s">
        <v>572</v>
      </c>
      <c r="D1762" s="2" t="str">
        <f t="shared" si="26"/>
        <v>Error?</v>
      </c>
      <c r="E1762" s="9"/>
    </row>
    <row r="1763" spans="1:5" x14ac:dyDescent="0.2">
      <c r="A1763" s="5">
        <v>1702</v>
      </c>
      <c r="B1763" s="138">
        <f>'Tax Sched 23'!D7</f>
        <v>2633526</v>
      </c>
      <c r="C1763" s="2" t="s">
        <v>572</v>
      </c>
      <c r="D1763" s="2" t="str">
        <f t="shared" si="26"/>
        <v>Error?</v>
      </c>
    </row>
    <row r="1764" spans="1:5" x14ac:dyDescent="0.2">
      <c r="A1764" s="5">
        <v>1703</v>
      </c>
      <c r="B1764" s="138">
        <f>'Tax Sched 23'!D8</f>
        <v>593408</v>
      </c>
      <c r="C1764" s="2" t="s">
        <v>572</v>
      </c>
      <c r="D1764" s="2" t="str">
        <f t="shared" si="26"/>
        <v>Error?</v>
      </c>
    </row>
    <row r="1765" spans="1:5" x14ac:dyDescent="0.2">
      <c r="A1765" s="5">
        <v>1704</v>
      </c>
      <c r="B1765" s="138">
        <f>'Tax Sched 23'!D10</f>
        <v>658399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2124901</v>
      </c>
      <c r="C1768" s="2" t="s">
        <v>572</v>
      </c>
      <c r="D1768" s="2" t="str">
        <f t="shared" si="26"/>
        <v>Error?</v>
      </c>
    </row>
    <row r="1769" spans="1:5" x14ac:dyDescent="0.2">
      <c r="A1769" s="5">
        <v>1708</v>
      </c>
      <c r="B1769" s="138">
        <f>'Tax Sched 23'!D12</f>
        <v>658399</v>
      </c>
      <c r="C1769" s="2" t="s">
        <v>572</v>
      </c>
      <c r="D1769" s="2" t="str">
        <f t="shared" si="26"/>
        <v>Error?</v>
      </c>
    </row>
    <row r="1770" spans="1:5" x14ac:dyDescent="0.2">
      <c r="A1770" s="5">
        <v>1709</v>
      </c>
      <c r="B1770" s="138">
        <f>'Tax Sched 23'!D14</f>
        <v>526707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61780850</v>
      </c>
      <c r="C1775" s="2" t="s">
        <v>572</v>
      </c>
      <c r="D1775" s="2" t="str">
        <f t="shared" si="26"/>
        <v>Error?</v>
      </c>
    </row>
    <row r="1776" spans="1:5" x14ac:dyDescent="0.2">
      <c r="A1776" s="5">
        <v>1715</v>
      </c>
      <c r="B1776" s="138">
        <f>'Tax Sched 23'!C4</f>
        <v>2033462</v>
      </c>
      <c r="D1776" s="2" t="str">
        <f t="shared" si="26"/>
        <v>Error?</v>
      </c>
    </row>
    <row r="1777" spans="1:4" x14ac:dyDescent="0.2">
      <c r="A1777" s="5">
        <v>1716</v>
      </c>
      <c r="B1777" s="138">
        <f>'Tax Sched 23'!C5</f>
        <v>369722</v>
      </c>
      <c r="D1777" s="2" t="str">
        <f t="shared" si="26"/>
        <v>Error?</v>
      </c>
    </row>
    <row r="1778" spans="1:4" x14ac:dyDescent="0.2">
      <c r="A1778" s="5">
        <v>1717</v>
      </c>
      <c r="B1778" s="138">
        <f>'Tax Sched 23'!C6</f>
        <v>618940</v>
      </c>
      <c r="D1778" s="2" t="str">
        <f t="shared" si="26"/>
        <v>Error?</v>
      </c>
    </row>
    <row r="1779" spans="1:4" x14ac:dyDescent="0.2">
      <c r="A1779" s="5">
        <v>1718</v>
      </c>
      <c r="B1779" s="138">
        <f>'Tax Sched 23'!C7</f>
        <v>147888</v>
      </c>
      <c r="D1779" s="2" t="str">
        <f t="shared" si="26"/>
        <v>Error?</v>
      </c>
    </row>
    <row r="1780" spans="1:4" x14ac:dyDescent="0.2">
      <c r="A1780" s="5">
        <v>1719</v>
      </c>
      <c r="B1780" s="138">
        <f>'Tax Sched 23'!C8</f>
        <v>25438</v>
      </c>
      <c r="D1780" s="2" t="str">
        <f t="shared" si="26"/>
        <v>Error?</v>
      </c>
    </row>
    <row r="1781" spans="1:4" x14ac:dyDescent="0.2">
      <c r="A1781" s="5">
        <v>1720</v>
      </c>
      <c r="B1781" s="138">
        <f>'Tax Sched 23'!C10</f>
        <v>36971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101600</v>
      </c>
      <c r="D1784" s="2" t="str">
        <f t="shared" si="26"/>
        <v>Error?</v>
      </c>
    </row>
    <row r="1785" spans="1:4" x14ac:dyDescent="0.2">
      <c r="A1785" s="5">
        <v>1724</v>
      </c>
      <c r="B1785" s="138">
        <f>'Tax Sched 23'!C12</f>
        <v>36971</v>
      </c>
      <c r="D1785" s="2" t="str">
        <f t="shared" si="26"/>
        <v>Error?</v>
      </c>
    </row>
    <row r="1786" spans="1:4" x14ac:dyDescent="0.2">
      <c r="A1786" s="5">
        <v>1725</v>
      </c>
      <c r="B1786" s="138">
        <f>'Tax Sched 23'!C14</f>
        <v>29576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3457211</v>
      </c>
      <c r="C1791" s="2" t="s">
        <v>572</v>
      </c>
      <c r="D1791" s="2" t="str">
        <f t="shared" ref="D1791:D1854" si="27">IF(ISBLANK(B1791),"OK",IF(A1791-B1791=0,"OK","Error?"))</f>
        <v>Error?</v>
      </c>
    </row>
    <row r="1792" spans="1:4" x14ac:dyDescent="0.2">
      <c r="A1792" s="5">
        <v>1731</v>
      </c>
      <c r="B1792" s="138">
        <f>'Tax Sched 23'!F4</f>
        <v>37623839</v>
      </c>
      <c r="C1792" s="2" t="s">
        <v>572</v>
      </c>
      <c r="D1792" s="2" t="str">
        <f t="shared" si="27"/>
        <v>Error?</v>
      </c>
    </row>
    <row r="1793" spans="1:4" x14ac:dyDescent="0.2">
      <c r="A1793" s="5">
        <v>1732</v>
      </c>
      <c r="B1793" s="138">
        <f>'Tax Sched 23'!F5</f>
        <v>6840696</v>
      </c>
      <c r="C1793" s="2" t="s">
        <v>572</v>
      </c>
      <c r="D1793" s="2" t="str">
        <f t="shared" si="27"/>
        <v>Error?</v>
      </c>
    </row>
    <row r="1794" spans="1:4" x14ac:dyDescent="0.2">
      <c r="A1794" s="5">
        <v>1733</v>
      </c>
      <c r="B1794" s="138">
        <f>'Tax Sched 23'!F6</f>
        <v>11451300</v>
      </c>
      <c r="C1794" s="2" t="s">
        <v>572</v>
      </c>
      <c r="D1794" s="2" t="str">
        <f t="shared" si="27"/>
        <v>Error?</v>
      </c>
    </row>
    <row r="1795" spans="1:4" x14ac:dyDescent="0.2">
      <c r="A1795" s="5">
        <v>1734</v>
      </c>
      <c r="B1795" s="138">
        <f>'Tax Sched 23'!F7</f>
        <v>2736279</v>
      </c>
      <c r="C1795" s="2" t="s">
        <v>572</v>
      </c>
      <c r="D1795" s="2" t="str">
        <f t="shared" si="27"/>
        <v>Error?</v>
      </c>
    </row>
    <row r="1796" spans="1:4" x14ac:dyDescent="0.2">
      <c r="A1796" s="5">
        <v>1735</v>
      </c>
      <c r="B1796" s="138">
        <f>'Tax Sched 23'!F8</f>
        <v>470639</v>
      </c>
      <c r="C1796" s="2" t="s">
        <v>572</v>
      </c>
      <c r="D1796" s="2" t="str">
        <f t="shared" si="27"/>
        <v>Error?</v>
      </c>
    </row>
    <row r="1797" spans="1:4" x14ac:dyDescent="0.2">
      <c r="A1797" s="5">
        <v>1736</v>
      </c>
      <c r="B1797" s="138">
        <f>'Tax Sched 23'!F10</f>
        <v>684071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1879823</v>
      </c>
      <c r="C1800" s="2" t="s">
        <v>572</v>
      </c>
      <c r="D1800" s="2" t="str">
        <f t="shared" si="27"/>
        <v>Error?</v>
      </c>
    </row>
    <row r="1801" spans="1:4" x14ac:dyDescent="0.2">
      <c r="A1801" s="5">
        <v>1740</v>
      </c>
      <c r="B1801" s="138">
        <f>'Tax Sched 23'!F12</f>
        <v>684071</v>
      </c>
      <c r="C1801" s="2" t="s">
        <v>572</v>
      </c>
      <c r="D1801" s="2" t="str">
        <f t="shared" si="27"/>
        <v>Error?</v>
      </c>
    </row>
    <row r="1802" spans="1:4" x14ac:dyDescent="0.2">
      <c r="A1802" s="5">
        <v>1741</v>
      </c>
      <c r="B1802" s="138">
        <f>'Tax Sched 23'!F14</f>
        <v>547257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63965968</v>
      </c>
      <c r="C1807" s="2" t="s">
        <v>572</v>
      </c>
      <c r="D1807" s="2" t="str">
        <f t="shared" si="27"/>
        <v>Error?</v>
      </c>
    </row>
    <row r="1808" spans="1:4" x14ac:dyDescent="0.2">
      <c r="A1808" s="5">
        <v>1747</v>
      </c>
      <c r="B1808" s="138">
        <f>'Tax Sched 23'!E4</f>
        <v>39657301</v>
      </c>
      <c r="D1808" s="2" t="str">
        <f t="shared" si="27"/>
        <v>Error?</v>
      </c>
    </row>
    <row r="1809" spans="1:4" x14ac:dyDescent="0.2">
      <c r="A1809" s="5">
        <v>1748</v>
      </c>
      <c r="B1809" s="138">
        <f>'Tax Sched 23'!E5</f>
        <v>7210418</v>
      </c>
      <c r="D1809" s="2" t="str">
        <f t="shared" si="27"/>
        <v>Error?</v>
      </c>
    </row>
    <row r="1810" spans="1:4" x14ac:dyDescent="0.2">
      <c r="A1810" s="5">
        <v>1749</v>
      </c>
      <c r="B1810" s="138">
        <f>'Tax Sched 23'!E6</f>
        <v>12070240</v>
      </c>
      <c r="D1810" s="2" t="str">
        <f t="shared" si="27"/>
        <v>Error?</v>
      </c>
    </row>
    <row r="1811" spans="1:4" x14ac:dyDescent="0.2">
      <c r="A1811" s="5">
        <v>1750</v>
      </c>
      <c r="B1811" s="138">
        <f>'Tax Sched 23'!E7</f>
        <v>2884167</v>
      </c>
      <c r="D1811" s="2" t="str">
        <f t="shared" si="27"/>
        <v>Error?</v>
      </c>
    </row>
    <row r="1812" spans="1:4" x14ac:dyDescent="0.2">
      <c r="A1812" s="5">
        <v>1751</v>
      </c>
      <c r="B1812" s="138">
        <f>'Tax Sched 23'!E8</f>
        <v>496077</v>
      </c>
      <c r="D1812" s="2" t="str">
        <f t="shared" si="27"/>
        <v>Error?</v>
      </c>
    </row>
    <row r="1813" spans="1:4" x14ac:dyDescent="0.2">
      <c r="A1813" s="5">
        <v>1752</v>
      </c>
      <c r="B1813" s="138">
        <f>'Tax Sched 23'!E10</f>
        <v>721042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1981423</v>
      </c>
      <c r="D1816" s="2" t="str">
        <f t="shared" si="27"/>
        <v>Error?</v>
      </c>
    </row>
    <row r="1817" spans="1:4" x14ac:dyDescent="0.2">
      <c r="A1817" s="5">
        <v>1756</v>
      </c>
      <c r="B1817" s="138">
        <f>'Tax Sched 23'!E12</f>
        <v>721042</v>
      </c>
      <c r="D1817" s="2" t="str">
        <f t="shared" si="27"/>
        <v>Error?</v>
      </c>
    </row>
    <row r="1818" spans="1:4" x14ac:dyDescent="0.2">
      <c r="A1818" s="5">
        <v>1757</v>
      </c>
      <c r="B1818" s="138">
        <f>'Tax Sched 23'!E14</f>
        <v>576833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67423179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1000000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1000000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1000000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1000000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101454059</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556283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556283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556283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5706903</v>
      </c>
      <c r="D2008" s="2" t="str">
        <f t="shared" si="30"/>
        <v>Error?</v>
      </c>
    </row>
    <row r="2009" spans="1:4" x14ac:dyDescent="0.2">
      <c r="A2009" s="5">
        <v>1948</v>
      </c>
      <c r="B2009" s="138">
        <f>'Cap Outlay Deprec 26'!C8</f>
        <v>142389367</v>
      </c>
      <c r="D2009" s="2" t="str">
        <f t="shared" si="30"/>
        <v>Error?</v>
      </c>
    </row>
    <row r="2010" spans="1:4" x14ac:dyDescent="0.2">
      <c r="A2010" s="5">
        <v>1949</v>
      </c>
      <c r="B2010" s="138">
        <f>'Cap Outlay Deprec 26'!C10</f>
        <v>13460160</v>
      </c>
      <c r="D2010" s="2" t="str">
        <f t="shared" si="30"/>
        <v>Error?</v>
      </c>
    </row>
    <row r="2011" spans="1:4" x14ac:dyDescent="0.2">
      <c r="A2011" s="5">
        <v>1950</v>
      </c>
      <c r="B2011" s="138">
        <f>'Cap Outlay Deprec 26'!C12</f>
        <v>9777591</v>
      </c>
      <c r="D2011" s="2" t="str">
        <f t="shared" si="30"/>
        <v>Error?</v>
      </c>
    </row>
    <row r="2012" spans="1:4" x14ac:dyDescent="0.2">
      <c r="A2012" s="5">
        <v>1951</v>
      </c>
      <c r="B2012" s="138">
        <f>'Cap Outlay Deprec 26'!C13</f>
        <v>2308934</v>
      </c>
      <c r="D2012" s="2" t="str">
        <f t="shared" si="30"/>
        <v>Error?</v>
      </c>
    </row>
    <row r="2013" spans="1:4" x14ac:dyDescent="0.2">
      <c r="A2013" s="5">
        <v>1952</v>
      </c>
      <c r="B2013" s="138">
        <f>'Cap Outlay Deprec 26'!C16</f>
        <v>176625093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184252</v>
      </c>
      <c r="D2017" s="2" t="str">
        <f t="shared" si="30"/>
        <v>Error?</v>
      </c>
    </row>
    <row r="2018" spans="1:4" x14ac:dyDescent="0.2">
      <c r="A2018" s="5">
        <v>1957</v>
      </c>
      <c r="B2018" s="138">
        <f>'Cap Outlay Deprec 26'!D13</f>
        <v>66009</v>
      </c>
      <c r="D2018" s="2" t="str">
        <f t="shared" si="30"/>
        <v>Error?</v>
      </c>
    </row>
    <row r="2019" spans="1:4" x14ac:dyDescent="0.2">
      <c r="A2019" s="5">
        <v>1958</v>
      </c>
      <c r="B2019" s="138">
        <f>'Cap Outlay Deprec 26'!D16</f>
        <v>631509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148500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1393985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1551285</v>
      </c>
      <c r="C2025" s="2" t="s">
        <v>572</v>
      </c>
      <c r="D2025" s="2" t="str">
        <f t="shared" si="30"/>
        <v>Error?</v>
      </c>
    </row>
    <row r="2026" spans="1:4" x14ac:dyDescent="0.2">
      <c r="A2026" s="5">
        <v>1965</v>
      </c>
      <c r="B2026" s="138">
        <f>'Cap Outlay Deprec 26'!F5</f>
        <v>5706903</v>
      </c>
      <c r="C2026" s="2" t="s">
        <v>572</v>
      </c>
      <c r="D2026" s="2" t="str">
        <f t="shared" si="30"/>
        <v>Error?</v>
      </c>
    </row>
    <row r="2027" spans="1:4" x14ac:dyDescent="0.2">
      <c r="A2027" s="5">
        <v>1966</v>
      </c>
      <c r="B2027" s="138">
        <f>'Cap Outlay Deprec 26'!F8</f>
        <v>142240867</v>
      </c>
      <c r="C2027" s="2" t="s">
        <v>572</v>
      </c>
      <c r="D2027" s="2" t="str">
        <f t="shared" si="30"/>
        <v>Error?</v>
      </c>
    </row>
    <row r="2028" spans="1:4" x14ac:dyDescent="0.2">
      <c r="A2028" s="5">
        <v>1967</v>
      </c>
      <c r="B2028" s="138">
        <f>'Cap Outlay Deprec 26'!F10</f>
        <v>13460160</v>
      </c>
      <c r="C2028" s="2" t="s">
        <v>572</v>
      </c>
      <c r="D2028" s="2" t="str">
        <f t="shared" si="30"/>
        <v>Error?</v>
      </c>
    </row>
    <row r="2029" spans="1:4" x14ac:dyDescent="0.2">
      <c r="A2029" s="5">
        <v>1968</v>
      </c>
      <c r="B2029" s="138">
        <f>'Cap Outlay Deprec 26'!F12</f>
        <v>8567858</v>
      </c>
      <c r="C2029" s="2" t="s">
        <v>572</v>
      </c>
      <c r="D2029" s="2" t="str">
        <f t="shared" si="30"/>
        <v>Error?</v>
      </c>
    </row>
    <row r="2030" spans="1:4" x14ac:dyDescent="0.2">
      <c r="A2030" s="5">
        <v>1969</v>
      </c>
      <c r="B2030" s="138">
        <f>'Cap Outlay Deprec 26'!F13</f>
        <v>2374943</v>
      </c>
      <c r="C2030" s="2" t="s">
        <v>572</v>
      </c>
      <c r="D2030" s="2" t="str">
        <f t="shared" si="30"/>
        <v>Error?</v>
      </c>
    </row>
    <row r="2031" spans="1:4" x14ac:dyDescent="0.2">
      <c r="A2031" s="5">
        <v>1970</v>
      </c>
      <c r="B2031" s="138">
        <f>'Cap Outlay Deprec 26'!F16</f>
        <v>175705317</v>
      </c>
      <c r="C2031" s="2" t="s">
        <v>572</v>
      </c>
      <c r="D2031" s="2" t="str">
        <f t="shared" si="30"/>
        <v>Error?</v>
      </c>
    </row>
    <row r="2032" spans="1:4" x14ac:dyDescent="0.2">
      <c r="A2032" s="10">
        <v>1971</v>
      </c>
      <c r="D2032" s="2" t="str">
        <f t="shared" si="30"/>
        <v>OK</v>
      </c>
    </row>
    <row r="2033" spans="1:4" x14ac:dyDescent="0.2">
      <c r="A2033" s="5">
        <v>1972</v>
      </c>
      <c r="B2033" s="138">
        <f>'Cap Outlay Deprec 26'!H8</f>
        <v>48820726</v>
      </c>
      <c r="D2033" s="2" t="str">
        <f t="shared" si="30"/>
        <v>Error?</v>
      </c>
    </row>
    <row r="2034" spans="1:4" x14ac:dyDescent="0.2">
      <c r="A2034" s="5">
        <v>1973</v>
      </c>
      <c r="B2034" s="138">
        <f>'Cap Outlay Deprec 26'!H10</f>
        <v>8871207</v>
      </c>
      <c r="D2034" s="2" t="str">
        <f t="shared" si="30"/>
        <v>Error?</v>
      </c>
    </row>
    <row r="2035" spans="1:4" x14ac:dyDescent="0.2">
      <c r="A2035" s="5">
        <v>1974</v>
      </c>
      <c r="B2035" s="138">
        <f>'Cap Outlay Deprec 26'!H12</f>
        <v>8845903</v>
      </c>
      <c r="D2035" s="2" t="str">
        <f t="shared" si="30"/>
        <v>Error?</v>
      </c>
    </row>
    <row r="2036" spans="1:4" x14ac:dyDescent="0.2">
      <c r="A2036" s="5">
        <v>1975</v>
      </c>
      <c r="B2036" s="138">
        <f>'Cap Outlay Deprec 26'!H13</f>
        <v>1901916</v>
      </c>
      <c r="D2036" s="2" t="str">
        <f t="shared" si="30"/>
        <v>Error?</v>
      </c>
    </row>
    <row r="2037" spans="1:4" x14ac:dyDescent="0.2">
      <c r="A2037" s="5">
        <v>1976</v>
      </c>
      <c r="B2037" s="138">
        <f>'Cap Outlay Deprec 26'!H16</f>
        <v>71341060</v>
      </c>
      <c r="C2037" s="2" t="s">
        <v>572</v>
      </c>
      <c r="D2037" s="2" t="str">
        <f t="shared" si="30"/>
        <v>Error?</v>
      </c>
    </row>
    <row r="2038" spans="1:4" x14ac:dyDescent="0.2">
      <c r="A2038" s="10">
        <v>1977</v>
      </c>
      <c r="D2038" s="2" t="str">
        <f t="shared" si="30"/>
        <v>OK</v>
      </c>
    </row>
    <row r="2039" spans="1:4" x14ac:dyDescent="0.2">
      <c r="A2039" s="5">
        <v>1978</v>
      </c>
      <c r="B2039" s="138">
        <f>'Cap Outlay Deprec 26'!I8</f>
        <v>2677778</v>
      </c>
      <c r="D2039" s="2" t="str">
        <f t="shared" si="30"/>
        <v>Error?</v>
      </c>
    </row>
    <row r="2040" spans="1:4" x14ac:dyDescent="0.2">
      <c r="A2040" s="5">
        <v>1979</v>
      </c>
      <c r="B2040" s="138">
        <f>'Cap Outlay Deprec 26'!I10</f>
        <v>617533</v>
      </c>
      <c r="D2040" s="2" t="str">
        <f t="shared" si="30"/>
        <v>Error?</v>
      </c>
    </row>
    <row r="2041" spans="1:4" x14ac:dyDescent="0.2">
      <c r="A2041" s="5">
        <v>1980</v>
      </c>
      <c r="B2041" s="138">
        <f>'Cap Outlay Deprec 26'!I12</f>
        <v>224443</v>
      </c>
      <c r="D2041" s="2" t="str">
        <f t="shared" si="30"/>
        <v>Error?</v>
      </c>
    </row>
    <row r="2042" spans="1:4" x14ac:dyDescent="0.2">
      <c r="A2042" s="5">
        <v>1981</v>
      </c>
      <c r="B2042" s="138">
        <f>'Cap Outlay Deprec 26'!I13</f>
        <v>216014</v>
      </c>
      <c r="D2042" s="2" t="str">
        <f t="shared" si="30"/>
        <v>Error?</v>
      </c>
    </row>
    <row r="2043" spans="1:4" x14ac:dyDescent="0.2">
      <c r="A2043" s="5">
        <v>1982</v>
      </c>
      <c r="B2043" s="138">
        <f>'Cap Outlay Deprec 26'!I16</f>
        <v>3783680</v>
      </c>
      <c r="C2043" s="2" t="s">
        <v>572</v>
      </c>
      <c r="D2043" s="2" t="str">
        <f t="shared" si="30"/>
        <v>Error?</v>
      </c>
    </row>
    <row r="2044" spans="1:4" x14ac:dyDescent="0.2">
      <c r="A2044" s="10">
        <v>1983</v>
      </c>
      <c r="D2044" s="2" t="str">
        <f t="shared" si="30"/>
        <v>OK</v>
      </c>
    </row>
    <row r="2045" spans="1:4" x14ac:dyDescent="0.2">
      <c r="A2045" s="5">
        <v>1984</v>
      </c>
      <c r="B2045" s="138">
        <f>'Cap Outlay Deprec 26'!J8</f>
        <v>148500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1393985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1551285</v>
      </c>
      <c r="C2049" s="2" t="s">
        <v>572</v>
      </c>
      <c r="D2049" s="2" t="str">
        <f t="shared" si="31"/>
        <v>Error?</v>
      </c>
    </row>
    <row r="2050" spans="1:4" x14ac:dyDescent="0.2">
      <c r="A2050" s="10">
        <v>1989</v>
      </c>
      <c r="D2050" s="2" t="str">
        <f t="shared" si="31"/>
        <v>OK</v>
      </c>
    </row>
    <row r="2051" spans="1:4" x14ac:dyDescent="0.2">
      <c r="A2051" s="5">
        <v>1990</v>
      </c>
      <c r="B2051" s="138">
        <f>'Cap Outlay Deprec 26'!K8</f>
        <v>51350004</v>
      </c>
      <c r="C2051" s="2" t="s">
        <v>572</v>
      </c>
      <c r="D2051" s="2" t="str">
        <f t="shared" si="31"/>
        <v>Error?</v>
      </c>
    </row>
    <row r="2052" spans="1:4" x14ac:dyDescent="0.2">
      <c r="A2052" s="5">
        <v>1991</v>
      </c>
      <c r="B2052" s="138">
        <f>'Cap Outlay Deprec 26'!K10</f>
        <v>9488740</v>
      </c>
      <c r="C2052" s="2" t="s">
        <v>572</v>
      </c>
      <c r="D2052" s="2" t="str">
        <f t="shared" si="31"/>
        <v>Error?</v>
      </c>
    </row>
    <row r="2053" spans="1:4" x14ac:dyDescent="0.2">
      <c r="A2053" s="5">
        <v>1992</v>
      </c>
      <c r="B2053" s="138">
        <f>'Cap Outlay Deprec 26'!K12</f>
        <v>7676361</v>
      </c>
      <c r="C2053" s="2" t="s">
        <v>572</v>
      </c>
      <c r="D2053" s="2" t="str">
        <f t="shared" si="31"/>
        <v>Error?</v>
      </c>
    </row>
    <row r="2054" spans="1:4" x14ac:dyDescent="0.2">
      <c r="A2054" s="5">
        <v>1993</v>
      </c>
      <c r="B2054" s="138">
        <f>'Cap Outlay Deprec 26'!K13</f>
        <v>2117930</v>
      </c>
      <c r="C2054" s="2" t="s">
        <v>572</v>
      </c>
      <c r="D2054" s="2" t="str">
        <f t="shared" si="31"/>
        <v>Error?</v>
      </c>
    </row>
    <row r="2055" spans="1:4" x14ac:dyDescent="0.2">
      <c r="A2055" s="5">
        <v>1994</v>
      </c>
      <c r="B2055" s="138">
        <f>'Cap Outlay Deprec 26'!K16</f>
        <v>73573455</v>
      </c>
      <c r="C2055" s="2" t="s">
        <v>572</v>
      </c>
      <c r="D2055" s="2" t="str">
        <f t="shared" si="31"/>
        <v>Error?</v>
      </c>
    </row>
    <row r="2056" spans="1:4" x14ac:dyDescent="0.2">
      <c r="A2056" s="5">
        <v>1995</v>
      </c>
      <c r="B2056" s="138">
        <f>'Cap Outlay Deprec 26'!L5</f>
        <v>5706903</v>
      </c>
      <c r="C2056" s="2" t="s">
        <v>572</v>
      </c>
      <c r="D2056" s="2" t="str">
        <f t="shared" si="31"/>
        <v>Error?</v>
      </c>
    </row>
    <row r="2057" spans="1:4" x14ac:dyDescent="0.2">
      <c r="A2057" s="5">
        <v>1996</v>
      </c>
      <c r="B2057" s="138">
        <f>'Cap Outlay Deprec 26'!L8</f>
        <v>90890863</v>
      </c>
      <c r="C2057" s="2" t="s">
        <v>572</v>
      </c>
      <c r="D2057" s="2" t="str">
        <f t="shared" si="31"/>
        <v>Error?</v>
      </c>
    </row>
    <row r="2058" spans="1:4" x14ac:dyDescent="0.2">
      <c r="A2058" s="5">
        <v>1997</v>
      </c>
      <c r="B2058" s="138">
        <f>'Cap Outlay Deprec 26'!L10</f>
        <v>3971420</v>
      </c>
      <c r="C2058" s="2" t="s">
        <v>572</v>
      </c>
      <c r="D2058" s="2" t="str">
        <f t="shared" si="31"/>
        <v>Error?</v>
      </c>
    </row>
    <row r="2059" spans="1:4" x14ac:dyDescent="0.2">
      <c r="A2059" s="5">
        <v>1998</v>
      </c>
      <c r="B2059" s="138">
        <f>'Cap Outlay Deprec 26'!L12</f>
        <v>891497</v>
      </c>
      <c r="C2059" s="2" t="s">
        <v>572</v>
      </c>
      <c r="D2059" s="2" t="str">
        <f t="shared" si="31"/>
        <v>Error?</v>
      </c>
    </row>
    <row r="2060" spans="1:4" x14ac:dyDescent="0.2">
      <c r="A2060" s="5">
        <v>1999</v>
      </c>
      <c r="B2060" s="138">
        <f>'Cap Outlay Deprec 26'!L13</f>
        <v>257013</v>
      </c>
      <c r="C2060" s="2" t="s">
        <v>572</v>
      </c>
      <c r="D2060" s="2" t="str">
        <f t="shared" si="31"/>
        <v>Error?</v>
      </c>
    </row>
    <row r="2061" spans="1:4" x14ac:dyDescent="0.2">
      <c r="A2061" s="5">
        <v>2000</v>
      </c>
      <c r="B2061" s="138">
        <f>'Cap Outlay Deprec 26'!L16</f>
        <v>102131862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81470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194927</v>
      </c>
      <c r="D2435" s="2" t="str">
        <f t="shared" si="37"/>
        <v>Error?</v>
      </c>
    </row>
    <row r="2436" spans="1:4" x14ac:dyDescent="0.2">
      <c r="A2436" s="10">
        <v>2375</v>
      </c>
      <c r="D2436" s="2" t="str">
        <f t="shared" si="37"/>
        <v>OK</v>
      </c>
    </row>
    <row r="2437" spans="1:4" x14ac:dyDescent="0.2">
      <c r="A2437" s="5">
        <v>2376</v>
      </c>
      <c r="B2437" s="138">
        <f>'Assets-Liab 5-6'!D38</f>
        <v>651414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726997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44763772</v>
      </c>
      <c r="C2551" s="2" t="s">
        <v>572</v>
      </c>
      <c r="D2551" s="2" t="str">
        <f t="shared" si="38"/>
        <v>Error?</v>
      </c>
    </row>
    <row r="2552" spans="1:4" x14ac:dyDescent="0.2">
      <c r="A2552" s="10">
        <v>2491</v>
      </c>
      <c r="D2552" s="2" t="str">
        <f t="shared" si="38"/>
        <v>OK</v>
      </c>
    </row>
    <row r="2553" spans="1:4" x14ac:dyDescent="0.2">
      <c r="A2553" s="5">
        <v>2492</v>
      </c>
      <c r="B2553" s="138">
        <f>'Acct Summary 7-8'!C6</f>
        <v>10309977</v>
      </c>
      <c r="C2553" s="2" t="s">
        <v>572</v>
      </c>
      <c r="D2553" s="2" t="str">
        <f t="shared" si="38"/>
        <v>Error?</v>
      </c>
    </row>
    <row r="2554" spans="1:4" x14ac:dyDescent="0.2">
      <c r="A2554" s="5">
        <v>2493</v>
      </c>
      <c r="B2554" s="138">
        <f>'Acct Summary 7-8'!C7</f>
        <v>3383021</v>
      </c>
      <c r="C2554" s="2" t="s">
        <v>572</v>
      </c>
      <c r="D2554" s="2" t="str">
        <f t="shared" si="38"/>
        <v>Error?</v>
      </c>
    </row>
    <row r="2555" spans="1:4" x14ac:dyDescent="0.2">
      <c r="A2555" s="5">
        <v>2494</v>
      </c>
      <c r="B2555" s="138">
        <f>'Acct Summary 7-8'!C8</f>
        <v>58456770</v>
      </c>
      <c r="C2555" s="2" t="s">
        <v>572</v>
      </c>
      <c r="D2555" s="2" t="str">
        <f t="shared" si="38"/>
        <v>Error?</v>
      </c>
    </row>
    <row r="2556" spans="1:4" x14ac:dyDescent="0.2">
      <c r="A2556" s="5">
        <v>2495</v>
      </c>
      <c r="B2556" s="138">
        <f>'Acct Summary 7-8'!C12</f>
        <v>35410805</v>
      </c>
      <c r="C2556" s="2" t="s">
        <v>572</v>
      </c>
      <c r="D2556" s="2" t="str">
        <f t="shared" si="38"/>
        <v>Error?</v>
      </c>
    </row>
    <row r="2557" spans="1:4" x14ac:dyDescent="0.2">
      <c r="A2557" s="5">
        <v>2496</v>
      </c>
      <c r="B2557" s="138">
        <f>'Acct Summary 7-8'!C13</f>
        <v>16831498</v>
      </c>
      <c r="C2557" s="2" t="s">
        <v>572</v>
      </c>
      <c r="D2557" s="2" t="str">
        <f t="shared" si="38"/>
        <v>Error?</v>
      </c>
    </row>
    <row r="2558" spans="1:4" x14ac:dyDescent="0.2">
      <c r="A2558" s="5">
        <v>2497</v>
      </c>
      <c r="B2558" s="138">
        <f>'Acct Summary 7-8'!C14</f>
        <v>894659</v>
      </c>
      <c r="C2558" s="2" t="s">
        <v>572</v>
      </c>
      <c r="D2558" s="2" t="str">
        <f t="shared" si="38"/>
        <v>Error?</v>
      </c>
    </row>
    <row r="2559" spans="1:4" x14ac:dyDescent="0.2">
      <c r="A2559" s="5">
        <v>2498</v>
      </c>
      <c r="B2559" s="138">
        <f>'Acct Summary 7-8'!C15</f>
        <v>81470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53218432</v>
      </c>
      <c r="C2561" s="2" t="s">
        <v>572</v>
      </c>
      <c r="D2561" s="2" t="str">
        <f t="shared" si="39"/>
        <v>Error?</v>
      </c>
    </row>
    <row r="2562" spans="1:4" x14ac:dyDescent="0.2">
      <c r="A2562" s="5">
        <v>2501</v>
      </c>
      <c r="B2562" s="138">
        <f>'Acct Summary 7-8'!C20</f>
        <v>5238338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7212728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7212728</v>
      </c>
      <c r="C2568" s="2" t="s">
        <v>572</v>
      </c>
      <c r="D2568" s="2" t="str">
        <f t="shared" si="39"/>
        <v>Error?</v>
      </c>
    </row>
    <row r="2569" spans="1:4" x14ac:dyDescent="0.2">
      <c r="A2569" s="5">
        <v>2508</v>
      </c>
      <c r="B2569" s="138">
        <f>'Acct Summary 7-8'!D13</f>
        <v>6078321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6078321</v>
      </c>
      <c r="C2573" s="2" t="s">
        <v>572</v>
      </c>
      <c r="D2573" s="2" t="str">
        <f t="shared" si="39"/>
        <v>Error?</v>
      </c>
    </row>
    <row r="2574" spans="1:4" x14ac:dyDescent="0.2">
      <c r="A2574" s="5">
        <v>2513</v>
      </c>
      <c r="B2574" s="138">
        <f>'Acct Summary 7-8'!D20</f>
        <v>1134407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2805043</v>
      </c>
      <c r="C2591" s="2" t="s">
        <v>572</v>
      </c>
      <c r="D2591" s="2" t="str">
        <f t="shared" si="39"/>
        <v>Error?</v>
      </c>
    </row>
    <row r="2592" spans="1:4" x14ac:dyDescent="0.2">
      <c r="A2592" s="10">
        <v>2531</v>
      </c>
      <c r="D2592" s="2" t="str">
        <f t="shared" si="39"/>
        <v>OK</v>
      </c>
    </row>
    <row r="2593" spans="1:4" x14ac:dyDescent="0.2">
      <c r="A2593" s="5">
        <v>2532</v>
      </c>
      <c r="B2593" s="138">
        <f>'Acct Summary 7-8'!F6</f>
        <v>2577713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5382756</v>
      </c>
      <c r="C2595" s="2" t="s">
        <v>572</v>
      </c>
      <c r="D2595" s="2" t="str">
        <f t="shared" si="39"/>
        <v>Error?</v>
      </c>
    </row>
    <row r="2596" spans="1:4" x14ac:dyDescent="0.2">
      <c r="A2596" s="5">
        <v>2535</v>
      </c>
      <c r="B2596" s="138">
        <f>'Acct Summary 7-8'!F13</f>
        <v>5379567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1876</v>
      </c>
      <c r="C2599" s="2" t="s">
        <v>572</v>
      </c>
      <c r="D2599" s="2" t="str">
        <f t="shared" si="39"/>
        <v>Error?</v>
      </c>
    </row>
    <row r="2600" spans="1:4" x14ac:dyDescent="0.2">
      <c r="A2600" s="5">
        <v>2539</v>
      </c>
      <c r="B2600" s="138">
        <f>'Acct Summary 7-8'!F17</f>
        <v>5381443</v>
      </c>
      <c r="C2600" s="2" t="s">
        <v>572</v>
      </c>
      <c r="D2600" s="2" t="str">
        <f t="shared" si="39"/>
        <v>Error?</v>
      </c>
    </row>
    <row r="2601" spans="1:4" x14ac:dyDescent="0.2">
      <c r="A2601" s="5">
        <v>2540</v>
      </c>
      <c r="B2601" s="138">
        <f>'Acct Summary 7-8'!F20</f>
        <v>1313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1859629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1859629</v>
      </c>
      <c r="C2606" s="2" t="s">
        <v>572</v>
      </c>
      <c r="D2606" s="2" t="str">
        <f t="shared" si="39"/>
        <v>Error?</v>
      </c>
    </row>
    <row r="2607" spans="1:4" x14ac:dyDescent="0.2">
      <c r="A2607" s="5">
        <v>2546</v>
      </c>
      <c r="B2607" s="138">
        <f>'Acct Summary 7-8'!G12</f>
        <v>594103</v>
      </c>
      <c r="C2607" s="2" t="s">
        <v>572</v>
      </c>
      <c r="D2607" s="2" t="str">
        <f t="shared" si="39"/>
        <v>Error?</v>
      </c>
    </row>
    <row r="2608" spans="1:4" x14ac:dyDescent="0.2">
      <c r="A2608" s="5">
        <v>2547</v>
      </c>
      <c r="B2608" s="138">
        <f>'Acct Summary 7-8'!G13</f>
        <v>1136945</v>
      </c>
      <c r="C2608" s="2" t="s">
        <v>572</v>
      </c>
      <c r="D2608" s="2" t="str">
        <f t="shared" si="39"/>
        <v>Error?</v>
      </c>
    </row>
    <row r="2609" spans="1:4" x14ac:dyDescent="0.2">
      <c r="A2609" s="5">
        <v>2548</v>
      </c>
      <c r="B2609" s="138">
        <f>'Acct Summary 7-8'!G14</f>
        <v>112927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1843975</v>
      </c>
      <c r="C2612" s="2" t="s">
        <v>572</v>
      </c>
      <c r="D2612" s="2" t="str">
        <f t="shared" si="39"/>
        <v>Error?</v>
      </c>
    </row>
    <row r="2613" spans="1:4" x14ac:dyDescent="0.2">
      <c r="A2613" s="5">
        <v>2552</v>
      </c>
      <c r="B2613" s="138">
        <f>'Acct Summary 7-8'!G20</f>
        <v>15654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11370655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11370655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11773835</v>
      </c>
      <c r="C2634" s="2" t="s">
        <v>572</v>
      </c>
      <c r="D2634" s="2" t="str">
        <f t="shared" si="40"/>
        <v>Error?</v>
      </c>
    </row>
    <row r="2635" spans="1:4" x14ac:dyDescent="0.2">
      <c r="A2635" s="5">
        <v>2574</v>
      </c>
      <c r="B2635" s="138">
        <f>'Acct Summary 7-8'!E17</f>
        <v>11773835</v>
      </c>
      <c r="C2635" s="2" t="s">
        <v>572</v>
      </c>
      <c r="D2635" s="2" t="str">
        <f t="shared" si="40"/>
        <v>Error?</v>
      </c>
    </row>
    <row r="2636" spans="1:4" x14ac:dyDescent="0.2">
      <c r="A2636" s="5">
        <v>2575</v>
      </c>
      <c r="B2636" s="138">
        <f>'Acct Summary 7-8'!E20</f>
        <v>-403180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118668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118668</v>
      </c>
      <c r="C2658" s="2" t="s">
        <v>572</v>
      </c>
      <c r="D2658" s="2" t="str">
        <f t="shared" si="40"/>
        <v>Error?</v>
      </c>
    </row>
    <row r="2659" spans="1:4" x14ac:dyDescent="0.2">
      <c r="A2659" s="5">
        <v>2598</v>
      </c>
      <c r="B2659" s="138">
        <f>'Acct Summary 7-8'!H13</f>
        <v>50600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50600</v>
      </c>
      <c r="C2661" s="2" t="s">
        <v>572</v>
      </c>
      <c r="D2661" s="2" t="str">
        <f t="shared" si="40"/>
        <v>Error?</v>
      </c>
    </row>
    <row r="2662" spans="1:4" x14ac:dyDescent="0.2">
      <c r="A2662" s="5">
        <v>2601</v>
      </c>
      <c r="B2662" s="138">
        <f>'Acct Summary 7-8'!H20</f>
        <v>68068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394461</v>
      </c>
      <c r="D2718" s="2" t="str">
        <f t="shared" si="41"/>
        <v>Error?</v>
      </c>
    </row>
    <row r="2719" spans="1:4" x14ac:dyDescent="0.2">
      <c r="A2719" s="5">
        <v>2658</v>
      </c>
      <c r="B2719" s="138">
        <f>'Expenditures 15-22'!D51</f>
        <v>104659</v>
      </c>
      <c r="D2719" s="2" t="str">
        <f t="shared" si="41"/>
        <v>Error?</v>
      </c>
    </row>
    <row r="2720" spans="1:4" x14ac:dyDescent="0.2">
      <c r="A2720" s="5">
        <v>2659</v>
      </c>
      <c r="B2720" s="138">
        <f>'Expenditures 15-22'!E51</f>
        <v>25397</v>
      </c>
      <c r="D2720" s="2" t="str">
        <f t="shared" si="41"/>
        <v>Error?</v>
      </c>
    </row>
    <row r="2721" spans="1:4" x14ac:dyDescent="0.2">
      <c r="A2721" s="5">
        <v>2660</v>
      </c>
      <c r="B2721" s="138">
        <f>'Expenditures 15-22'!F51</f>
        <v>1776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526293</v>
      </c>
      <c r="C2724" s="2" t="s">
        <v>572</v>
      </c>
      <c r="D2724" s="2" t="str">
        <f t="shared" si="41"/>
        <v>Error?</v>
      </c>
    </row>
    <row r="2725" spans="1:4" x14ac:dyDescent="0.2">
      <c r="A2725" s="5">
        <v>2664</v>
      </c>
      <c r="B2725" s="138">
        <f>'Expenditures 15-22'!D247</f>
        <v>23080</v>
      </c>
      <c r="D2725" s="2" t="str">
        <f t="shared" si="41"/>
        <v>Error?</v>
      </c>
    </row>
    <row r="2726" spans="1:4" x14ac:dyDescent="0.2">
      <c r="A2726" s="5">
        <v>2665</v>
      </c>
      <c r="B2726" s="138">
        <f>'Expenditures 15-22'!K247</f>
        <v>23080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81470</v>
      </c>
      <c r="C2789" s="2" t="s">
        <v>572</v>
      </c>
      <c r="D2789" s="2" t="str">
        <f t="shared" si="42"/>
        <v>Error?</v>
      </c>
    </row>
    <row r="2790" spans="1:4" x14ac:dyDescent="0.2">
      <c r="A2790" s="5">
        <v>2729</v>
      </c>
      <c r="B2790" s="138">
        <f>'Expenditures 15-22'!E102</f>
        <v>81470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379857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684071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1419779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925491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721042</v>
      </c>
      <c r="D2908" s="2" t="str">
        <f t="shared" si="44"/>
        <v>Error?</v>
      </c>
    </row>
    <row r="2909" spans="1:4" x14ac:dyDescent="0.2">
      <c r="A2909" s="10">
        <v>2848</v>
      </c>
      <c r="D2909" s="2" t="str">
        <f t="shared" si="44"/>
        <v>OK</v>
      </c>
    </row>
    <row r="2910" spans="1:4" x14ac:dyDescent="0.2">
      <c r="A2910" s="5">
        <v>2849</v>
      </c>
      <c r="B2910" s="138">
        <f>'Assets-Liab 5-6'!I34</f>
        <v>721042</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698737</v>
      </c>
      <c r="D2912" s="2" t="str">
        <f t="shared" si="44"/>
        <v>Error?</v>
      </c>
    </row>
    <row r="2913" spans="1:4" x14ac:dyDescent="0.2">
      <c r="A2913" s="5">
        <v>2852</v>
      </c>
      <c r="B2913" s="138">
        <f>'Assets-Liab 5-6'!I41</f>
        <v>1419779</v>
      </c>
      <c r="C2913" s="2" t="s">
        <v>572</v>
      </c>
      <c r="D2913" s="2" t="str">
        <f t="shared" si="44"/>
        <v>Error?</v>
      </c>
    </row>
    <row r="2914" spans="1:4" x14ac:dyDescent="0.2">
      <c r="A2914" s="5">
        <v>2853</v>
      </c>
      <c r="B2914" s="138">
        <f>'Assets-Liab 5-6'!L33</f>
        <v>925491</v>
      </c>
      <c r="D2914" s="2" t="str">
        <f t="shared" si="44"/>
        <v>Error?</v>
      </c>
    </row>
    <row r="2915" spans="1:4" x14ac:dyDescent="0.2">
      <c r="A2915" s="10">
        <v>2854</v>
      </c>
      <c r="D2915" s="2" t="str">
        <f t="shared" si="44"/>
        <v>OK</v>
      </c>
    </row>
    <row r="2916" spans="1:4" x14ac:dyDescent="0.2">
      <c r="A2916" s="5">
        <v>2855</v>
      </c>
      <c r="B2916" s="138">
        <f>'Assets-Liab 5-6'!L34</f>
        <v>925491</v>
      </c>
      <c r="C2916" s="2" t="s">
        <v>572</v>
      </c>
      <c r="D2916" s="2" t="str">
        <f t="shared" si="44"/>
        <v>Error?</v>
      </c>
    </row>
    <row r="2917" spans="1:4" x14ac:dyDescent="0.2">
      <c r="A2917" s="5">
        <v>2856</v>
      </c>
      <c r="B2917" s="138">
        <f>'Assets-Liab 5-6'!L41</f>
        <v>925491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81470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81470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59389</v>
      </c>
      <c r="D3055" s="2" t="str">
        <f t="shared" si="46"/>
        <v>Error?</v>
      </c>
    </row>
    <row r="3056" spans="1:4" x14ac:dyDescent="0.2">
      <c r="A3056" s="5">
        <v>2995</v>
      </c>
      <c r="B3056" s="138">
        <f>'Expenditures 15-22'!D10</f>
        <v>16518</v>
      </c>
      <c r="D3056" s="2" t="str">
        <f t="shared" si="46"/>
        <v>Error?</v>
      </c>
    </row>
    <row r="3057" spans="1:4" x14ac:dyDescent="0.2">
      <c r="A3057" s="5">
        <v>2996</v>
      </c>
      <c r="B3057" s="138">
        <f>'Expenditures 15-22'!E10</f>
        <v>42132</v>
      </c>
      <c r="D3057" s="2" t="str">
        <f t="shared" si="46"/>
        <v>Error?</v>
      </c>
    </row>
    <row r="3058" spans="1:4" x14ac:dyDescent="0.2">
      <c r="A3058" s="5">
        <v>2997</v>
      </c>
      <c r="B3058" s="138">
        <f>'Expenditures 15-22'!F10</f>
        <v>2992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121031</v>
      </c>
      <c r="C3062" s="2" t="s">
        <v>572</v>
      </c>
      <c r="D3062" s="2" t="str">
        <f t="shared" si="46"/>
        <v>Error?</v>
      </c>
    </row>
    <row r="3063" spans="1:4" x14ac:dyDescent="0.2">
      <c r="A3063" s="10">
        <v>3002</v>
      </c>
      <c r="D3063" s="2" t="str">
        <f t="shared" si="46"/>
        <v>OK</v>
      </c>
    </row>
    <row r="3064" spans="1:4" x14ac:dyDescent="0.2">
      <c r="A3064" s="5">
        <v>3003</v>
      </c>
      <c r="B3064" s="138">
        <f>'Expenditures 15-22'!D219</f>
        <v>937</v>
      </c>
      <c r="D3064" s="2" t="str">
        <f t="shared" si="46"/>
        <v>Error?</v>
      </c>
    </row>
    <row r="3065" spans="1:4" x14ac:dyDescent="0.2">
      <c r="A3065" s="5">
        <v>3004</v>
      </c>
      <c r="B3065" s="138">
        <f>'Expenditures 15-22'!K219</f>
        <v>937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698737</v>
      </c>
      <c r="C3225" s="2" t="s">
        <v>572</v>
      </c>
      <c r="D3225" s="2" t="str">
        <f t="shared" si="49"/>
        <v>Error?</v>
      </c>
    </row>
    <row r="3226" spans="1:4" x14ac:dyDescent="0.2">
      <c r="A3226" s="5">
        <v>3165</v>
      </c>
      <c r="B3226" s="138">
        <f>'Acct Summary 7-8'!I8</f>
        <v>698737</v>
      </c>
      <c r="C3226" s="2" t="s">
        <v>572</v>
      </c>
      <c r="D3226" s="2" t="str">
        <f t="shared" si="49"/>
        <v>Error?</v>
      </c>
    </row>
    <row r="3227" spans="1:4" x14ac:dyDescent="0.2">
      <c r="A3227" s="5">
        <v>3166</v>
      </c>
      <c r="B3227" s="138">
        <f>'Acct Summary 7-8'!I20</f>
        <v>698737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273448</v>
      </c>
      <c r="C3231" s="2" t="s">
        <v>572</v>
      </c>
      <c r="D3231" s="2" t="str">
        <f t="shared" si="49"/>
        <v>Error?</v>
      </c>
    </row>
    <row r="3232" spans="1:4" x14ac:dyDescent="0.2">
      <c r="A3232" s="5">
        <v>3171</v>
      </c>
      <c r="B3232" s="138">
        <f>'Acct Summary 7-8'!C77</f>
        <v>-273448</v>
      </c>
      <c r="C3232" s="2" t="s">
        <v>572</v>
      </c>
      <c r="D3232" s="2" t="str">
        <f t="shared" si="49"/>
        <v>Error?</v>
      </c>
    </row>
    <row r="3233" spans="1:4" x14ac:dyDescent="0.2">
      <c r="A3233" s="5">
        <v>3172</v>
      </c>
      <c r="B3233" s="138">
        <f>'Acct Summary 7-8'!C78</f>
        <v>4964890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1134407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1313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15654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403448</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403448</v>
      </c>
      <c r="C3277" s="2" t="s">
        <v>572</v>
      </c>
      <c r="D3277" s="2" t="str">
        <f t="shared" si="50"/>
        <v>Error?</v>
      </c>
    </row>
    <row r="3278" spans="1:4" x14ac:dyDescent="0.2">
      <c r="A3278" s="5">
        <v>3217</v>
      </c>
      <c r="B3278" s="138">
        <f>'Acct Summary 7-8'!E78</f>
        <v>268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130000</v>
      </c>
      <c r="C3298" s="2" t="s">
        <v>572</v>
      </c>
      <c r="D3298" s="2" t="str">
        <f t="shared" si="50"/>
        <v>Error?</v>
      </c>
    </row>
    <row r="3299" spans="1:4" x14ac:dyDescent="0.2">
      <c r="A3299" s="5">
        <v>3238</v>
      </c>
      <c r="B3299" s="138">
        <f>'Acct Summary 7-8'!H77</f>
        <v>-130000</v>
      </c>
      <c r="C3299" s="2" t="s">
        <v>572</v>
      </c>
      <c r="D3299" s="2" t="str">
        <f t="shared" si="50"/>
        <v>Error?</v>
      </c>
    </row>
    <row r="3300" spans="1:4" x14ac:dyDescent="0.2">
      <c r="A3300" s="5">
        <v>3239</v>
      </c>
      <c r="B3300" s="138">
        <f>'Acct Summary 7-8'!H78</f>
        <v>-61932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698737</v>
      </c>
      <c r="C3320" s="2" t="s">
        <v>572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698737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4522245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828570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115748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120284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5632920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253446</v>
      </c>
      <c r="D3387" s="2" t="str">
        <f t="shared" si="51"/>
        <v>Error?</v>
      </c>
    </row>
    <row r="3388" spans="1:4" x14ac:dyDescent="0.2">
      <c r="A3388" s="5">
        <v>3327</v>
      </c>
      <c r="B3388" s="138">
        <f>'Expenditures 15-22'!D217</f>
        <v>226970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253446</v>
      </c>
      <c r="C3390" s="2" t="s">
        <v>572</v>
      </c>
      <c r="D3390" s="2" t="str">
        <f t="shared" si="51"/>
        <v>Error?</v>
      </c>
    </row>
    <row r="3391" spans="1:4" x14ac:dyDescent="0.2">
      <c r="A3391" s="5">
        <v>3330</v>
      </c>
      <c r="B3391" s="138">
        <f>'Expenditures 15-22'!K217</f>
        <v>226970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5649971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4045643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619635</v>
      </c>
      <c r="D3417" s="2" t="str">
        <f t="shared" si="52"/>
        <v>Error?</v>
      </c>
    </row>
    <row r="3418" spans="1:4" x14ac:dyDescent="0.2">
      <c r="A3418" s="10">
        <v>3357</v>
      </c>
      <c r="D3418" s="2" t="str">
        <f t="shared" si="52"/>
        <v>OK</v>
      </c>
    </row>
    <row r="3419" spans="1:4" x14ac:dyDescent="0.2">
      <c r="A3419" s="5">
        <v>3358</v>
      </c>
      <c r="B3419" s="138">
        <f>'Assets-Liab 5-6'!F4</f>
        <v>222645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1029015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728074</v>
      </c>
      <c r="D3425" s="2" t="str">
        <f t="shared" si="52"/>
        <v>Error?</v>
      </c>
    </row>
    <row r="3426" spans="1:4" x14ac:dyDescent="0.2">
      <c r="A3426" s="10">
        <v>3365</v>
      </c>
      <c r="D3426" s="2" t="str">
        <f t="shared" si="52"/>
        <v>OK</v>
      </c>
    </row>
    <row r="3427" spans="1:4" x14ac:dyDescent="0.2">
      <c r="A3427" s="5">
        <v>3366</v>
      </c>
      <c r="B3427" s="138">
        <f>'Assets-Liab 5-6'!I4</f>
        <v>735708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925491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1109761</v>
      </c>
      <c r="C3446" s="2" t="s">
        <v>572</v>
      </c>
      <c r="D3446" s="2" t="str">
        <f t="shared" si="52"/>
        <v>Error?</v>
      </c>
    </row>
    <row r="3447" spans="1:4" x14ac:dyDescent="0.2">
      <c r="A3447" s="5">
        <v>3386</v>
      </c>
      <c r="B3447" s="138">
        <f>'Tax Sched 23'!D16</f>
        <v>1053118</v>
      </c>
      <c r="C3447" s="2" t="s">
        <v>572</v>
      </c>
      <c r="D3447" s="2" t="str">
        <f t="shared" si="52"/>
        <v>Error?</v>
      </c>
    </row>
    <row r="3448" spans="1:4" x14ac:dyDescent="0.2">
      <c r="A3448" s="5">
        <v>3387</v>
      </c>
      <c r="B3448" s="138">
        <f>'Tax Sched 23'!C16</f>
        <v>56643</v>
      </c>
      <c r="D3448" s="2" t="str">
        <f t="shared" si="52"/>
        <v>Error?</v>
      </c>
    </row>
    <row r="3449" spans="1:4" x14ac:dyDescent="0.2">
      <c r="A3449" s="5">
        <v>3388</v>
      </c>
      <c r="B3449" s="138">
        <f>'Tax Sched 23'!F16</f>
        <v>1047993</v>
      </c>
      <c r="C3449" s="2" t="s">
        <v>572</v>
      </c>
      <c r="D3449" s="2" t="str">
        <f t="shared" si="52"/>
        <v>Error?</v>
      </c>
    </row>
    <row r="3450" spans="1:4" x14ac:dyDescent="0.2">
      <c r="A3450" s="5">
        <v>3389</v>
      </c>
      <c r="B3450" s="138">
        <f>'Tax Sched 23'!E16</f>
        <v>1104636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379857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379857</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379857</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1292302</v>
      </c>
      <c r="D3546" s="2" t="str">
        <f t="shared" si="54"/>
        <v>Error?</v>
      </c>
    </row>
    <row r="3547" spans="1:4" x14ac:dyDescent="0.2">
      <c r="A3547" s="10">
        <v>3486</v>
      </c>
      <c r="D3547" s="2" t="str">
        <f t="shared" si="54"/>
        <v>OK</v>
      </c>
    </row>
    <row r="3548" spans="1:4" x14ac:dyDescent="0.2">
      <c r="A3548" s="5">
        <v>3487</v>
      </c>
      <c r="B3548" s="138">
        <f>'Assets-Liab 5-6'!K6</f>
        <v>684071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1976373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721042</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885281</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1091092</v>
      </c>
      <c r="D3567" s="2" t="str">
        <f t="shared" si="54"/>
        <v>Error?</v>
      </c>
    </row>
    <row r="3568" spans="1:4" x14ac:dyDescent="0.2">
      <c r="A3568" s="5">
        <v>3507</v>
      </c>
      <c r="B3568" s="138">
        <f>'Assets-Liab 5-6'!K41</f>
        <v>1976373</v>
      </c>
      <c r="C3568" s="2" t="s">
        <v>572</v>
      </c>
      <c r="D3568" s="2" t="str">
        <f t="shared" si="54"/>
        <v>Error?</v>
      </c>
    </row>
    <row r="3569" spans="1:4" x14ac:dyDescent="0.2">
      <c r="A3569" s="5">
        <v>3508</v>
      </c>
      <c r="B3569" s="138">
        <f>'Acct Summary 7-8'!K4</f>
        <v>701910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701910</v>
      </c>
      <c r="C3571" s="2" t="s">
        <v>572</v>
      </c>
      <c r="D3571" s="2" t="str">
        <f t="shared" si="54"/>
        <v>Error?</v>
      </c>
    </row>
    <row r="3572" spans="1:4" x14ac:dyDescent="0.2">
      <c r="A3572" s="5">
        <v>3511</v>
      </c>
      <c r="B3572" s="138">
        <f>'Acct Summary 7-8'!K13</f>
        <v>523244</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523244</v>
      </c>
      <c r="C3575" s="2" t="s">
        <v>572</v>
      </c>
      <c r="D3575" s="2" t="str">
        <f t="shared" si="54"/>
        <v>Error?</v>
      </c>
    </row>
    <row r="3576" spans="1:4" x14ac:dyDescent="0.2">
      <c r="A3576" s="5">
        <v>3515</v>
      </c>
      <c r="B3576" s="138">
        <f>'Acct Summary 7-8'!K20</f>
        <v>178666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178666</v>
      </c>
      <c r="C3588" s="2" t="s">
        <v>572</v>
      </c>
      <c r="D3588" s="2" t="str">
        <f t="shared" si="55"/>
        <v>Error?</v>
      </c>
    </row>
    <row r="3589" spans="1:4" x14ac:dyDescent="0.2">
      <c r="A3589" s="5">
        <v>3528</v>
      </c>
      <c r="B3589" s="138">
        <f>'Acct Summary 7-8'!K79</f>
        <v>912426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1091092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523244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523244</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523244</v>
      </c>
      <c r="C3649" s="2" t="s">
        <v>572</v>
      </c>
      <c r="D3649" s="2" t="str">
        <f t="shared" si="56"/>
        <v>Error?</v>
      </c>
    </row>
    <row r="3650" spans="1:4" x14ac:dyDescent="0.2">
      <c r="A3650" s="5">
        <v>3589</v>
      </c>
      <c r="B3650" s="138">
        <f>'Expenditures 15-22'!G367</f>
        <v>523244</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523244</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523244</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523244</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523244</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178666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1232342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21559589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80016359</v>
      </c>
      <c r="C4122" s="2" t="s">
        <v>572</v>
      </c>
      <c r="D4122" s="2" t="str">
        <f t="shared" si="63"/>
        <v>Error?</v>
      </c>
    </row>
    <row r="4123" spans="1:4" x14ac:dyDescent="0.2">
      <c r="A4123" s="5">
        <v>4062</v>
      </c>
      <c r="B4123" s="138">
        <f>'Acct Summary 7-8'!D10</f>
        <v>7212728</v>
      </c>
      <c r="C4123" s="2" t="s">
        <v>572</v>
      </c>
      <c r="D4123" s="2" t="str">
        <f t="shared" si="63"/>
        <v>Error?</v>
      </c>
    </row>
    <row r="4124" spans="1:4" x14ac:dyDescent="0.2">
      <c r="A4124" s="5">
        <v>4063</v>
      </c>
      <c r="B4124" s="138">
        <f>'Acct Summary 7-8'!E10</f>
        <v>11370655</v>
      </c>
      <c r="C4124" s="2" t="s">
        <v>572</v>
      </c>
      <c r="D4124" s="2" t="str">
        <f t="shared" si="63"/>
        <v>Error?</v>
      </c>
    </row>
    <row r="4125" spans="1:4" x14ac:dyDescent="0.2">
      <c r="A4125" s="5">
        <v>4064</v>
      </c>
      <c r="B4125" s="138">
        <f>'Acct Summary 7-8'!F10</f>
        <v>5382756</v>
      </c>
      <c r="C4125" s="2" t="s">
        <v>572</v>
      </c>
      <c r="D4125" s="2" t="str">
        <f t="shared" si="63"/>
        <v>Error?</v>
      </c>
    </row>
    <row r="4126" spans="1:4" x14ac:dyDescent="0.2">
      <c r="A4126" s="5">
        <v>4065</v>
      </c>
      <c r="B4126" s="138">
        <f>'Acct Summary 7-8'!G10</f>
        <v>1859629</v>
      </c>
      <c r="C4126" s="2" t="s">
        <v>572</v>
      </c>
      <c r="D4126" s="2" t="str">
        <f t="shared" si="63"/>
        <v>Error?</v>
      </c>
    </row>
    <row r="4127" spans="1:4" x14ac:dyDescent="0.2">
      <c r="A4127" s="5">
        <v>4066</v>
      </c>
      <c r="B4127" s="138">
        <f>'Acct Summary 7-8'!H10</f>
        <v>118668</v>
      </c>
      <c r="C4127" s="2" t="s">
        <v>572</v>
      </c>
      <c r="D4127" s="2" t="str">
        <f t="shared" si="63"/>
        <v>Error?</v>
      </c>
    </row>
    <row r="4128" spans="1:4" x14ac:dyDescent="0.2">
      <c r="A4128" s="5">
        <v>4067</v>
      </c>
      <c r="B4128" s="138">
        <f>'Acct Summary 7-8'!I10</f>
        <v>698737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701910</v>
      </c>
      <c r="C4130" s="2" t="s">
        <v>572</v>
      </c>
      <c r="D4130" s="2" t="str">
        <f t="shared" si="63"/>
        <v>Error?</v>
      </c>
    </row>
    <row r="4131" spans="1:4" x14ac:dyDescent="0.2">
      <c r="A4131" s="5">
        <v>4070</v>
      </c>
      <c r="B4131" s="138">
        <f>'Acct Summary 7-8'!C18</f>
        <v>21559589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74778021</v>
      </c>
      <c r="C4136" s="2" t="s">
        <v>572</v>
      </c>
      <c r="D4136" s="2" t="str">
        <f t="shared" si="63"/>
        <v>Error?</v>
      </c>
    </row>
    <row r="4137" spans="1:4" x14ac:dyDescent="0.2">
      <c r="A4137" s="5">
        <v>4076</v>
      </c>
      <c r="B4137" s="138">
        <f>'Acct Summary 7-8'!D19</f>
        <v>6078321</v>
      </c>
      <c r="C4137" s="2" t="s">
        <v>572</v>
      </c>
      <c r="D4137" s="2" t="str">
        <f t="shared" si="63"/>
        <v>Error?</v>
      </c>
    </row>
    <row r="4138" spans="1:4" x14ac:dyDescent="0.2">
      <c r="A4138" s="5">
        <v>4077</v>
      </c>
      <c r="B4138" s="138">
        <f>'Acct Summary 7-8'!E19</f>
        <v>11773835</v>
      </c>
      <c r="C4138" s="2" t="s">
        <v>572</v>
      </c>
      <c r="D4138" s="2" t="str">
        <f t="shared" si="63"/>
        <v>Error?</v>
      </c>
    </row>
    <row r="4139" spans="1:4" x14ac:dyDescent="0.2">
      <c r="A4139" s="5">
        <v>4078</v>
      </c>
      <c r="B4139" s="138">
        <f>'Acct Summary 7-8'!F19</f>
        <v>5381443</v>
      </c>
      <c r="C4139" s="2" t="s">
        <v>572</v>
      </c>
      <c r="D4139" s="2" t="str">
        <f t="shared" si="63"/>
        <v>Error?</v>
      </c>
    </row>
    <row r="4140" spans="1:4" x14ac:dyDescent="0.2">
      <c r="A4140" s="5">
        <v>4079</v>
      </c>
      <c r="B4140" s="138">
        <f>'Acct Summary 7-8'!G19</f>
        <v>1843975</v>
      </c>
      <c r="C4140" s="2" t="s">
        <v>572</v>
      </c>
      <c r="D4140" s="2" t="str">
        <f t="shared" si="63"/>
        <v>Error?</v>
      </c>
    </row>
    <row r="4141" spans="1:4" x14ac:dyDescent="0.2">
      <c r="A4141" s="5">
        <v>4080</v>
      </c>
      <c r="B4141" s="138">
        <f>'Acct Summary 7-8'!H19</f>
        <v>50600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523244</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1876</v>
      </c>
      <c r="C4156" s="2" t="s">
        <v>572</v>
      </c>
      <c r="D4156" s="2" t="str">
        <f t="shared" si="63"/>
        <v>Error?</v>
      </c>
    </row>
    <row r="4157" spans="1:4" x14ac:dyDescent="0.2">
      <c r="A4157" s="5">
        <v>4096</v>
      </c>
      <c r="B4157" s="138">
        <f>'Expenditures 15-22'!K204</f>
        <v>1876</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91987814</v>
      </c>
      <c r="C4171" s="2" t="s">
        <v>572</v>
      </c>
      <c r="D4171" s="2" t="str">
        <f t="shared" si="64"/>
        <v>Error?</v>
      </c>
    </row>
    <row r="4172" spans="1:4" x14ac:dyDescent="0.2">
      <c r="A4172" s="5">
        <v>4111</v>
      </c>
      <c r="B4172" s="138">
        <f>'Short-Term Long-Term Debt 24'!J49</f>
        <v>91987119</v>
      </c>
      <c r="C4172" s="2" t="s">
        <v>572</v>
      </c>
      <c r="D4172" s="2" t="str">
        <f t="shared" si="64"/>
        <v>Error?</v>
      </c>
    </row>
    <row r="4173" spans="1:4" x14ac:dyDescent="0.2">
      <c r="A4173" s="5">
        <v>4112</v>
      </c>
      <c r="B4173" s="138">
        <f>'Short-Term Long-Term Debt 24'!H49</f>
        <v>9466245</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3490</v>
      </c>
      <c r="C4268" s="2" t="s">
        <v>572</v>
      </c>
      <c r="D4268" s="2" t="str">
        <f t="shared" si="65"/>
        <v>Error?</v>
      </c>
    </row>
    <row r="4269" spans="1:5" x14ac:dyDescent="0.2">
      <c r="A4269" s="12">
        <v>4208</v>
      </c>
      <c r="B4269" s="138">
        <f>'FP Info 3'!J16</f>
        <v>4371531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96361</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34952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75515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254261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40462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162396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358776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1456650144</v>
      </c>
      <c r="D4995" s="2" t="str">
        <f t="shared" si="77"/>
        <v>Error?</v>
      </c>
    </row>
    <row r="4996" spans="1:4" x14ac:dyDescent="0.2">
      <c r="A4996" s="12">
        <v>4935</v>
      </c>
      <c r="B4996" s="138">
        <f>'FP Info 3'!H31</f>
        <v>201017719.87200001</v>
      </c>
      <c r="D4996" s="2" t="str">
        <f t="shared" si="77"/>
        <v>Error?</v>
      </c>
    </row>
    <row r="4997" spans="1:4" x14ac:dyDescent="0.2">
      <c r="A4997" s="12">
        <v>4936</v>
      </c>
      <c r="B4997" s="138">
        <f>'FP Info 3'!H37</f>
        <v>91987814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38244365</v>
      </c>
      <c r="D5061" s="2" t="str">
        <f t="shared" si="78"/>
        <v>Error?</v>
      </c>
    </row>
    <row r="5062" spans="1:4" x14ac:dyDescent="0.2">
      <c r="A5062" s="10">
        <v>5001</v>
      </c>
      <c r="D5062" s="2" t="str">
        <f t="shared" si="78"/>
        <v>OK</v>
      </c>
    </row>
    <row r="5063" spans="1:4" x14ac:dyDescent="0.2">
      <c r="A5063" s="5">
        <v>5002</v>
      </c>
      <c r="B5063" s="138">
        <f>'Revenues 9-14'!C7</f>
        <v>556283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38800648</v>
      </c>
      <c r="C5066" s="2" t="s">
        <v>572</v>
      </c>
      <c r="D5066" s="2" t="str">
        <f t="shared" si="78"/>
        <v>Error?</v>
      </c>
    </row>
    <row r="5067" spans="1:4" x14ac:dyDescent="0.2">
      <c r="A5067" s="5">
        <v>5006</v>
      </c>
      <c r="B5067" s="138">
        <f>'Revenues 9-14'!C14</f>
        <v>8493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939423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947916</v>
      </c>
      <c r="C5071" s="2" t="s">
        <v>572</v>
      </c>
      <c r="D5071" s="2" t="str">
        <f t="shared" si="78"/>
        <v>Error?</v>
      </c>
    </row>
    <row r="5072" spans="1:4" x14ac:dyDescent="0.2">
      <c r="A5072" s="5">
        <v>5011</v>
      </c>
      <c r="B5072" s="138">
        <f>'Revenues 9-14'!C20</f>
        <v>177400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90279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267679</v>
      </c>
      <c r="C5087" s="2" t="s">
        <v>572</v>
      </c>
      <c r="D5087" s="2" t="str">
        <f t="shared" si="78"/>
        <v>Error?</v>
      </c>
    </row>
    <row r="5088" spans="1:4" x14ac:dyDescent="0.2">
      <c r="A5088" s="5">
        <v>5027</v>
      </c>
      <c r="B5088" s="138">
        <f>'Revenues 9-14'!C65</f>
        <v>68741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68741</v>
      </c>
      <c r="C5090" s="2" t="s">
        <v>572</v>
      </c>
      <c r="D5090" s="2" t="str">
        <f t="shared" si="78"/>
        <v>Error?</v>
      </c>
    </row>
    <row r="5091" spans="1:4" x14ac:dyDescent="0.2">
      <c r="A5091" s="5">
        <v>5030</v>
      </c>
      <c r="B5091" s="138">
        <f>'Revenues 9-14'!C70</f>
        <v>102331</v>
      </c>
      <c r="D5091" s="2" t="str">
        <f t="shared" si="78"/>
        <v>Error?</v>
      </c>
    </row>
    <row r="5092" spans="1:4" x14ac:dyDescent="0.2">
      <c r="A5092" s="5">
        <v>5031</v>
      </c>
      <c r="B5092" s="138">
        <f>'Revenues 9-14'!C71</f>
        <v>641878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17307</v>
      </c>
      <c r="D5094" s="2" t="str">
        <f t="shared" si="78"/>
        <v>Error?</v>
      </c>
    </row>
    <row r="5095" spans="1:4" x14ac:dyDescent="0.2">
      <c r="A5095" s="5">
        <v>5034</v>
      </c>
      <c r="B5095" s="138">
        <f>'Revenues 9-14'!C74</f>
        <v>69954</v>
      </c>
      <c r="D5095" s="2" t="str">
        <f t="shared" si="78"/>
        <v>Error?</v>
      </c>
    </row>
    <row r="5096" spans="1:4" x14ac:dyDescent="0.2">
      <c r="A5096" s="5">
        <v>5035</v>
      </c>
      <c r="B5096" s="138">
        <f>'Revenues 9-14'!C75</f>
        <v>1588162</v>
      </c>
      <c r="C5096" s="2" t="s">
        <v>572</v>
      </c>
      <c r="D5096" s="2" t="str">
        <f t="shared" si="78"/>
        <v>Error?</v>
      </c>
    </row>
    <row r="5097" spans="1:4" x14ac:dyDescent="0.2">
      <c r="A5097" s="5">
        <v>5036</v>
      </c>
      <c r="B5097" s="138">
        <f>'Revenues 9-14'!C77</f>
        <v>47597</v>
      </c>
      <c r="D5097" s="2" t="str">
        <f t="shared" si="78"/>
        <v>Error?</v>
      </c>
    </row>
    <row r="5098" spans="1:4" x14ac:dyDescent="0.2">
      <c r="A5098" s="5">
        <v>5037</v>
      </c>
      <c r="B5098" s="138">
        <f>'Revenues 9-14'!C78</f>
        <v>6090</v>
      </c>
      <c r="D5098" s="2" t="str">
        <f t="shared" si="78"/>
        <v>Error?</v>
      </c>
    </row>
    <row r="5099" spans="1:4" x14ac:dyDescent="0.2">
      <c r="A5099" s="5">
        <v>5038</v>
      </c>
      <c r="B5099" s="138">
        <f>'Revenues 9-14'!C79</f>
        <v>445178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498865</v>
      </c>
      <c r="C5102" s="2" t="s">
        <v>572</v>
      </c>
      <c r="D5102" s="2" t="str">
        <f t="shared" si="78"/>
        <v>Error?</v>
      </c>
    </row>
    <row r="5103" spans="1:4" x14ac:dyDescent="0.2">
      <c r="A5103" s="5">
        <v>5042</v>
      </c>
      <c r="B5103" s="138">
        <f>'Revenues 9-14'!C84</f>
        <v>533181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533181</v>
      </c>
      <c r="C5112" s="2" t="s">
        <v>572</v>
      </c>
      <c r="D5112" s="2" t="str">
        <f t="shared" si="78"/>
        <v>Error?</v>
      </c>
    </row>
    <row r="5113" spans="1:4" x14ac:dyDescent="0.2">
      <c r="A5113" s="5">
        <v>5052</v>
      </c>
      <c r="B5113" s="138">
        <f>'Revenues 9-14'!C95</f>
        <v>123234</v>
      </c>
      <c r="D5113" s="2" t="str">
        <f t="shared" si="78"/>
        <v>Error?</v>
      </c>
    </row>
    <row r="5114" spans="1:4" x14ac:dyDescent="0.2">
      <c r="A5114" s="5">
        <v>5053</v>
      </c>
      <c r="B5114" s="138">
        <f>'Revenues 9-14'!C96</f>
        <v>20729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1557063</v>
      </c>
      <c r="D5118" s="2" t="str">
        <f t="shared" si="78"/>
        <v>Error?</v>
      </c>
    </row>
    <row r="5119" spans="1:4" x14ac:dyDescent="0.2">
      <c r="A5119" s="5">
        <v>5058</v>
      </c>
      <c r="B5119" s="138">
        <f>'Revenues 9-14'!C107</f>
        <v>146700</v>
      </c>
      <c r="D5119" s="2" t="str">
        <f t="shared" ref="D5119:D5182" si="79">IF(ISBLANK(B5119),"OK",IF(A5119-B5119=0,"OK","Error?"))</f>
        <v>Error?</v>
      </c>
    </row>
    <row r="5120" spans="1:4" x14ac:dyDescent="0.2">
      <c r="A5120" s="5">
        <v>5059</v>
      </c>
      <c r="B5120" s="138">
        <f>'Revenues 9-14'!C108</f>
        <v>2058580</v>
      </c>
      <c r="C5120" s="2" t="s">
        <v>572</v>
      </c>
      <c r="D5120" s="2" t="str">
        <f t="shared" si="79"/>
        <v>Error?</v>
      </c>
    </row>
    <row r="5121" spans="1:4" x14ac:dyDescent="0.2">
      <c r="A5121" s="5">
        <v>5060</v>
      </c>
      <c r="B5121" s="138">
        <f>'Revenues 9-14'!C109</f>
        <v>44763772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8789498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8789498</v>
      </c>
      <c r="C5132" s="2" t="s">
        <v>572</v>
      </c>
      <c r="D5132" s="2" t="str">
        <f t="shared" si="79"/>
        <v>Error?</v>
      </c>
    </row>
    <row r="5133" spans="1:4" x14ac:dyDescent="0.2">
      <c r="A5133" s="5">
        <v>5072</v>
      </c>
      <c r="B5133" s="138">
        <f>'Revenues 9-14'!C125</f>
        <v>395965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102735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498700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62810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73586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11282</v>
      </c>
      <c r="D5167" s="2" t="str">
        <f t="shared" si="79"/>
        <v>Error?</v>
      </c>
    </row>
    <row r="5168" spans="1:4" x14ac:dyDescent="0.2">
      <c r="A5168" s="5">
        <v>5107</v>
      </c>
      <c r="B5168" s="138">
        <f>'Revenues 9-14'!C148</f>
        <v>106594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471541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1520479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10309977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596514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144040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836915</v>
      </c>
      <c r="C5246" s="2" t="s">
        <v>572</v>
      </c>
      <c r="D5246" s="2" t="str">
        <f t="shared" si="80"/>
        <v>Error?</v>
      </c>
    </row>
    <row r="5247" spans="1:4" x14ac:dyDescent="0.2">
      <c r="A5247" s="5">
        <v>5186</v>
      </c>
      <c r="B5247" s="138">
        <f>'Revenues 9-14'!C200</f>
        <v>468231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40462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468231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38752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1466007</v>
      </c>
      <c r="D5278" s="2" t="str">
        <f t="shared" si="81"/>
        <v>Error?</v>
      </c>
    </row>
    <row r="5279" spans="1:4" x14ac:dyDescent="0.2">
      <c r="A5279" s="5">
        <v>5218</v>
      </c>
      <c r="B5279" s="138">
        <f>'Revenues 9-14'!C214</f>
        <v>3780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1508539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34952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1750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3383021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3383021</v>
      </c>
      <c r="C5326" s="2" t="s">
        <v>572</v>
      </c>
      <c r="D5326" s="2" t="str">
        <f t="shared" si="82"/>
        <v>Error?</v>
      </c>
    </row>
    <row r="5327" spans="1:5" x14ac:dyDescent="0.2">
      <c r="A5327" s="5">
        <v>5266</v>
      </c>
      <c r="B5327" s="138">
        <f>'Revenues 9-14'!C268</f>
        <v>58456770</v>
      </c>
      <c r="C5327" s="2" t="s">
        <v>572</v>
      </c>
      <c r="D5327" s="2" t="str">
        <f t="shared" si="82"/>
        <v>Error?</v>
      </c>
    </row>
    <row r="5328" spans="1:5" x14ac:dyDescent="0.2">
      <c r="A5328" s="5">
        <v>5267</v>
      </c>
      <c r="B5328" s="138">
        <f>'Revenues 9-14'!D5</f>
        <v>6953503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6953503</v>
      </c>
      <c r="C5334" s="2" t="s">
        <v>572</v>
      </c>
      <c r="D5334" s="2" t="str">
        <f t="shared" si="82"/>
        <v>Error?</v>
      </c>
    </row>
    <row r="5335" spans="1:4" x14ac:dyDescent="0.2">
      <c r="A5335" s="5">
        <v>5274</v>
      </c>
      <c r="B5335" s="138">
        <f>'Revenues 9-14'!D14</f>
        <v>1522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1522</v>
      </c>
      <c r="C5339" s="2" t="s">
        <v>572</v>
      </c>
      <c r="D5339" s="2" t="str">
        <f t="shared" si="82"/>
        <v>Error?</v>
      </c>
    </row>
    <row r="5340" spans="1:4" x14ac:dyDescent="0.2">
      <c r="A5340" s="5">
        <v>5279</v>
      </c>
      <c r="B5340" s="138">
        <f>'Revenues 9-14'!D65</f>
        <v>33250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33250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118197</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118197</v>
      </c>
      <c r="C5348" s="2" t="s">
        <v>572</v>
      </c>
      <c r="D5348" s="2" t="str">
        <f t="shared" si="82"/>
        <v>Error?</v>
      </c>
    </row>
    <row r="5349" spans="1:4" x14ac:dyDescent="0.2">
      <c r="A5349" s="5">
        <v>5288</v>
      </c>
      <c r="B5349" s="138">
        <f>'Revenues 9-14'!D95</f>
        <v>34750</v>
      </c>
      <c r="D5349" s="2" t="str">
        <f t="shared" si="82"/>
        <v>Error?</v>
      </c>
    </row>
    <row r="5350" spans="1:4" x14ac:dyDescent="0.2">
      <c r="A5350" s="5">
        <v>5289</v>
      </c>
      <c r="B5350" s="138">
        <f>'Revenues 9-14'!D96</f>
        <v>35000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36506</v>
      </c>
      <c r="D5354" s="2" t="str">
        <f t="shared" si="82"/>
        <v>Error?</v>
      </c>
    </row>
    <row r="5355" spans="1:4" x14ac:dyDescent="0.2">
      <c r="A5355" s="5">
        <v>5294</v>
      </c>
      <c r="B5355" s="138">
        <f>'Revenues 9-14'!D108</f>
        <v>106256</v>
      </c>
      <c r="C5355" s="2" t="s">
        <v>572</v>
      </c>
      <c r="D5355" s="2" t="str">
        <f t="shared" si="82"/>
        <v>Error?</v>
      </c>
    </row>
    <row r="5356" spans="1:4" x14ac:dyDescent="0.2">
      <c r="A5356" s="5">
        <v>5295</v>
      </c>
      <c r="B5356" s="138">
        <f>'Revenues 9-14'!D109</f>
        <v>7212728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7212728</v>
      </c>
      <c r="C5508" s="2" t="s">
        <v>572</v>
      </c>
      <c r="D5508" s="2" t="str">
        <f t="shared" si="85"/>
        <v>Error?</v>
      </c>
    </row>
    <row r="5509" spans="1:4" x14ac:dyDescent="0.2">
      <c r="A5509" s="5">
        <v>5448</v>
      </c>
      <c r="B5509" s="138">
        <f>'Revenues 9-14'!E5</f>
        <v>11356648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11356648</v>
      </c>
      <c r="C5513" s="2" t="s">
        <v>572</v>
      </c>
      <c r="D5513" s="2" t="str">
        <f t="shared" si="85"/>
        <v>Error?</v>
      </c>
    </row>
    <row r="5514" spans="1:4" x14ac:dyDescent="0.2">
      <c r="A5514" s="5">
        <v>5453</v>
      </c>
      <c r="B5514" s="138">
        <f>'Revenues 9-14'!E14</f>
        <v>2486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2486</v>
      </c>
      <c r="C5518" s="2" t="s">
        <v>572</v>
      </c>
      <c r="D5518" s="2" t="str">
        <f t="shared" si="85"/>
        <v>Error?</v>
      </c>
    </row>
    <row r="5519" spans="1:4" x14ac:dyDescent="0.2">
      <c r="A5519" s="5">
        <v>5458</v>
      </c>
      <c r="B5519" s="138">
        <f>'Revenues 9-14'!E65</f>
        <v>11521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11521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11370655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11370655</v>
      </c>
      <c r="C5552" s="2" t="s">
        <v>572</v>
      </c>
      <c r="D5552" s="2" t="str">
        <f t="shared" si="85"/>
        <v>Error?</v>
      </c>
    </row>
    <row r="5553" spans="1:4" x14ac:dyDescent="0.2">
      <c r="A5553" s="5">
        <v>5492</v>
      </c>
      <c r="B5553" s="138">
        <f>'Revenues 9-14'!F5</f>
        <v>2781414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2781414</v>
      </c>
      <c r="C5557" s="2" t="s">
        <v>572</v>
      </c>
      <c r="D5557" s="2" t="str">
        <f t="shared" si="85"/>
        <v>Error?</v>
      </c>
    </row>
    <row r="5558" spans="1:4" x14ac:dyDescent="0.2">
      <c r="A5558" s="5">
        <v>5497</v>
      </c>
      <c r="B5558" s="138">
        <f>'Revenues 9-14'!F14</f>
        <v>609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609</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7846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7846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15174</v>
      </c>
      <c r="D5586" s="2" t="str">
        <f t="shared" si="86"/>
        <v>Error?</v>
      </c>
    </row>
    <row r="5587" spans="1:4" x14ac:dyDescent="0.2">
      <c r="A5587" s="5">
        <v>5526</v>
      </c>
      <c r="B5587" s="138">
        <f>'Revenues 9-14'!F108</f>
        <v>15174</v>
      </c>
      <c r="C5587" s="2" t="s">
        <v>572</v>
      </c>
      <c r="D5587" s="2" t="str">
        <f t="shared" si="86"/>
        <v>Error?</v>
      </c>
    </row>
    <row r="5588" spans="1:4" x14ac:dyDescent="0.2">
      <c r="A5588" s="5">
        <v>5527</v>
      </c>
      <c r="B5588" s="138">
        <f>'Revenues 9-14'!F109</f>
        <v>2805043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11440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11440</v>
      </c>
      <c r="C5614" s="2" t="s">
        <v>572</v>
      </c>
      <c r="D5614" s="2" t="str">
        <f t="shared" si="86"/>
        <v>Error?</v>
      </c>
    </row>
    <row r="5615" spans="1:4" x14ac:dyDescent="0.2">
      <c r="A5615" s="5">
        <v>5554</v>
      </c>
      <c r="B5615" s="138">
        <f>'Revenues 9-14'!F152</f>
        <v>1496733</v>
      </c>
      <c r="D5615" s="2" t="str">
        <f t="shared" si="86"/>
        <v>Error?</v>
      </c>
    </row>
    <row r="5616" spans="1:4" x14ac:dyDescent="0.2">
      <c r="A5616" s="10">
        <v>5555</v>
      </c>
      <c r="D5616" s="2" t="str">
        <f t="shared" si="86"/>
        <v>OK</v>
      </c>
    </row>
    <row r="5617" spans="1:5" x14ac:dyDescent="0.2">
      <c r="A5617" s="5">
        <v>5556</v>
      </c>
      <c r="B5617" s="138">
        <f>'Revenues 9-14'!F153</f>
        <v>1069540</v>
      </c>
      <c r="D5617" s="2" t="str">
        <f t="shared" si="86"/>
        <v>Error?</v>
      </c>
    </row>
    <row r="5618" spans="1:5" x14ac:dyDescent="0.2">
      <c r="A5618" s="5">
        <v>5557</v>
      </c>
      <c r="B5618" s="138">
        <f>'Revenues 9-14'!F155</f>
        <v>2566273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2577713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2577713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5382756</v>
      </c>
      <c r="C5720" s="2" t="s">
        <v>572</v>
      </c>
      <c r="D5720" s="2" t="str">
        <f t="shared" si="88"/>
        <v>Error?</v>
      </c>
    </row>
    <row r="5721" spans="1:4" x14ac:dyDescent="0.2">
      <c r="A5721" s="5">
        <v>5660</v>
      </c>
      <c r="B5721" s="138">
        <f>'Revenues 9-14'!G5</f>
        <v>618846</v>
      </c>
      <c r="D5721" s="2" t="str">
        <f t="shared" si="88"/>
        <v>Error?</v>
      </c>
    </row>
    <row r="5722" spans="1:4" x14ac:dyDescent="0.2">
      <c r="A5722" s="5">
        <v>5661</v>
      </c>
      <c r="B5722" s="138">
        <f>'Revenues 9-14'!G7</f>
        <v>0</v>
      </c>
      <c r="D5722" s="2" t="str">
        <f t="shared" si="88"/>
        <v>Error?</v>
      </c>
    </row>
    <row r="5723" spans="1:4" x14ac:dyDescent="0.2">
      <c r="A5723" s="5">
        <v>5662</v>
      </c>
      <c r="B5723" s="138">
        <f>'Revenues 9-14'!G8</f>
        <v>1109761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1728607</v>
      </c>
      <c r="C5725" s="2" t="s">
        <v>572</v>
      </c>
      <c r="D5725" s="2" t="str">
        <f t="shared" si="88"/>
        <v>Error?</v>
      </c>
    </row>
    <row r="5726" spans="1:4" x14ac:dyDescent="0.2">
      <c r="A5726" s="5">
        <v>5665</v>
      </c>
      <c r="B5726" s="138">
        <f>'Revenues 9-14'!G14</f>
        <v>378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123217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123595</v>
      </c>
      <c r="C5730" s="2" t="s">
        <v>572</v>
      </c>
      <c r="D5730" s="2" t="str">
        <f t="shared" si="88"/>
        <v>Error?</v>
      </c>
    </row>
    <row r="5731" spans="1:4" x14ac:dyDescent="0.2">
      <c r="A5731" s="5">
        <v>5670</v>
      </c>
      <c r="B5731" s="138">
        <f>'Revenues 9-14'!G65</f>
        <v>7427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7427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1859629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4077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4077</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1200</v>
      </c>
      <c r="D5885" s="2" t="str">
        <f t="shared" si="90"/>
        <v>Error?</v>
      </c>
    </row>
    <row r="5886" spans="1:4" x14ac:dyDescent="0.2">
      <c r="A5886" s="5">
        <v>5825</v>
      </c>
      <c r="B5886" s="138">
        <f>'Revenues 9-14'!H108</f>
        <v>114591</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118668</v>
      </c>
      <c r="C5915" s="2" t="s">
        <v>572</v>
      </c>
      <c r="D5915" s="2" t="str">
        <f t="shared" si="91"/>
        <v>Error?</v>
      </c>
    </row>
    <row r="5916" spans="1:4" x14ac:dyDescent="0.2">
      <c r="A5916" s="5">
        <v>5855</v>
      </c>
      <c r="B5916" s="138">
        <f>'Revenues 9-14'!I5</f>
        <v>695370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695370</v>
      </c>
      <c r="C5918" s="2" t="s">
        <v>572</v>
      </c>
      <c r="D5918" s="2" t="str">
        <f t="shared" si="91"/>
        <v>Error?</v>
      </c>
    </row>
    <row r="5919" spans="1:4" x14ac:dyDescent="0.2">
      <c r="A5919" s="5">
        <v>5858</v>
      </c>
      <c r="B5919" s="138">
        <f>'Revenues 9-14'!I14</f>
        <v>152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152</v>
      </c>
      <c r="C5923" s="2" t="s">
        <v>572</v>
      </c>
      <c r="D5923" s="2" t="str">
        <f t="shared" si="91"/>
        <v>Error?</v>
      </c>
    </row>
    <row r="5924" spans="1:4" x14ac:dyDescent="0.2">
      <c r="A5924" s="5">
        <v>5863</v>
      </c>
      <c r="B5924" s="138">
        <f>'Revenues 9-14'!I65</f>
        <v>3215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3215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698737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695370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695370</v>
      </c>
      <c r="C5987" s="2" t="s">
        <v>572</v>
      </c>
      <c r="D5987" s="2" t="str">
        <f t="shared" si="92"/>
        <v>Error?</v>
      </c>
    </row>
    <row r="5988" spans="1:4" x14ac:dyDescent="0.2">
      <c r="A5988" s="5">
        <v>5927</v>
      </c>
      <c r="B5988" s="138">
        <f>'Revenues 9-14'!K14</f>
        <v>152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152</v>
      </c>
      <c r="C5992" s="2" t="s">
        <v>572</v>
      </c>
      <c r="D5992" s="2" t="str">
        <f t="shared" si="92"/>
        <v>Error?</v>
      </c>
    </row>
    <row r="5993" spans="1:4" x14ac:dyDescent="0.2">
      <c r="A5993" s="5">
        <v>5932</v>
      </c>
      <c r="B5993" s="138">
        <f>'Revenues 9-14'!K65</f>
        <v>6388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6388</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701910</v>
      </c>
      <c r="C6023" s="2" t="s">
        <v>572</v>
      </c>
      <c r="D6023" s="2" t="str">
        <f t="shared" si="93"/>
        <v>Error?</v>
      </c>
    </row>
    <row r="6024" spans="1:5" x14ac:dyDescent="0.2">
      <c r="A6024" s="5">
        <v>5963</v>
      </c>
      <c r="B6024" s="138">
        <f>'Revenues 9-14'!G109</f>
        <v>1859629</v>
      </c>
      <c r="C6024" s="2" t="s">
        <v>572</v>
      </c>
      <c r="D6024" s="2" t="str">
        <f t="shared" si="93"/>
        <v>Error?</v>
      </c>
    </row>
    <row r="6025" spans="1:5" x14ac:dyDescent="0.2">
      <c r="A6025" s="5">
        <v>5964</v>
      </c>
      <c r="B6025" s="138">
        <f>'Revenues 9-14'!H109</f>
        <v>118668</v>
      </c>
      <c r="C6025" s="2" t="s">
        <v>572</v>
      </c>
      <c r="D6025" s="2" t="str">
        <f t="shared" si="93"/>
        <v>Error?</v>
      </c>
    </row>
    <row r="6026" spans="1:5" x14ac:dyDescent="0.2">
      <c r="A6026" s="5">
        <v>5965</v>
      </c>
      <c r="B6026" s="138">
        <f>'Revenues 9-14'!I109</f>
        <v>698737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701910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756692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96361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7061.3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881566</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640016</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10032</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2908030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400994</v>
      </c>
      <c r="D6142" s="2" t="str">
        <f t="shared" si="94"/>
        <v>Error?</v>
      </c>
      <c r="E6142" s="2" t="s">
        <v>190</v>
      </c>
    </row>
    <row r="6143" spans="1:5" x14ac:dyDescent="0.2">
      <c r="A6143">
        <v>6082</v>
      </c>
      <c r="B6143" s="138">
        <f>'Assets-Liab 5-6'!D27</f>
        <v>255939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110325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164239</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4439119</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1981423</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1981423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926607</v>
      </c>
      <c r="D6215" s="2" t="str">
        <f t="shared" si="96"/>
        <v>Error?</v>
      </c>
      <c r="E6215" s="2" t="s">
        <v>190</v>
      </c>
    </row>
    <row r="6216" spans="1:5" x14ac:dyDescent="0.2">
      <c r="A6216">
        <v>6155</v>
      </c>
      <c r="B6216" s="138">
        <f>'Assets-Liab 5-6'!J41</f>
        <v>2908030</v>
      </c>
      <c r="D6216" s="2" t="str">
        <f t="shared" si="96"/>
        <v>Error?</v>
      </c>
      <c r="E6216" s="2" t="s">
        <v>190</v>
      </c>
    </row>
    <row r="6217" spans="1:5" x14ac:dyDescent="0.2">
      <c r="A6217">
        <v>6156</v>
      </c>
      <c r="B6217" s="138">
        <f>'Assets-Liab 5-6'!J4</f>
        <v>1028207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1879823</v>
      </c>
      <c r="D6219" s="2" t="str">
        <f t="shared" si="96"/>
        <v>Error?</v>
      </c>
      <c r="E6219" s="2" t="s">
        <v>190</v>
      </c>
    </row>
    <row r="6220" spans="1:5" x14ac:dyDescent="0.2">
      <c r="A6220">
        <v>6159</v>
      </c>
      <c r="B6220" s="138">
        <f>'Acct Summary 7-8'!J4</f>
        <v>2233838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2233838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2233838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2093996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2093996</v>
      </c>
      <c r="D6229" s="2" t="str">
        <f t="shared" si="96"/>
        <v>Error?</v>
      </c>
      <c r="E6229" s="2" t="s">
        <v>190</v>
      </c>
    </row>
    <row r="6230" spans="1:5" x14ac:dyDescent="0.2">
      <c r="A6230">
        <v>6169</v>
      </c>
      <c r="B6230" s="138">
        <f>'Acct Summary 7-8'!J20</f>
        <v>139842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139842</v>
      </c>
      <c r="D6263" s="2" t="str">
        <f t="shared" si="96"/>
        <v>Error?</v>
      </c>
      <c r="E6263" s="2" t="s">
        <v>190</v>
      </c>
    </row>
    <row r="6264" spans="1:5" x14ac:dyDescent="0.2">
      <c r="A6264">
        <v>6203</v>
      </c>
      <c r="B6264" s="138">
        <f>'Acct Summary 7-8'!J79</f>
        <v>786765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926607</v>
      </c>
      <c r="D6266" s="2" t="str">
        <f t="shared" si="96"/>
        <v>Error?</v>
      </c>
      <c r="E6266" s="2" t="s">
        <v>190</v>
      </c>
    </row>
    <row r="6267" spans="1:5" x14ac:dyDescent="0.2">
      <c r="A6267">
        <v>6206</v>
      </c>
      <c r="B6267" s="138">
        <f>'Acct Summary 7-8'!C82</f>
        <v>4964890</v>
      </c>
      <c r="D6267" s="2" t="str">
        <f t="shared" si="96"/>
        <v>Error?</v>
      </c>
      <c r="E6267" s="2" t="s">
        <v>190</v>
      </c>
    </row>
    <row r="6268" spans="1:5" x14ac:dyDescent="0.2">
      <c r="A6268">
        <v>6207</v>
      </c>
      <c r="B6268" s="138">
        <f>'Acct Summary 7-8'!D82</f>
        <v>1134407</v>
      </c>
      <c r="D6268" s="2" t="str">
        <f t="shared" si="96"/>
        <v>Error?</v>
      </c>
      <c r="E6268" s="2" t="s">
        <v>190</v>
      </c>
    </row>
    <row r="6269" spans="1:5" x14ac:dyDescent="0.2">
      <c r="A6269">
        <v>6208</v>
      </c>
      <c r="B6269" s="138">
        <f>'Acct Summary 7-8'!E82</f>
        <v>268</v>
      </c>
      <c r="D6269" s="2" t="str">
        <f t="shared" si="96"/>
        <v>Error?</v>
      </c>
      <c r="E6269" s="2" t="s">
        <v>190</v>
      </c>
    </row>
    <row r="6270" spans="1:5" x14ac:dyDescent="0.2">
      <c r="A6270">
        <v>6209</v>
      </c>
      <c r="B6270" s="138">
        <f>'Acct Summary 7-8'!F82</f>
        <v>1313</v>
      </c>
      <c r="D6270" s="2" t="str">
        <f t="shared" si="96"/>
        <v>Error?</v>
      </c>
      <c r="E6270" s="2" t="s">
        <v>190</v>
      </c>
    </row>
    <row r="6271" spans="1:5" x14ac:dyDescent="0.2">
      <c r="A6271">
        <v>6210</v>
      </c>
      <c r="B6271" s="138">
        <f>'Acct Summary 7-8'!G82</f>
        <v>15654</v>
      </c>
      <c r="D6271" s="2" t="str">
        <f t="shared" ref="D6271:D6334" si="97">IF(ISBLANK(B6271),"OK",IF(A6271-B6271=0,"OK","Error?"))</f>
        <v>Error?</v>
      </c>
      <c r="E6271" s="2" t="s">
        <v>190</v>
      </c>
    </row>
    <row r="6272" spans="1:5" x14ac:dyDescent="0.2">
      <c r="A6272">
        <v>6211</v>
      </c>
      <c r="B6272" s="138">
        <f>'Acct Summary 7-8'!H82</f>
        <v>-61932</v>
      </c>
      <c r="D6272" s="2" t="str">
        <f t="shared" si="97"/>
        <v>Error?</v>
      </c>
      <c r="E6272" s="2" t="s">
        <v>190</v>
      </c>
    </row>
    <row r="6273" spans="1:5" x14ac:dyDescent="0.2">
      <c r="A6273">
        <v>6212</v>
      </c>
      <c r="B6273" s="138">
        <f>'Acct Summary 7-8'!I82</f>
        <v>698737</v>
      </c>
      <c r="D6273" s="2" t="str">
        <f t="shared" si="97"/>
        <v>Error?</v>
      </c>
      <c r="E6273" s="2" t="s">
        <v>190</v>
      </c>
    </row>
    <row r="6274" spans="1:5" x14ac:dyDescent="0.2">
      <c r="A6274">
        <v>6213</v>
      </c>
      <c r="B6274" s="138">
        <f>'Acct Summary 7-8'!J82</f>
        <v>139842</v>
      </c>
      <c r="D6274" s="2" t="str">
        <f t="shared" si="97"/>
        <v>Error?</v>
      </c>
      <c r="E6274" s="2" t="s">
        <v>190</v>
      </c>
    </row>
    <row r="6275" spans="1:5" x14ac:dyDescent="0.2">
      <c r="A6275">
        <v>6214</v>
      </c>
      <c r="B6275" s="138">
        <f>'Acct Summary 7-8'!K82</f>
        <v>178666</v>
      </c>
      <c r="D6275" s="2" t="str">
        <f t="shared" si="97"/>
        <v>Error?</v>
      </c>
      <c r="E6275" s="2" t="s">
        <v>190</v>
      </c>
    </row>
    <row r="6276" spans="1:5" x14ac:dyDescent="0.2">
      <c r="A6276">
        <v>6215</v>
      </c>
      <c r="B6276" s="138">
        <f>'Acct Summary 7-8'!C83</f>
        <v>-13.489716071185979</v>
      </c>
      <c r="D6276" s="2" t="str">
        <f t="shared" si="97"/>
        <v>Error?</v>
      </c>
      <c r="E6276" s="2" t="s">
        <v>190</v>
      </c>
    </row>
    <row r="6277" spans="1:5" x14ac:dyDescent="0.2">
      <c r="A6277">
        <v>6216</v>
      </c>
      <c r="B6277" s="138">
        <f>'Acct Summary 7-8'!D83</f>
        <v>0.33011533013075328</v>
      </c>
      <c r="D6277" s="2" t="str">
        <f t="shared" si="97"/>
        <v>Error?</v>
      </c>
      <c r="E6277" s="2" t="s">
        <v>190</v>
      </c>
    </row>
    <row r="6278" spans="1:5" x14ac:dyDescent="0.2">
      <c r="A6278">
        <v>6217</v>
      </c>
      <c r="B6278" s="138">
        <f>'Acct Summary 7-8'!E83</f>
        <v>0.38561151079136691</v>
      </c>
      <c r="D6278" s="2" t="str">
        <f t="shared" si="97"/>
        <v>Error?</v>
      </c>
      <c r="E6278" s="2" t="s">
        <v>190</v>
      </c>
    </row>
    <row r="6279" spans="1:5" x14ac:dyDescent="0.2">
      <c r="A6279">
        <v>6218</v>
      </c>
      <c r="B6279" s="138">
        <f>'Acct Summary 7-8'!F83</f>
        <v>2.1722298692360632E-3</v>
      </c>
      <c r="D6279" s="2" t="str">
        <f t="shared" si="97"/>
        <v>Error?</v>
      </c>
      <c r="E6279" s="2" t="s">
        <v>190</v>
      </c>
    </row>
    <row r="6280" spans="1:5" x14ac:dyDescent="0.2">
      <c r="A6280">
        <v>6219</v>
      </c>
      <c r="B6280" s="138">
        <f>'Acct Summary 7-8'!G83</f>
        <v>1.6531247161893015E-2</v>
      </c>
      <c r="D6280" s="2" t="str">
        <f t="shared" si="97"/>
        <v>Error?</v>
      </c>
      <c r="E6280" s="2" t="s">
        <v>190</v>
      </c>
    </row>
    <row r="6281" spans="1:5" x14ac:dyDescent="0.2">
      <c r="A6281">
        <v>6220</v>
      </c>
      <c r="B6281" s="138">
        <f>'Acct Summary 7-8'!H83</f>
        <v>-8.5062782079843538E-2</v>
      </c>
      <c r="D6281" s="2" t="str">
        <f t="shared" si="97"/>
        <v>Error?</v>
      </c>
      <c r="E6281" s="2" t="s">
        <v>190</v>
      </c>
    </row>
    <row r="6282" spans="1:5" x14ac:dyDescent="0.2">
      <c r="A6282">
        <v>6221</v>
      </c>
      <c r="B6282" s="138">
        <f>'Acct Summary 7-8'!I83</f>
        <v>1</v>
      </c>
      <c r="D6282" s="2" t="str">
        <f t="shared" si="97"/>
        <v>Error?</v>
      </c>
      <c r="E6282" s="2" t="s">
        <v>190</v>
      </c>
    </row>
    <row r="6283" spans="1:5" x14ac:dyDescent="0.2">
      <c r="A6283">
        <v>6222</v>
      </c>
      <c r="B6283" s="138">
        <f>'Acct Summary 7-8'!J83</f>
        <v>0.15091835049810762</v>
      </c>
      <c r="D6283" s="2" t="str">
        <f t="shared" si="97"/>
        <v>Error?</v>
      </c>
      <c r="E6283" s="2" t="s">
        <v>190</v>
      </c>
    </row>
    <row r="6284" spans="1:5" x14ac:dyDescent="0.2">
      <c r="A6284">
        <v>6223</v>
      </c>
      <c r="B6284" s="138">
        <f>'Acct Summary 7-8'!K83</f>
        <v>0.16374971129840563</v>
      </c>
      <c r="D6284" s="2" t="str">
        <f t="shared" si="97"/>
        <v>Error?</v>
      </c>
      <c r="E6284" s="2" t="s">
        <v>190</v>
      </c>
    </row>
    <row r="6285" spans="1:5" x14ac:dyDescent="0.2">
      <c r="A6285">
        <v>6224</v>
      </c>
      <c r="B6285" s="138">
        <f>'Acct Summary 7-8'!E37</f>
        <v>251245</v>
      </c>
      <c r="D6285" s="2" t="str">
        <f t="shared" si="97"/>
        <v>Error?</v>
      </c>
      <c r="E6285" s="2" t="s">
        <v>190</v>
      </c>
    </row>
    <row r="6286" spans="1:5" x14ac:dyDescent="0.2">
      <c r="A6286">
        <v>6225</v>
      </c>
      <c r="B6286" s="138">
        <f>'Acct Summary 7-8'!E38</f>
        <v>49973</v>
      </c>
      <c r="D6286" s="2" t="str">
        <f t="shared" si="97"/>
        <v>Error?</v>
      </c>
      <c r="E6286" s="2" t="s">
        <v>190</v>
      </c>
    </row>
    <row r="6287" spans="1:5" x14ac:dyDescent="0.2">
      <c r="A6287">
        <v>6226</v>
      </c>
      <c r="B6287" s="138">
        <f>'Acct Summary 7-8'!E39</f>
        <v>102230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2226501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2226501</v>
      </c>
      <c r="D6301" s="2" t="str">
        <f t="shared" si="97"/>
        <v>Error?</v>
      </c>
      <c r="E6301" s="2" t="s">
        <v>190</v>
      </c>
    </row>
    <row r="6302" spans="1:5" x14ac:dyDescent="0.2">
      <c r="A6302">
        <v>6241</v>
      </c>
      <c r="B6302" s="138">
        <f>'Revenues 9-14'!J14</f>
        <v>487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487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6850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6850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113391</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93991</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116863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2233838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10776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426915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24948</v>
      </c>
      <c r="D6844" s="2" t="str">
        <f t="shared" si="105"/>
        <v>Error?</v>
      </c>
    </row>
    <row r="6845" spans="1:5" x14ac:dyDescent="0.2">
      <c r="A6845">
        <v>6784</v>
      </c>
      <c r="B6845" s="138">
        <f>'Expenditures 15-22'!J5</f>
        <v>69867</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510881</v>
      </c>
      <c r="D6848" s="2" t="str">
        <f t="shared" si="106"/>
        <v>Error?</v>
      </c>
    </row>
    <row r="6849" spans="1:4" x14ac:dyDescent="0.2">
      <c r="A6849">
        <v>6788</v>
      </c>
      <c r="B6849" s="138">
        <f>'Expenditures 15-22'!I8</f>
        <v>45607</v>
      </c>
      <c r="D6849" s="2" t="str">
        <f t="shared" si="106"/>
        <v>Error?</v>
      </c>
    </row>
    <row r="6850" spans="1:4" x14ac:dyDescent="0.2">
      <c r="A6850">
        <v>6789</v>
      </c>
      <c r="B6850" s="138">
        <f>'Expenditures 15-22'!J8</f>
        <v>466</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133015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60346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17810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267162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11200</v>
      </c>
      <c r="D6878" s="2" t="str">
        <f t="shared" si="106"/>
        <v>Error?</v>
      </c>
    </row>
    <row r="6879" spans="1:4" x14ac:dyDescent="0.2">
      <c r="A6879">
        <v>6818</v>
      </c>
      <c r="B6879" s="138">
        <f>'Expenditures 15-22'!K21</f>
        <v>11200</v>
      </c>
      <c r="D6879" s="2" t="str">
        <f t="shared" si="106"/>
        <v>Error?</v>
      </c>
    </row>
    <row r="6880" spans="1:4" x14ac:dyDescent="0.2">
      <c r="A6880">
        <v>6819</v>
      </c>
      <c r="B6880" s="138">
        <f>'Expenditures 15-22'!H22</f>
        <v>833680</v>
      </c>
      <c r="D6880" s="2" t="str">
        <f t="shared" si="106"/>
        <v>Error?</v>
      </c>
    </row>
    <row r="6881" spans="1:4" x14ac:dyDescent="0.2">
      <c r="A6881">
        <v>6820</v>
      </c>
      <c r="B6881" s="138">
        <f>'Expenditures 15-22'!K22</f>
        <v>833680</v>
      </c>
      <c r="D6881" s="2" t="str">
        <f t="shared" si="106"/>
        <v>Error?</v>
      </c>
    </row>
    <row r="6882" spans="1:4" x14ac:dyDescent="0.2">
      <c r="A6882">
        <v>6821</v>
      </c>
      <c r="B6882" s="138">
        <f>'Expenditures 15-22'!H23</f>
        <v>47529</v>
      </c>
      <c r="D6882" s="2" t="str">
        <f t="shared" si="106"/>
        <v>Error?</v>
      </c>
    </row>
    <row r="6883" spans="1:4" x14ac:dyDescent="0.2">
      <c r="A6883">
        <v>6822</v>
      </c>
      <c r="B6883" s="138">
        <f>'Expenditures 15-22'!K23</f>
        <v>47529</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266890</v>
      </c>
      <c r="D6890" s="2" t="str">
        <f t="shared" si="106"/>
        <v>Error?</v>
      </c>
    </row>
    <row r="6891" spans="1:4" x14ac:dyDescent="0.2">
      <c r="A6891">
        <v>6830</v>
      </c>
      <c r="B6891" s="138">
        <f>'Expenditures 15-22'!K27</f>
        <v>266890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148711</v>
      </c>
      <c r="D6902" s="2" t="str">
        <f t="shared" si="106"/>
        <v>Error?</v>
      </c>
    </row>
    <row r="6903" spans="1:4" x14ac:dyDescent="0.2">
      <c r="A6903">
        <v>6842</v>
      </c>
      <c r="B6903" s="138">
        <f>'Expenditures 15-22'!J33</f>
        <v>70333</v>
      </c>
      <c r="D6903" s="2" t="str">
        <f t="shared" si="106"/>
        <v>Error?</v>
      </c>
    </row>
    <row r="6904" spans="1:4" x14ac:dyDescent="0.2">
      <c r="A6904">
        <v>6843</v>
      </c>
      <c r="B6904" s="138">
        <f>'Expenditures 15-22'!I36</f>
        <v>22761</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820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9292</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32873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21833</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21833</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13509</v>
      </c>
      <c r="D6954" s="2" t="str">
        <f t="shared" si="107"/>
        <v>Error?</v>
      </c>
    </row>
    <row r="6955" spans="1:4" x14ac:dyDescent="0.2">
      <c r="A6955">
        <v>6894</v>
      </c>
      <c r="B6955" s="138">
        <f>'Expenditures 15-22'!J61</f>
        <v>9903</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13509</v>
      </c>
      <c r="D6961" s="2" t="str">
        <f t="shared" si="107"/>
        <v>Error?</v>
      </c>
    </row>
    <row r="6962" spans="1:4" x14ac:dyDescent="0.2">
      <c r="A6962">
        <v>6901</v>
      </c>
      <c r="B6962" s="138">
        <f>'Expenditures 15-22'!J65</f>
        <v>9903</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914093</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5106</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914093</v>
      </c>
      <c r="D6973" s="2" t="str">
        <f t="shared" si="107"/>
        <v>Error?</v>
      </c>
    </row>
    <row r="6974" spans="1:4" x14ac:dyDescent="0.2">
      <c r="A6974">
        <v>6913</v>
      </c>
      <c r="B6974" s="138">
        <f>'Expenditures 15-22'!J72</f>
        <v>5106</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982308</v>
      </c>
      <c r="D6977" s="2" t="str">
        <f t="shared" si="108"/>
        <v>Error?</v>
      </c>
    </row>
    <row r="6978" spans="1:4" x14ac:dyDescent="0.2">
      <c r="A6978">
        <v>6917</v>
      </c>
      <c r="B6978" s="138">
        <f>'Expenditures 15-22'!J74</f>
        <v>15009</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1131019</v>
      </c>
      <c r="D7020" s="2" t="str">
        <f t="shared" si="108"/>
        <v>Error?</v>
      </c>
    </row>
    <row r="7021" spans="1:4" x14ac:dyDescent="0.2">
      <c r="A7021">
        <v>6960</v>
      </c>
      <c r="B7021" s="138">
        <f>'Expenditures 15-22'!J114</f>
        <v>85342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7936</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7936</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7936</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2093996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7936</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2233838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24554</v>
      </c>
      <c r="D7073" s="2" t="str">
        <f t="shared" si="109"/>
        <v>Error?</v>
      </c>
    </row>
    <row r="7074" spans="1:4" x14ac:dyDescent="0.2">
      <c r="A7074">
        <v>7013</v>
      </c>
      <c r="B7074" s="138">
        <f>'Expenditures 15-22'!K216</f>
        <v>24554</v>
      </c>
      <c r="D7074" s="2" t="str">
        <f t="shared" si="109"/>
        <v>Error?</v>
      </c>
    </row>
    <row r="7075" spans="1:4" x14ac:dyDescent="0.2">
      <c r="A7075">
        <v>7014</v>
      </c>
      <c r="B7075" s="138">
        <f>'Expenditures 15-22'!D218</f>
        <v>4916</v>
      </c>
      <c r="D7075" s="2" t="str">
        <f t="shared" si="109"/>
        <v>Error?</v>
      </c>
    </row>
    <row r="7076" spans="1:4" x14ac:dyDescent="0.2">
      <c r="A7076">
        <v>7015</v>
      </c>
      <c r="B7076" s="138">
        <f>'Expenditures 15-22'!K218</f>
        <v>4916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2899</v>
      </c>
      <c r="D7079" s="2" t="str">
        <f t="shared" si="109"/>
        <v>Error?</v>
      </c>
    </row>
    <row r="7080" spans="1:4" x14ac:dyDescent="0.2">
      <c r="A7080">
        <v>7019</v>
      </c>
      <c r="B7080" s="138">
        <f>'Expenditures 15-22'!K226</f>
        <v>2899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95780</v>
      </c>
      <c r="D7093" s="2" t="str">
        <f t="shared" si="109"/>
        <v>Error?</v>
      </c>
    </row>
    <row r="7094" spans="1:4" x14ac:dyDescent="0.2">
      <c r="A7094">
        <v>7033</v>
      </c>
      <c r="B7094" s="138">
        <f>'Expenditures 15-22'!K254</f>
        <v>95780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927230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927230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686295</v>
      </c>
      <c r="D7172" s="2" t="str">
        <f t="shared" si="111"/>
        <v>Error?</v>
      </c>
    </row>
    <row r="7173" spans="1:4" x14ac:dyDescent="0.2">
      <c r="A7173">
        <v>7112</v>
      </c>
      <c r="B7173" s="138">
        <f>'Expenditures 15-22'!D325</f>
        <v>30870</v>
      </c>
      <c r="D7173" s="2" t="str">
        <f t="shared" si="111"/>
        <v>Error?</v>
      </c>
    </row>
    <row r="7174" spans="1:4" x14ac:dyDescent="0.2">
      <c r="A7174">
        <v>7113</v>
      </c>
      <c r="B7174" s="138">
        <f>'Expenditures 15-22'!E325</f>
        <v>396834</v>
      </c>
      <c r="D7174" s="2" t="str">
        <f t="shared" si="111"/>
        <v>Error?</v>
      </c>
    </row>
    <row r="7175" spans="1:4" x14ac:dyDescent="0.2">
      <c r="A7175">
        <v>7114</v>
      </c>
      <c r="B7175" s="138">
        <f>'Expenditures 15-22'!F325</f>
        <v>41441</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9213</v>
      </c>
      <c r="D7178" s="2" t="str">
        <f t="shared" si="111"/>
        <v>Error?</v>
      </c>
    </row>
    <row r="7179" spans="1:4" x14ac:dyDescent="0.2">
      <c r="A7179">
        <v>7118</v>
      </c>
      <c r="B7179" s="138">
        <f>'Expenditures 15-22'!J325</f>
        <v>2113</v>
      </c>
      <c r="D7179" s="2" t="str">
        <f t="shared" si="111"/>
        <v>Error?</v>
      </c>
    </row>
    <row r="7180" spans="1:4" x14ac:dyDescent="0.2">
      <c r="A7180">
        <v>7119</v>
      </c>
      <c r="B7180" s="138">
        <f>'Expenditures 15-22'!K325</f>
        <v>1166766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686295</v>
      </c>
      <c r="D7199" s="2" t="str">
        <f t="shared" si="111"/>
        <v>Error?</v>
      </c>
    </row>
    <row r="7200" spans="1:4" x14ac:dyDescent="0.2">
      <c r="A7200">
        <v>7139</v>
      </c>
      <c r="B7200" s="138">
        <f>'Expenditures 15-22'!D330</f>
        <v>30870</v>
      </c>
      <c r="D7200" s="2" t="str">
        <f t="shared" si="111"/>
        <v>Error?</v>
      </c>
    </row>
    <row r="7201" spans="1:4" x14ac:dyDescent="0.2">
      <c r="A7201">
        <v>7140</v>
      </c>
      <c r="B7201" s="138">
        <f>'Expenditures 15-22'!E330</f>
        <v>1324064</v>
      </c>
      <c r="D7201" s="2" t="str">
        <f t="shared" si="111"/>
        <v>Error?</v>
      </c>
    </row>
    <row r="7202" spans="1:4" x14ac:dyDescent="0.2">
      <c r="A7202">
        <v>7141</v>
      </c>
      <c r="B7202" s="138">
        <f>'Expenditures 15-22'!F330</f>
        <v>41441</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9213</v>
      </c>
      <c r="D7205" s="2" t="str">
        <f t="shared" si="111"/>
        <v>Error?</v>
      </c>
    </row>
    <row r="7206" spans="1:4" x14ac:dyDescent="0.2">
      <c r="A7206">
        <v>7145</v>
      </c>
      <c r="B7206" s="138">
        <f>'Expenditures 15-22'!J330</f>
        <v>2113</v>
      </c>
      <c r="D7206" s="2" t="str">
        <f t="shared" si="111"/>
        <v>Error?</v>
      </c>
    </row>
    <row r="7207" spans="1:4" x14ac:dyDescent="0.2">
      <c r="A7207">
        <v>7146</v>
      </c>
      <c r="B7207" s="138">
        <f>'Expenditures 15-22'!K330</f>
        <v>2093996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686295</v>
      </c>
      <c r="D7216" s="2" t="str">
        <f t="shared" si="111"/>
        <v>Error?</v>
      </c>
    </row>
    <row r="7217" spans="1:4" x14ac:dyDescent="0.2">
      <c r="A7217">
        <v>7156</v>
      </c>
      <c r="B7217" s="138">
        <f>'Expenditures 15-22'!D342</f>
        <v>30870</v>
      </c>
      <c r="D7217" s="2" t="str">
        <f t="shared" si="111"/>
        <v>Error?</v>
      </c>
    </row>
    <row r="7218" spans="1:4" x14ac:dyDescent="0.2">
      <c r="A7218">
        <v>7157</v>
      </c>
      <c r="B7218" s="138">
        <f>'Expenditures 15-22'!E342</f>
        <v>1324064</v>
      </c>
      <c r="D7218" s="2" t="str">
        <f t="shared" si="111"/>
        <v>Error?</v>
      </c>
    </row>
    <row r="7219" spans="1:4" x14ac:dyDescent="0.2">
      <c r="A7219">
        <v>7158</v>
      </c>
      <c r="B7219" s="138">
        <f>'Expenditures 15-22'!F342</f>
        <v>41441</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9213</v>
      </c>
      <c r="D7222" s="2" t="str">
        <f t="shared" si="111"/>
        <v>Error?</v>
      </c>
    </row>
    <row r="7223" spans="1:4" x14ac:dyDescent="0.2">
      <c r="A7223">
        <v>7162</v>
      </c>
      <c r="B7223" s="138">
        <f>'Expenditures 15-22'!J342</f>
        <v>2113</v>
      </c>
      <c r="D7223" s="2" t="str">
        <f t="shared" si="111"/>
        <v>Error?</v>
      </c>
    </row>
    <row r="7224" spans="1:4" x14ac:dyDescent="0.2">
      <c r="A7224">
        <v>7163</v>
      </c>
      <c r="B7224" s="138">
        <f>'Expenditures 15-22'!K342</f>
        <v>2093996</v>
      </c>
      <c r="D7224" s="2" t="str">
        <f t="shared" si="111"/>
        <v>Error?</v>
      </c>
    </row>
    <row r="7225" spans="1:4" x14ac:dyDescent="0.2">
      <c r="A7225">
        <v>7164</v>
      </c>
      <c r="B7225" s="138">
        <f>'Expenditures 15-22'!K343</f>
        <v>139842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79424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4542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115421</v>
      </c>
      <c r="D7251" s="2" t="str">
        <f t="shared" si="112"/>
        <v>Error?</v>
      </c>
    </row>
    <row r="7252" spans="1:4" x14ac:dyDescent="0.2">
      <c r="A7252">
        <f t="shared" si="113"/>
        <v>7191</v>
      </c>
      <c r="B7252" s="138">
        <f>'Expenditures 15-22'!D9</f>
        <v>16820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774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205225</v>
      </c>
      <c r="D7263" s="2" t="str">
        <f t="shared" si="112"/>
        <v>Error?</v>
      </c>
    </row>
    <row r="7264" spans="1:4" x14ac:dyDescent="0.2">
      <c r="A7264">
        <f t="shared" si="113"/>
        <v>7203</v>
      </c>
      <c r="B7264" s="138">
        <f>'Expenditures 15-22'!D17</f>
        <v>40217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21720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19387</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19387</v>
      </c>
      <c r="D7609" s="2" t="str">
        <f t="shared" si="122"/>
        <v>Error?</v>
      </c>
      <c r="E7609" s="2" t="s">
        <v>19</v>
      </c>
    </row>
    <row r="7610" spans="1:5" x14ac:dyDescent="0.2">
      <c r="A7610">
        <f t="shared" si="123"/>
        <v>7549</v>
      </c>
      <c r="B7610" s="138">
        <f>'Cap Outlay Deprec 26'!H9</f>
        <v>9165</v>
      </c>
      <c r="D7610" s="2" t="str">
        <f t="shared" si="122"/>
        <v>Error?</v>
      </c>
      <c r="E7610" s="2" t="s">
        <v>19</v>
      </c>
    </row>
    <row r="7611" spans="1:5" x14ac:dyDescent="0.2">
      <c r="A7611">
        <f t="shared" si="123"/>
        <v>7550</v>
      </c>
      <c r="B7611" s="138">
        <f>'Cap Outlay Deprec 26'!I9</f>
        <v>969</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10134</v>
      </c>
      <c r="D7613" s="2" t="str">
        <f t="shared" si="122"/>
        <v>Error?</v>
      </c>
      <c r="E7613" s="2" t="s">
        <v>19</v>
      </c>
    </row>
    <row r="7614" spans="1:5" x14ac:dyDescent="0.2">
      <c r="A7614">
        <f t="shared" si="123"/>
        <v>7553</v>
      </c>
      <c r="B7614" s="138">
        <f>'Cap Outlay Deprec 26'!L9</f>
        <v>9253</v>
      </c>
      <c r="D7614" s="2" t="str">
        <f t="shared" si="122"/>
        <v>Error?</v>
      </c>
      <c r="E7614" s="2" t="s">
        <v>19</v>
      </c>
    </row>
    <row r="7615" spans="1:5" x14ac:dyDescent="0.2">
      <c r="A7615">
        <f t="shared" si="123"/>
        <v>7554</v>
      </c>
      <c r="B7615" s="138">
        <f>'Cap Outlay Deprec 26'!C14</f>
        <v>2962751</v>
      </c>
      <c r="D7615" s="2" t="str">
        <f t="shared" ref="D7615:D7678" si="124">IF(ISBLANK(B7615),"OK",IF(A7615-B7615=0,"OK","Error?"))</f>
        <v>Error?</v>
      </c>
      <c r="E7615" s="2" t="s">
        <v>19</v>
      </c>
    </row>
    <row r="7616" spans="1:5" x14ac:dyDescent="0.2">
      <c r="A7616">
        <f t="shared" si="123"/>
        <v>7555</v>
      </c>
      <c r="B7616" s="138">
        <f>'Cap Outlay Deprec 26'!D14</f>
        <v>1391</v>
      </c>
      <c r="D7616" s="2" t="str">
        <f t="shared" si="124"/>
        <v>Error?</v>
      </c>
      <c r="E7616" s="2" t="s">
        <v>19</v>
      </c>
    </row>
    <row r="7617" spans="1:5" x14ac:dyDescent="0.2">
      <c r="A7617">
        <f t="shared" si="123"/>
        <v>7556</v>
      </c>
      <c r="B7617" s="138">
        <f>'Cap Outlay Deprec 26'!E14</f>
        <v>8800</v>
      </c>
      <c r="D7617" s="2" t="str">
        <f t="shared" si="124"/>
        <v>Error?</v>
      </c>
      <c r="E7617" s="2" t="s">
        <v>19</v>
      </c>
    </row>
    <row r="7618" spans="1:5" x14ac:dyDescent="0.2">
      <c r="A7618">
        <f t="shared" si="123"/>
        <v>7557</v>
      </c>
      <c r="B7618" s="138">
        <f>'Cap Outlay Deprec 26'!F14</f>
        <v>2955342</v>
      </c>
      <c r="D7618" s="2" t="str">
        <f t="shared" si="124"/>
        <v>Error?</v>
      </c>
      <c r="E7618" s="2" t="s">
        <v>19</v>
      </c>
    </row>
    <row r="7619" spans="1:5" x14ac:dyDescent="0.2">
      <c r="A7619">
        <f t="shared" si="123"/>
        <v>7558</v>
      </c>
      <c r="B7619" s="138">
        <f>'Cap Outlay Deprec 26'!H14</f>
        <v>2892143</v>
      </c>
      <c r="D7619" s="2" t="str">
        <f t="shared" si="124"/>
        <v>Error?</v>
      </c>
      <c r="E7619" s="2" t="s">
        <v>19</v>
      </c>
    </row>
    <row r="7620" spans="1:5" x14ac:dyDescent="0.2">
      <c r="A7620">
        <f t="shared" si="123"/>
        <v>7559</v>
      </c>
      <c r="B7620" s="138">
        <f>'Cap Outlay Deprec 26'!I14</f>
        <v>46943</v>
      </c>
      <c r="D7620" s="2" t="str">
        <f t="shared" si="124"/>
        <v>Error?</v>
      </c>
      <c r="E7620" s="2" t="s">
        <v>19</v>
      </c>
    </row>
    <row r="7621" spans="1:5" x14ac:dyDescent="0.2">
      <c r="A7621">
        <f t="shared" si="123"/>
        <v>7560</v>
      </c>
      <c r="B7621" s="138">
        <f>'Cap Outlay Deprec 26'!J14</f>
        <v>8800</v>
      </c>
      <c r="D7621" s="2" t="str">
        <f t="shared" si="124"/>
        <v>Error?</v>
      </c>
      <c r="E7621" s="2" t="s">
        <v>19</v>
      </c>
    </row>
    <row r="7622" spans="1:5" x14ac:dyDescent="0.2">
      <c r="A7622">
        <f t="shared" si="123"/>
        <v>7561</v>
      </c>
      <c r="B7622" s="138">
        <f>'Cap Outlay Deprec 26'!K14</f>
        <v>2930286</v>
      </c>
      <c r="D7622" s="2" t="str">
        <f t="shared" si="124"/>
        <v>Error?</v>
      </c>
      <c r="E7622" s="2" t="s">
        <v>19</v>
      </c>
    </row>
    <row r="7623" spans="1:5" x14ac:dyDescent="0.2">
      <c r="A7623">
        <f t="shared" si="123"/>
        <v>7562</v>
      </c>
      <c r="B7623" s="138">
        <f>'Cap Outlay Deprec 26'!L14</f>
        <v>25056</v>
      </c>
      <c r="D7623" s="2" t="str">
        <f t="shared" si="124"/>
        <v>Error?</v>
      </c>
      <c r="E7623" s="2" t="s">
        <v>19</v>
      </c>
    </row>
    <row r="7624" spans="1:5" x14ac:dyDescent="0.2">
      <c r="A7624">
        <f t="shared" si="123"/>
        <v>7563</v>
      </c>
      <c r="B7624" s="138">
        <f>'Cap Outlay Deprec 26'!F17</f>
        <v>1140232</v>
      </c>
      <c r="D7624" s="2" t="str">
        <f t="shared" si="124"/>
        <v>Error?</v>
      </c>
      <c r="E7624" s="2" t="s">
        <v>19</v>
      </c>
    </row>
    <row r="7625" spans="1:5" x14ac:dyDescent="0.2">
      <c r="A7625">
        <f t="shared" si="123"/>
        <v>7564</v>
      </c>
      <c r="B7625" s="138">
        <f>'Cap Outlay Deprec 26'!I17</f>
        <v>114023.2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3897703.2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139312</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111933</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31906</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18067</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102230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116863</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116863</v>
      </c>
      <c r="D7719" s="2" t="str">
        <f t="shared" si="126"/>
        <v>Error?</v>
      </c>
      <c r="E7719" s="2" t="s">
        <v>826</v>
      </c>
    </row>
    <row r="7720" spans="1:6" x14ac:dyDescent="0.2">
      <c r="A7720">
        <v>7659</v>
      </c>
      <c r="B7720" s="138">
        <f>'Rest Tax Levies-Tort Im 25'!H14</f>
        <v>556283</v>
      </c>
      <c r="D7720" s="2" t="str">
        <f t="shared" si="126"/>
        <v>Error?</v>
      </c>
      <c r="E7720" s="2" t="s">
        <v>826</v>
      </c>
    </row>
    <row r="7721" spans="1:6" x14ac:dyDescent="0.2">
      <c r="A7721">
        <v>7660</v>
      </c>
      <c r="B7721" s="138">
        <f>'Rest Tax Levies-Tort Im 25'!K14</f>
        <v>116863</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735658</v>
      </c>
      <c r="D7759" s="2" t="str">
        <f t="shared" si="127"/>
        <v>Error?</v>
      </c>
      <c r="E7759" s="4" t="s">
        <v>1332</v>
      </c>
    </row>
    <row r="7760" spans="1:6" x14ac:dyDescent="0.2">
      <c r="A7760">
        <v>7699</v>
      </c>
      <c r="B7760" s="138">
        <f>'Aud Quest 2'!J90</f>
        <v>735658</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1242702</v>
      </c>
      <c r="D7797" s="2" t="str">
        <f t="shared" si="127"/>
        <v>Error?</v>
      </c>
      <c r="E7797" s="4" t="s">
        <v>1900</v>
      </c>
    </row>
    <row r="7798" spans="1:5" x14ac:dyDescent="0.2">
      <c r="A7798">
        <v>7737</v>
      </c>
      <c r="B7798" s="138">
        <f>'Contracts Paid in CY 29'!F141</f>
        <v>114925</v>
      </c>
      <c r="D7798" s="2" t="str">
        <f t="shared" si="127"/>
        <v>Error?</v>
      </c>
      <c r="E7798" s="4" t="s">
        <v>1900</v>
      </c>
    </row>
    <row r="7799" spans="1:5" x14ac:dyDescent="0.2">
      <c r="A7799">
        <v>7738</v>
      </c>
      <c r="B7799" s="138">
        <f>'Contracts Paid in CY 29'!G141</f>
        <v>1127777</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1" t="s">
        <v>1190</v>
      </c>
      <c r="B2" s="2421"/>
      <c r="C2" s="2421"/>
      <c r="D2" s="2421"/>
      <c r="E2" s="2421"/>
      <c r="F2" s="2421"/>
      <c r="G2" s="2421"/>
      <c r="H2" s="2421"/>
      <c r="I2" s="2421"/>
      <c r="J2" s="2421"/>
      <c r="K2" s="2421"/>
      <c r="L2" s="2421"/>
    </row>
    <row r="3" spans="1:29" ht="13.5" customHeight="1" x14ac:dyDescent="0.2">
      <c r="A3" s="2407" t="s">
        <v>1189</v>
      </c>
      <c r="B3" s="2407"/>
      <c r="C3" s="2407"/>
      <c r="D3" s="2407"/>
      <c r="E3" s="2407"/>
      <c r="F3" s="2407"/>
      <c r="G3" s="2407"/>
      <c r="H3" s="2407"/>
      <c r="I3" s="2407"/>
      <c r="J3" s="2407"/>
      <c r="K3" s="2407"/>
      <c r="L3" s="2407"/>
    </row>
    <row r="4" spans="1:29" ht="13.5" customHeight="1" x14ac:dyDescent="0.2">
      <c r="A4" s="2421" t="s">
        <v>1985</v>
      </c>
      <c r="B4" s="2438"/>
      <c r="C4" s="2438"/>
      <c r="D4" s="2438"/>
      <c r="E4" s="2438"/>
      <c r="F4" s="2438"/>
      <c r="G4" s="2438"/>
      <c r="H4" s="2438"/>
      <c r="I4" s="2438"/>
      <c r="J4" s="2438"/>
      <c r="K4" s="2438"/>
      <c r="L4" s="243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1" t="str">
        <f>COVER!A17</f>
        <v>Edwardsville CUSD 7</v>
      </c>
      <c r="B7" s="2402"/>
      <c r="C7" s="2402"/>
      <c r="D7" s="2439"/>
      <c r="E7" s="2440">
        <f>COVER!A13</f>
        <v>41057007026</v>
      </c>
      <c r="F7" s="2441"/>
      <c r="G7" s="2408" t="str">
        <f>COVER!T23</f>
        <v>065-023270</v>
      </c>
      <c r="H7" s="2409"/>
      <c r="I7" s="2409"/>
      <c r="J7" s="2409"/>
      <c r="K7" s="2409"/>
      <c r="L7" s="2410"/>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1"/>
      <c r="B9" s="2412"/>
      <c r="C9" s="2412"/>
      <c r="D9" s="2412"/>
      <c r="E9" s="2412"/>
      <c r="F9" s="2413"/>
      <c r="G9" s="2414" t="str">
        <f>COVER!T13</f>
        <v>Schowalter &amp; Jabouri, P.C.</v>
      </c>
      <c r="H9" s="2415"/>
      <c r="I9" s="2415"/>
      <c r="J9" s="2415"/>
      <c r="K9" s="2415"/>
      <c r="L9" s="2416"/>
    </row>
    <row r="10" spans="1:29" ht="13.5" customHeight="1" x14ac:dyDescent="0.2">
      <c r="A10" s="2398" t="str">
        <f>COVER!A38</f>
        <v>Dr. Jason Henderson</v>
      </c>
      <c r="B10" s="2399"/>
      <c r="C10" s="2399"/>
      <c r="D10" s="2399"/>
      <c r="E10" s="2399"/>
      <c r="F10" s="2400"/>
      <c r="G10" s="2414" t="str">
        <f>COVER!T17</f>
        <v>11878 Gravois Road</v>
      </c>
      <c r="H10" s="2427"/>
      <c r="I10" s="2427"/>
      <c r="J10" s="2427"/>
      <c r="K10" s="2427"/>
      <c r="L10" s="2428"/>
    </row>
    <row r="11" spans="1:29" ht="13.5" customHeight="1" x14ac:dyDescent="0.2">
      <c r="A11" s="1184" t="s">
        <v>1518</v>
      </c>
      <c r="B11" s="1185"/>
      <c r="C11" s="1186"/>
      <c r="D11" s="1191"/>
      <c r="E11" s="1186"/>
      <c r="F11" s="1190"/>
      <c r="G11" s="2414" t="str">
        <f>COVER!T19</f>
        <v>St.  Louis</v>
      </c>
      <c r="H11" s="2427"/>
      <c r="I11" s="2427"/>
      <c r="J11" s="2427"/>
      <c r="K11" s="2427"/>
      <c r="L11" s="2428"/>
    </row>
    <row r="12" spans="1:29" ht="13.5" customHeight="1" x14ac:dyDescent="0.2">
      <c r="A12" s="2432" t="s">
        <v>1517</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1519</v>
      </c>
      <c r="H13" s="2423"/>
      <c r="I13" s="2435" t="str">
        <f>COVER!T25</f>
        <v>jtorti@sjcpa.com</v>
      </c>
      <c r="J13" s="2436"/>
      <c r="K13" s="2436"/>
      <c r="L13" s="2437"/>
    </row>
    <row r="14" spans="1:29" ht="13.5" customHeight="1" x14ac:dyDescent="0.2">
      <c r="A14" s="2414" t="str">
        <f>COVER!A19</f>
        <v>708 St. Louis Street</v>
      </c>
      <c r="B14" s="2427"/>
      <c r="C14" s="2427"/>
      <c r="D14" s="2427"/>
      <c r="E14" s="2427"/>
      <c r="F14" s="2428"/>
      <c r="G14" s="1195" t="s">
        <v>1184</v>
      </c>
      <c r="H14" s="1193"/>
      <c r="I14" s="1193"/>
      <c r="J14" s="1193"/>
      <c r="K14" s="1193"/>
      <c r="L14" s="1194"/>
    </row>
    <row r="15" spans="1:29" ht="13.5" customHeight="1" x14ac:dyDescent="0.2">
      <c r="A15" s="2414" t="str">
        <f>COVER!A21</f>
        <v>Edwardsville</v>
      </c>
      <c r="B15" s="2427"/>
      <c r="C15" s="2427"/>
      <c r="D15" s="2427"/>
      <c r="E15" s="2427"/>
      <c r="F15" s="2428"/>
      <c r="G15" s="2424" t="str">
        <f>COVER!T15</f>
        <v>James K. Torti</v>
      </c>
      <c r="H15" s="2425"/>
      <c r="I15" s="2425"/>
      <c r="J15" s="2425"/>
      <c r="K15" s="2425"/>
      <c r="L15" s="2426"/>
    </row>
    <row r="16" spans="1:29" ht="12.2" customHeight="1" x14ac:dyDescent="0.2">
      <c r="A16" s="2404">
        <f>COVER!A25</f>
        <v>62025</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5" t="s">
        <v>1183</v>
      </c>
      <c r="H17" s="1193"/>
      <c r="I17" s="1193"/>
      <c r="J17" s="1193"/>
      <c r="K17" s="1197" t="s">
        <v>1182</v>
      </c>
      <c r="L17" s="1190"/>
      <c r="M17" s="1183"/>
    </row>
    <row r="18" spans="1:13" ht="12.2" customHeight="1" x14ac:dyDescent="0.2">
      <c r="A18" s="2398"/>
      <c r="B18" s="2399"/>
      <c r="C18" s="2399"/>
      <c r="D18" s="2399"/>
      <c r="E18" s="2399"/>
      <c r="F18" s="2400"/>
      <c r="G18" s="2401" t="str">
        <f>COVER!T21</f>
        <v>314-849-4999</v>
      </c>
      <c r="H18" s="2402"/>
      <c r="I18" s="2402"/>
      <c r="J18" s="2402"/>
      <c r="K18" s="2401" t="str">
        <f>COVER!X21</f>
        <v>314-849-3486</v>
      </c>
      <c r="L18" s="240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D72" sqref="D72"/>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Edwardsville CUSD 7</v>
      </c>
      <c r="B1" s="2438"/>
      <c r="C1" s="2438"/>
      <c r="D1" s="2438"/>
    </row>
    <row r="2" spans="1:11" s="1212" customFormat="1" ht="12.75" x14ac:dyDescent="0.2">
      <c r="A2" s="2443">
        <f>'Single Audit Cover'!E7</f>
        <v>41057007026</v>
      </c>
      <c r="B2" s="2444"/>
      <c r="C2" s="2444"/>
      <c r="D2" s="2444"/>
    </row>
    <row r="3" spans="1:11" s="1212" customFormat="1" ht="12.75" x14ac:dyDescent="0.2">
      <c r="A3" s="2442" t="s">
        <v>1512</v>
      </c>
      <c r="B3" s="2438"/>
      <c r="C3" s="2438"/>
      <c r="D3" s="2438"/>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5" right="0" top="0.5" bottom="0.5" header="0.3" footer="0.3"/>
  <pageSetup scale="75"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1" sqref="D4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Edwardsville CUSD 7</v>
      </c>
      <c r="B1" s="2446"/>
      <c r="C1" s="2446"/>
      <c r="D1" s="2446"/>
      <c r="E1" s="2446"/>
    </row>
    <row r="2" spans="1:5" x14ac:dyDescent="0.2">
      <c r="A2" s="2447">
        <f>'Single Audit Cover'!E7</f>
        <v>41057007026</v>
      </c>
      <c r="B2" s="2447"/>
      <c r="C2" s="2447"/>
      <c r="D2" s="2447"/>
      <c r="E2" s="2447"/>
    </row>
    <row r="3" spans="1:5" ht="4.5" customHeight="1" x14ac:dyDescent="0.2"/>
    <row r="4" spans="1:5" x14ac:dyDescent="0.2">
      <c r="A4" s="2446" t="s">
        <v>1244</v>
      </c>
      <c r="B4" s="2446"/>
      <c r="C4" s="2446"/>
      <c r="D4" s="2446"/>
      <c r="E4" s="2446"/>
    </row>
    <row r="5" spans="1:5" x14ac:dyDescent="0.2">
      <c r="A5" s="2449" t="str">
        <f>'Single Audit Cover'!A4</f>
        <v>Year Ending June 30, 2019</v>
      </c>
      <c r="B5" s="2449"/>
      <c r="C5" s="2449"/>
      <c r="D5" s="2449"/>
      <c r="E5" s="2449"/>
    </row>
    <row r="6" spans="1:5" x14ac:dyDescent="0.2">
      <c r="A6" s="2446" t="s">
        <v>1243</v>
      </c>
      <c r="B6" s="2446"/>
      <c r="C6" s="2446"/>
      <c r="D6" s="2446"/>
      <c r="E6" s="2446"/>
    </row>
    <row r="8" spans="1:5" x14ac:dyDescent="0.2">
      <c r="A8" s="1257" t="s">
        <v>1242</v>
      </c>
    </row>
    <row r="10" spans="1:5" x14ac:dyDescent="0.2">
      <c r="A10" s="1258" t="s">
        <v>1241</v>
      </c>
      <c r="B10" s="1259" t="s">
        <v>1240</v>
      </c>
      <c r="C10" s="1259"/>
      <c r="D10" s="1260">
        <f>SUM('Acct Summary 7-8'!C7:K7)</f>
        <v>3383021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96361</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-254261</v>
      </c>
    </row>
    <row r="19" spans="1:4" ht="13.5" thickBot="1" x14ac:dyDescent="0.25">
      <c r="A19" s="1262" t="s">
        <v>1234</v>
      </c>
      <c r="D19" s="1263">
        <f>SUM(D10:D17)</f>
        <v>3225121</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8"/>
      <c r="B24" s="2448"/>
      <c r="D24" s="1265"/>
    </row>
    <row r="25" spans="1:4" x14ac:dyDescent="0.2">
      <c r="A25" s="2445"/>
      <c r="B25" s="2445"/>
      <c r="D25" s="1265"/>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1232</v>
      </c>
      <c r="D32" s="1260">
        <f>SUM(D19:D30)</f>
        <v>3225121</v>
      </c>
    </row>
    <row r="33" spans="1:4" x14ac:dyDescent="0.2">
      <c r="D33" s="1266"/>
    </row>
    <row r="34" spans="1:4" x14ac:dyDescent="0.2">
      <c r="A34" s="317" t="s">
        <v>1231</v>
      </c>
    </row>
    <row r="35" spans="1:4" x14ac:dyDescent="0.2">
      <c r="A35" s="317" t="s">
        <v>1230</v>
      </c>
      <c r="B35" s="1255" t="s">
        <v>1229</v>
      </c>
      <c r="D35" s="1267">
        <v>3128760</v>
      </c>
    </row>
    <row r="37" spans="1:4" x14ac:dyDescent="0.2">
      <c r="A37" s="1257" t="s">
        <v>1228</v>
      </c>
    </row>
    <row r="39" spans="1:4" ht="13.35" customHeight="1" x14ac:dyDescent="0.2">
      <c r="A39" s="1264" t="s">
        <v>1227</v>
      </c>
    </row>
    <row r="40" spans="1:4" x14ac:dyDescent="0.2">
      <c r="A40" s="2445" t="s">
        <v>2132</v>
      </c>
      <c r="B40" s="2445"/>
      <c r="D40" s="1265">
        <v>96361</v>
      </c>
    </row>
    <row r="41" spans="1:4" x14ac:dyDescent="0.2">
      <c r="A41" s="2445"/>
      <c r="B41" s="2445"/>
      <c r="D41" s="1268"/>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1226</v>
      </c>
      <c r="C47" s="1269"/>
      <c r="D47" s="1270">
        <f>SUM(D35:D45)</f>
        <v>3225121</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233"/>
  <sheetViews>
    <sheetView showGridLines="0" zoomScaleNormal="100" workbookViewId="0">
      <selection activeCell="G42" sqref="G4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Edwardsville CUSD 7</v>
      </c>
      <c r="C1" s="2450"/>
      <c r="D1" s="2450"/>
      <c r="E1" s="2450"/>
      <c r="F1" s="2450"/>
      <c r="G1" s="2450"/>
      <c r="H1" s="2450"/>
      <c r="I1" s="2450"/>
      <c r="J1" s="2450"/>
      <c r="K1" s="2450"/>
      <c r="L1" s="2450"/>
      <c r="M1" s="2450"/>
    </row>
    <row r="2" spans="2:14" ht="15" x14ac:dyDescent="0.2">
      <c r="B2" s="2451">
        <f>'Single Audit Cover'!E7</f>
        <v>41057007026</v>
      </c>
      <c r="C2" s="2451"/>
      <c r="D2" s="2451"/>
      <c r="E2" s="2451"/>
      <c r="F2" s="2451"/>
      <c r="G2" s="2451"/>
      <c r="H2" s="2451"/>
      <c r="I2" s="2451"/>
      <c r="J2" s="2451"/>
      <c r="K2" s="2451"/>
      <c r="L2" s="2451"/>
      <c r="M2" s="2451"/>
      <c r="N2" s="1299"/>
    </row>
    <row r="3" spans="2:14" ht="15" x14ac:dyDescent="0.2">
      <c r="B3" s="2452" t="s">
        <v>1218</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2095</v>
      </c>
      <c r="C11" s="1335"/>
      <c r="D11" s="1336"/>
      <c r="E11" s="1337"/>
      <c r="F11" s="1944"/>
      <c r="G11" s="1337"/>
      <c r="H11" s="1337"/>
      <c r="I11" s="1337"/>
      <c r="J11" s="1337"/>
      <c r="K11" s="1337"/>
      <c r="L11" s="1337"/>
      <c r="M11" s="1337"/>
    </row>
    <row r="12" spans="2:14" ht="20.100000000000001" customHeight="1" x14ac:dyDescent="0.2">
      <c r="B12" s="1940" t="s">
        <v>2097</v>
      </c>
      <c r="C12" s="1338"/>
      <c r="D12" s="1339"/>
      <c r="E12" s="1340"/>
      <c r="F12" s="1945"/>
      <c r="G12" s="1340"/>
      <c r="H12" s="1340"/>
      <c r="I12" s="1340"/>
      <c r="J12" s="1340"/>
      <c r="K12" s="1340"/>
      <c r="L12" s="1337"/>
      <c r="M12" s="1340"/>
    </row>
    <row r="13" spans="2:14" ht="20.100000000000001" customHeight="1" x14ac:dyDescent="0.2">
      <c r="B13" s="1941" t="s">
        <v>917</v>
      </c>
      <c r="C13" s="1338">
        <v>84.01</v>
      </c>
      <c r="D13" s="1339" t="s">
        <v>2108</v>
      </c>
      <c r="E13" s="1340"/>
      <c r="F13" s="1945">
        <v>468231</v>
      </c>
      <c r="G13" s="1340"/>
      <c r="H13" s="1340"/>
      <c r="I13" s="1945">
        <v>468231</v>
      </c>
      <c r="J13" s="1340"/>
      <c r="K13" s="1340"/>
      <c r="L13" s="1337">
        <f t="shared" ref="L13:L20" si="0">+G13+I13+K13</f>
        <v>468231</v>
      </c>
      <c r="M13" s="1340">
        <v>633499</v>
      </c>
    </row>
    <row r="14" spans="2:14" ht="20.100000000000001" customHeight="1" x14ac:dyDescent="0.2">
      <c r="B14" s="1941" t="s">
        <v>2096</v>
      </c>
      <c r="C14" s="1338">
        <v>84.424000000000007</v>
      </c>
      <c r="D14" s="1339" t="s">
        <v>2107</v>
      </c>
      <c r="E14" s="1948"/>
      <c r="F14" s="1947">
        <v>40462</v>
      </c>
      <c r="G14" s="1948"/>
      <c r="H14" s="1948"/>
      <c r="I14" s="1947">
        <v>40462</v>
      </c>
      <c r="J14" s="1340"/>
      <c r="K14" s="1340"/>
      <c r="L14" s="1337">
        <f t="shared" si="0"/>
        <v>40462</v>
      </c>
      <c r="M14" s="1340">
        <v>52242</v>
      </c>
    </row>
    <row r="15" spans="2:14" ht="20.100000000000001" customHeight="1" x14ac:dyDescent="0.2">
      <c r="B15" s="1334"/>
      <c r="C15" s="1338"/>
      <c r="D15" s="1339"/>
      <c r="E15" s="1337"/>
      <c r="F15" s="1944"/>
      <c r="G15" s="1337"/>
      <c r="H15" s="1337"/>
      <c r="I15" s="1944"/>
      <c r="J15" s="1340"/>
      <c r="K15" s="1340"/>
      <c r="L15" s="1337"/>
      <c r="M15" s="1340"/>
    </row>
    <row r="16" spans="2:14" ht="20.100000000000001" customHeight="1" x14ac:dyDescent="0.2">
      <c r="B16" s="1940" t="s">
        <v>2098</v>
      </c>
      <c r="C16" s="1338"/>
      <c r="D16" s="1339"/>
      <c r="E16" s="1340"/>
      <c r="F16" s="1945"/>
      <c r="G16" s="1340"/>
      <c r="H16" s="1340"/>
      <c r="I16" s="1945"/>
      <c r="J16" s="1340"/>
      <c r="K16" s="1340"/>
      <c r="L16" s="1337"/>
      <c r="M16" s="1340"/>
    </row>
    <row r="17" spans="2:14" ht="20.100000000000001" customHeight="1" x14ac:dyDescent="0.2">
      <c r="B17" s="1941" t="s">
        <v>2099</v>
      </c>
      <c r="C17" s="1338">
        <v>84.027000000000001</v>
      </c>
      <c r="D17" s="1339" t="s">
        <v>2109</v>
      </c>
      <c r="E17" s="1340"/>
      <c r="F17" s="1945">
        <v>1466007</v>
      </c>
      <c r="G17" s="1340"/>
      <c r="H17" s="1340"/>
      <c r="I17" s="1945">
        <v>1466007</v>
      </c>
      <c r="J17" s="1340"/>
      <c r="K17" s="1340"/>
      <c r="L17" s="1337">
        <f t="shared" si="0"/>
        <v>1466007</v>
      </c>
      <c r="M17" s="1340">
        <v>2088213</v>
      </c>
    </row>
    <row r="18" spans="2:14" ht="20.100000000000001" customHeight="1" x14ac:dyDescent="0.2">
      <c r="B18" s="1941" t="s">
        <v>2100</v>
      </c>
      <c r="C18" s="1338">
        <v>84.027000000000001</v>
      </c>
      <c r="D18" s="1339" t="s">
        <v>2110</v>
      </c>
      <c r="E18" s="1340"/>
      <c r="F18" s="1945">
        <v>3780</v>
      </c>
      <c r="G18" s="1340"/>
      <c r="H18" s="1340"/>
      <c r="I18" s="1945">
        <v>3780</v>
      </c>
      <c r="J18" s="1340"/>
      <c r="K18" s="1340"/>
      <c r="L18" s="1337">
        <f t="shared" si="0"/>
        <v>3780</v>
      </c>
      <c r="M18" s="1340"/>
    </row>
    <row r="19" spans="2:14" ht="20.100000000000001" customHeight="1" x14ac:dyDescent="0.2">
      <c r="B19" s="1942" t="s">
        <v>2101</v>
      </c>
      <c r="C19" s="1338"/>
      <c r="D19" s="1339"/>
      <c r="E19" s="1340"/>
      <c r="F19" s="1945">
        <f>SUM(F17:F18)</f>
        <v>1469787</v>
      </c>
      <c r="G19" s="1340"/>
      <c r="H19" s="1340"/>
      <c r="I19" s="1945">
        <f>SUM(I17:I18)</f>
        <v>1469787</v>
      </c>
      <c r="J19" s="1340"/>
      <c r="K19" s="1340"/>
      <c r="L19" s="1337"/>
      <c r="M19" s="1340"/>
    </row>
    <row r="20" spans="2:14" ht="20.100000000000001" customHeight="1" x14ac:dyDescent="0.2">
      <c r="B20" s="1941" t="s">
        <v>2102</v>
      </c>
      <c r="C20" s="1338">
        <v>84.173000000000002</v>
      </c>
      <c r="D20" s="1339" t="s">
        <v>2111</v>
      </c>
      <c r="E20" s="1948"/>
      <c r="F20" s="1947">
        <v>38752</v>
      </c>
      <c r="G20" s="1948"/>
      <c r="H20" s="1948"/>
      <c r="I20" s="1947">
        <v>38752</v>
      </c>
      <c r="J20" s="1340"/>
      <c r="K20" s="1340"/>
      <c r="L20" s="1337">
        <f t="shared" si="0"/>
        <v>38752</v>
      </c>
      <c r="M20" s="1340">
        <v>63031</v>
      </c>
    </row>
    <row r="21" spans="2:14" ht="20.100000000000001" customHeight="1" x14ac:dyDescent="0.2">
      <c r="B21" s="1942" t="s">
        <v>2103</v>
      </c>
      <c r="C21" s="1338"/>
      <c r="D21" s="1339"/>
      <c r="E21" s="1337"/>
      <c r="F21" s="1944">
        <f>SUM(F19:F20)</f>
        <v>1508539</v>
      </c>
      <c r="G21" s="1337"/>
      <c r="H21" s="1337"/>
      <c r="I21" s="1944">
        <f>SUM(I19:I20)</f>
        <v>1508539</v>
      </c>
      <c r="J21" s="1340"/>
      <c r="K21" s="1340"/>
      <c r="L21" s="1337"/>
      <c r="M21" s="1340"/>
    </row>
    <row r="22" spans="2:14" ht="20.100000000000001" customHeight="1" x14ac:dyDescent="0.2">
      <c r="B22" s="1942"/>
      <c r="C22" s="1338"/>
      <c r="D22" s="1339"/>
      <c r="E22" s="1340"/>
      <c r="F22" s="1945"/>
      <c r="G22" s="1340"/>
      <c r="H22" s="1340"/>
      <c r="I22" s="1945"/>
      <c r="J22" s="1340"/>
      <c r="K22" s="1340"/>
      <c r="L22" s="1337"/>
      <c r="M22" s="1340"/>
    </row>
    <row r="23" spans="2:14" ht="20.100000000000001" customHeight="1" x14ac:dyDescent="0.2">
      <c r="B23" s="1941" t="s">
        <v>757</v>
      </c>
      <c r="C23" s="1338">
        <v>84.367000000000004</v>
      </c>
      <c r="D23" s="1339" t="s">
        <v>2112</v>
      </c>
      <c r="E23" s="1340"/>
      <c r="F23" s="1945">
        <v>162396</v>
      </c>
      <c r="G23" s="1340"/>
      <c r="H23" s="1340"/>
      <c r="I23" s="1945">
        <v>162396</v>
      </c>
      <c r="J23" s="1340"/>
      <c r="K23" s="1340"/>
      <c r="L23" s="1337">
        <f>G23+I23+K23</f>
        <v>162396</v>
      </c>
      <c r="M23" s="1340">
        <v>170418</v>
      </c>
    </row>
    <row r="24" spans="2:14" ht="20.100000000000001" customHeight="1" x14ac:dyDescent="0.2">
      <c r="B24" s="1334"/>
      <c r="C24" s="1338"/>
      <c r="D24" s="1339"/>
      <c r="E24" s="1340"/>
      <c r="F24" s="1945"/>
      <c r="G24" s="1340"/>
      <c r="H24" s="1340"/>
      <c r="I24" s="1945"/>
      <c r="J24" s="1340"/>
      <c r="K24" s="1340"/>
      <c r="L24" s="1337"/>
      <c r="M24" s="1340"/>
    </row>
    <row r="25" spans="2:14" ht="20.100000000000001" customHeight="1" x14ac:dyDescent="0.2">
      <c r="B25" s="1940" t="s">
        <v>2104</v>
      </c>
      <c r="C25" s="1338"/>
      <c r="D25" s="1339"/>
      <c r="E25" s="1340"/>
      <c r="F25" s="1945"/>
      <c r="G25" s="1340"/>
      <c r="H25" s="1340"/>
      <c r="I25" s="1945"/>
      <c r="J25" s="1340"/>
      <c r="K25" s="1340"/>
      <c r="L25" s="1337"/>
      <c r="M25" s="1340"/>
    </row>
    <row r="26" spans="2:14" ht="20.100000000000001" customHeight="1" x14ac:dyDescent="0.2">
      <c r="B26" s="1941" t="s">
        <v>193</v>
      </c>
      <c r="C26" s="1338">
        <v>84.195999999999998</v>
      </c>
      <c r="D26" s="1339"/>
      <c r="E26" s="1340"/>
      <c r="F26" s="1945">
        <v>1750</v>
      </c>
      <c r="G26" s="1340"/>
      <c r="H26" s="1340"/>
      <c r="I26" s="1945">
        <v>1750</v>
      </c>
      <c r="J26" s="1340"/>
      <c r="K26" s="1340"/>
      <c r="L26" s="1337"/>
      <c r="M26" s="1340"/>
    </row>
    <row r="27" spans="2:14" ht="20.100000000000001" customHeight="1" x14ac:dyDescent="0.2">
      <c r="B27" s="1334"/>
      <c r="C27" s="1338"/>
      <c r="D27" s="1339"/>
      <c r="E27" s="1340"/>
      <c r="F27" s="1945"/>
      <c r="G27" s="1340"/>
      <c r="H27" s="1340"/>
      <c r="I27" s="1945"/>
      <c r="J27" s="1340"/>
      <c r="K27" s="1340"/>
      <c r="L27" s="1337"/>
      <c r="M27" s="1340"/>
    </row>
    <row r="28" spans="2:14" ht="20.100000000000001" customHeight="1" x14ac:dyDescent="0.2">
      <c r="B28" s="1940" t="s">
        <v>2105</v>
      </c>
      <c r="C28" s="1338"/>
      <c r="D28" s="1339"/>
      <c r="E28" s="1340"/>
      <c r="F28" s="1945"/>
      <c r="G28" s="1340"/>
      <c r="H28" s="1340"/>
      <c r="I28" s="1945"/>
      <c r="J28" s="1340"/>
      <c r="K28" s="1340"/>
      <c r="L28" s="1337"/>
      <c r="M28" s="1340"/>
    </row>
    <row r="29" spans="2:14" ht="20.100000000000001" customHeight="1" x14ac:dyDescent="0.2">
      <c r="B29" s="1941" t="s">
        <v>2106</v>
      </c>
      <c r="C29" s="1338">
        <v>84.048000000000002</v>
      </c>
      <c r="D29" s="1339"/>
      <c r="E29" s="1948"/>
      <c r="F29" s="1947">
        <v>34952</v>
      </c>
      <c r="G29" s="1948"/>
      <c r="H29" s="1948"/>
      <c r="I29" s="1947">
        <v>34952</v>
      </c>
      <c r="J29" s="1340"/>
      <c r="K29" s="1340"/>
      <c r="L29" s="1337"/>
      <c r="M29" s="1340"/>
      <c r="N29" s="1341"/>
    </row>
    <row r="30" spans="2:14" ht="20.100000000000001" customHeight="1" x14ac:dyDescent="0.2">
      <c r="B30" s="1334" t="s">
        <v>2113</v>
      </c>
      <c r="C30" s="1338"/>
      <c r="D30" s="1339"/>
      <c r="E30" s="1340"/>
      <c r="F30" s="1945">
        <f>F29+F26+F23+F21+F14+F13</f>
        <v>2216330</v>
      </c>
      <c r="G30" s="1340"/>
      <c r="H30" s="1340"/>
      <c r="I30" s="1945">
        <f>F29+F26+F23+F21+F14+F13</f>
        <v>2216330</v>
      </c>
      <c r="J30" s="1340"/>
      <c r="K30" s="1340"/>
      <c r="L30" s="1337"/>
      <c r="M30" s="1340"/>
      <c r="N30" s="1341"/>
    </row>
    <row r="31" spans="2:14" ht="20.100000000000001" customHeight="1" x14ac:dyDescent="0.2">
      <c r="B31" s="1941"/>
      <c r="C31" s="1338"/>
      <c r="D31" s="1339"/>
      <c r="E31" s="1340"/>
      <c r="F31" s="1945"/>
      <c r="G31" s="1340"/>
      <c r="H31" s="1340"/>
      <c r="I31" s="1945"/>
      <c r="J31" s="1340"/>
      <c r="K31" s="1340"/>
      <c r="L31" s="1337"/>
      <c r="M31" s="1340"/>
      <c r="N31" s="1341"/>
    </row>
    <row r="32" spans="2:14" ht="20.100000000000001" customHeight="1" x14ac:dyDescent="0.2">
      <c r="B32" s="1334" t="s">
        <v>2114</v>
      </c>
      <c r="C32" s="1338"/>
      <c r="D32" s="1339"/>
      <c r="E32" s="1340"/>
      <c r="F32" s="1945"/>
      <c r="G32" s="1340"/>
      <c r="H32" s="1340"/>
      <c r="I32" s="1945"/>
      <c r="J32" s="1340"/>
      <c r="K32" s="1340"/>
      <c r="L32" s="1337"/>
      <c r="M32" s="1340"/>
      <c r="N32" s="1341"/>
    </row>
    <row r="33" spans="2:14" ht="20.100000000000001" customHeight="1" x14ac:dyDescent="0.2">
      <c r="B33" s="1940" t="s">
        <v>2115</v>
      </c>
      <c r="C33" s="1338"/>
      <c r="D33" s="1339"/>
      <c r="E33" s="1340"/>
      <c r="F33" s="1945"/>
      <c r="G33" s="1340"/>
      <c r="H33" s="1340"/>
      <c r="I33" s="1945"/>
      <c r="J33" s="1340"/>
      <c r="K33" s="1340"/>
      <c r="L33" s="1337"/>
      <c r="M33" s="1340"/>
      <c r="N33" s="1341"/>
    </row>
    <row r="34" spans="2:14" ht="20.100000000000001" customHeight="1" x14ac:dyDescent="0.2">
      <c r="B34" s="1940" t="s">
        <v>2116</v>
      </c>
      <c r="C34" s="1338"/>
      <c r="D34" s="1339"/>
      <c r="E34" s="1340"/>
      <c r="F34" s="1945"/>
      <c r="G34" s="1340"/>
      <c r="H34" s="1340"/>
      <c r="I34" s="1945"/>
      <c r="J34" s="1340"/>
      <c r="K34" s="1340"/>
      <c r="L34" s="1337"/>
      <c r="M34" s="1340"/>
      <c r="N34" s="1341"/>
    </row>
    <row r="35" spans="2:14" ht="20.100000000000001" customHeight="1" x14ac:dyDescent="0.2">
      <c r="B35" s="1942" t="s">
        <v>2117</v>
      </c>
      <c r="C35" s="1953">
        <v>93.778000000000006</v>
      </c>
      <c r="D35" s="1956"/>
      <c r="E35" s="1948"/>
      <c r="F35" s="1947">
        <v>75515</v>
      </c>
      <c r="G35" s="1948"/>
      <c r="H35" s="1948"/>
      <c r="I35" s="1947">
        <v>75515</v>
      </c>
      <c r="J35" s="1955"/>
      <c r="K35" s="1955"/>
      <c r="L35" s="1954"/>
      <c r="M35" s="1955"/>
      <c r="N35" s="1341"/>
    </row>
    <row r="36" spans="2:14" ht="20.100000000000001" customHeight="1" x14ac:dyDescent="0.2">
      <c r="B36" s="1941" t="s">
        <v>2118</v>
      </c>
      <c r="C36" s="1338"/>
      <c r="D36" s="1339"/>
      <c r="E36" s="1957"/>
      <c r="F36" s="1949">
        <v>75515</v>
      </c>
      <c r="G36" s="1957"/>
      <c r="H36" s="1957"/>
      <c r="I36" s="1949">
        <v>75515</v>
      </c>
      <c r="J36" s="1340"/>
      <c r="K36" s="1340"/>
      <c r="L36" s="1340"/>
      <c r="M36" s="1340"/>
      <c r="N36" s="1341"/>
    </row>
    <row r="37" spans="2:14" ht="20.100000000000001" customHeight="1" x14ac:dyDescent="0.2">
      <c r="B37" s="1334" t="s">
        <v>2119</v>
      </c>
      <c r="C37" s="1338"/>
      <c r="D37" s="1339"/>
      <c r="E37" s="1337"/>
      <c r="F37" s="1944">
        <f>F36</f>
        <v>75515</v>
      </c>
      <c r="G37" s="1337"/>
      <c r="H37" s="1337"/>
      <c r="I37" s="1944">
        <f>I36</f>
        <v>75515</v>
      </c>
      <c r="J37" s="1340"/>
      <c r="K37" s="1340"/>
      <c r="L37" s="1340"/>
      <c r="M37" s="1340"/>
      <c r="N37" s="1341"/>
    </row>
    <row r="38" spans="2:14" ht="20.100000000000001" customHeight="1" x14ac:dyDescent="0.2">
      <c r="B38" s="1941"/>
      <c r="C38" s="1338"/>
      <c r="D38" s="1339"/>
      <c r="E38" s="1340"/>
      <c r="F38" s="1945"/>
      <c r="G38" s="1340"/>
      <c r="H38" s="1340"/>
      <c r="I38" s="1945"/>
      <c r="J38" s="1340"/>
      <c r="K38" s="1340"/>
      <c r="L38" s="1340"/>
      <c r="M38" s="1340"/>
      <c r="N38" s="1341"/>
    </row>
    <row r="39" spans="2:14" ht="20.100000000000001" customHeight="1" x14ac:dyDescent="0.2">
      <c r="B39" s="1334" t="s">
        <v>2120</v>
      </c>
      <c r="C39" s="1338"/>
      <c r="D39" s="1339"/>
      <c r="E39" s="1340"/>
      <c r="F39" s="1945"/>
      <c r="G39" s="1340"/>
      <c r="H39" s="1340"/>
      <c r="I39" s="1945"/>
      <c r="J39" s="1340"/>
      <c r="K39" s="1340"/>
      <c r="L39" s="1340"/>
      <c r="M39" s="1340"/>
      <c r="N39" s="1341"/>
    </row>
    <row r="40" spans="2:14" ht="20.100000000000001" customHeight="1" x14ac:dyDescent="0.2">
      <c r="B40" s="1940" t="s">
        <v>2097</v>
      </c>
      <c r="C40" s="1338"/>
      <c r="D40" s="1339"/>
      <c r="E40" s="1340"/>
      <c r="F40" s="1945"/>
      <c r="G40" s="1340"/>
      <c r="H40" s="1340"/>
      <c r="I40" s="1945"/>
      <c r="J40" s="1340"/>
      <c r="K40" s="1340"/>
      <c r="L40" s="1340"/>
      <c r="M40" s="1340"/>
      <c r="N40" s="1341"/>
    </row>
    <row r="41" spans="2:14" ht="20.100000000000001" customHeight="1" x14ac:dyDescent="0.2">
      <c r="B41" s="1941" t="s">
        <v>2121</v>
      </c>
      <c r="C41" s="1338"/>
      <c r="D41" s="1339"/>
      <c r="E41" s="1340"/>
      <c r="F41" s="1945"/>
      <c r="G41" s="1340"/>
      <c r="H41" s="1340"/>
      <c r="I41" s="1945"/>
      <c r="J41" s="1340"/>
      <c r="K41" s="1340"/>
      <c r="L41" s="1340"/>
      <c r="M41" s="1340"/>
      <c r="N41" s="1341"/>
    </row>
    <row r="42" spans="2:14" ht="20.100000000000001" customHeight="1" x14ac:dyDescent="0.2">
      <c r="B42" s="1942" t="s">
        <v>2122</v>
      </c>
      <c r="C42" s="1338">
        <v>10.555</v>
      </c>
      <c r="D42" s="1339" t="s">
        <v>2126</v>
      </c>
      <c r="E42" s="1945">
        <v>482537</v>
      </c>
      <c r="F42" s="1945">
        <v>111822</v>
      </c>
      <c r="G42" s="1945">
        <v>482537</v>
      </c>
      <c r="H42" s="1340"/>
      <c r="I42" s="1945">
        <v>111822</v>
      </c>
      <c r="J42" s="1340"/>
      <c r="K42" s="1340"/>
      <c r="L42" s="1340"/>
      <c r="M42" s="1340"/>
      <c r="N42" s="1341"/>
    </row>
    <row r="43" spans="2:14" ht="20.100000000000001" customHeight="1" x14ac:dyDescent="0.2">
      <c r="B43" s="1942"/>
      <c r="C43" s="1338"/>
      <c r="D43" s="1339" t="s">
        <v>2127</v>
      </c>
      <c r="E43" s="1945"/>
      <c r="F43" s="1945">
        <v>484692</v>
      </c>
      <c r="G43" s="1945"/>
      <c r="H43" s="1340"/>
      <c r="I43" s="1945">
        <v>484692</v>
      </c>
      <c r="J43" s="1340"/>
      <c r="K43" s="1340"/>
      <c r="L43" s="1340"/>
      <c r="M43" s="1340"/>
      <c r="N43" s="1341"/>
    </row>
    <row r="44" spans="2:14" ht="20.100000000000001" customHeight="1" x14ac:dyDescent="0.2">
      <c r="B44" s="1942" t="s">
        <v>2123</v>
      </c>
      <c r="C44" s="1338">
        <v>10.553000000000001</v>
      </c>
      <c r="D44" s="1339" t="s">
        <v>2128</v>
      </c>
      <c r="E44" s="1945">
        <v>118643</v>
      </c>
      <c r="F44" s="1945">
        <v>25284</v>
      </c>
      <c r="G44" s="1945">
        <v>118643</v>
      </c>
      <c r="H44" s="1340"/>
      <c r="I44" s="1945">
        <v>25284</v>
      </c>
      <c r="J44" s="1340"/>
      <c r="K44" s="1340"/>
      <c r="L44" s="1340"/>
      <c r="M44" s="1340"/>
      <c r="N44" s="1341"/>
    </row>
    <row r="45" spans="2:14" ht="20.100000000000001" customHeight="1" x14ac:dyDescent="0.2">
      <c r="B45" s="1942"/>
      <c r="C45" s="1338"/>
      <c r="D45" s="1339" t="s">
        <v>2128</v>
      </c>
      <c r="E45" s="1945"/>
      <c r="F45" s="1945">
        <v>118756</v>
      </c>
      <c r="G45" s="1945"/>
      <c r="H45" s="1340"/>
      <c r="I45" s="1945">
        <v>118756</v>
      </c>
      <c r="J45" s="1340"/>
      <c r="K45" s="1340"/>
      <c r="L45" s="1340"/>
      <c r="M45" s="1340"/>
      <c r="N45" s="1341"/>
    </row>
    <row r="46" spans="2:14" ht="20.100000000000001" customHeight="1" x14ac:dyDescent="0.2">
      <c r="B46" s="1942" t="s">
        <v>2124</v>
      </c>
      <c r="C46" s="1338">
        <v>10.555</v>
      </c>
      <c r="D46" s="1339"/>
      <c r="E46" s="1947"/>
      <c r="F46" s="1947">
        <v>96361</v>
      </c>
      <c r="G46" s="1947"/>
      <c r="H46" s="1948"/>
      <c r="I46" s="1947">
        <v>96361</v>
      </c>
      <c r="J46" s="1340"/>
      <c r="K46" s="1340"/>
      <c r="L46" s="1340"/>
      <c r="M46" s="1340"/>
      <c r="N46" s="1341"/>
    </row>
    <row r="47" spans="2:14" ht="20.100000000000001" customHeight="1" x14ac:dyDescent="0.2">
      <c r="B47" s="1946" t="s">
        <v>2125</v>
      </c>
      <c r="C47" s="1338"/>
      <c r="D47" s="1336"/>
      <c r="E47" s="1944">
        <f>SUM(E42:E46)</f>
        <v>601180</v>
      </c>
      <c r="F47" s="1944">
        <f>SUM(F42:F46)</f>
        <v>836915</v>
      </c>
      <c r="G47" s="1944">
        <f>SUM(G42:G46)</f>
        <v>601180</v>
      </c>
      <c r="H47" s="1337"/>
      <c r="I47" s="1944">
        <f>SUM(I42:I46)</f>
        <v>836915</v>
      </c>
      <c r="J47" s="1340"/>
      <c r="K47" s="1340"/>
      <c r="L47" s="1340"/>
      <c r="M47" s="1340"/>
      <c r="N47" s="1341"/>
    </row>
    <row r="48" spans="2:14" ht="20.100000000000001" customHeight="1" x14ac:dyDescent="0.2">
      <c r="B48" s="1946" t="s">
        <v>2130</v>
      </c>
      <c r="C48" s="1338"/>
      <c r="D48" s="1339"/>
      <c r="E48" s="1945">
        <f>E44</f>
        <v>118643</v>
      </c>
      <c r="F48" s="1945">
        <f>F44+F45</f>
        <v>144040</v>
      </c>
      <c r="G48" s="1945">
        <f>G44+G45</f>
        <v>118643</v>
      </c>
      <c r="H48" s="1340"/>
      <c r="I48" s="1945">
        <f>I44+I45</f>
        <v>144040</v>
      </c>
      <c r="J48" s="1340"/>
      <c r="K48" s="1340"/>
      <c r="L48" s="1340"/>
      <c r="M48" s="1340"/>
      <c r="N48" s="1341"/>
    </row>
    <row r="49" spans="2:14" ht="20.100000000000001" customHeight="1" x14ac:dyDescent="0.2">
      <c r="B49" s="1946" t="s">
        <v>2131</v>
      </c>
      <c r="C49" s="1338"/>
      <c r="D49" s="1339"/>
      <c r="E49" s="1947">
        <f>E42+E46</f>
        <v>482537</v>
      </c>
      <c r="F49" s="1947">
        <f>F42+F46+F43</f>
        <v>692875</v>
      </c>
      <c r="G49" s="1947">
        <f>G42+G46+G43</f>
        <v>482537</v>
      </c>
      <c r="H49" s="1948"/>
      <c r="I49" s="1947">
        <f>I42+I43+I46</f>
        <v>692875</v>
      </c>
      <c r="J49" s="1340"/>
      <c r="K49" s="1340"/>
      <c r="L49" s="1340"/>
      <c r="M49" s="1340"/>
      <c r="N49" s="1341"/>
    </row>
    <row r="50" spans="2:14" ht="20.100000000000001" customHeight="1" x14ac:dyDescent="0.2">
      <c r="B50" s="1334" t="s">
        <v>2129</v>
      </c>
      <c r="C50" s="1338"/>
      <c r="D50" s="1336"/>
      <c r="E50" s="1949">
        <f>SUM(E48:E49)</f>
        <v>601180</v>
      </c>
      <c r="F50" s="1949">
        <f>SUM(F48:F49)</f>
        <v>836915</v>
      </c>
      <c r="G50" s="1949">
        <f>SUM(G48:G49)</f>
        <v>601180</v>
      </c>
      <c r="H50" s="1949"/>
      <c r="I50" s="1949">
        <f t="shared" ref="I50" si="1">SUM(I48:I49)</f>
        <v>836915</v>
      </c>
      <c r="J50" s="1340"/>
      <c r="K50" s="1340"/>
      <c r="L50" s="1337"/>
      <c r="M50" s="1340"/>
      <c r="N50" s="1341"/>
    </row>
    <row r="51" spans="2:14" ht="20.100000000000001" customHeight="1" x14ac:dyDescent="0.2">
      <c r="B51" s="1941" t="s">
        <v>156</v>
      </c>
      <c r="C51" s="1338"/>
      <c r="D51" s="1339"/>
      <c r="E51" s="1337"/>
      <c r="F51" s="1944">
        <f>F50+F37+F30</f>
        <v>3128760</v>
      </c>
      <c r="G51" s="1944"/>
      <c r="H51" s="1944"/>
      <c r="I51" s="1944">
        <f t="shared" ref="I51" si="2">I50+I37+I30</f>
        <v>3128760</v>
      </c>
      <c r="J51" s="1340"/>
      <c r="K51" s="1340"/>
      <c r="L51" s="1337"/>
      <c r="M51" s="1340"/>
      <c r="N51" s="1341"/>
    </row>
    <row r="52" spans="2:14" ht="20.100000000000001" hidden="1" customHeight="1" x14ac:dyDescent="0.2">
      <c r="B52" s="1941"/>
      <c r="C52" s="1338"/>
      <c r="D52" s="1339"/>
      <c r="E52" s="1340"/>
      <c r="F52" s="1945"/>
      <c r="G52" s="1340"/>
      <c r="H52" s="1340"/>
      <c r="I52" s="1945"/>
      <c r="J52" s="1340"/>
      <c r="K52" s="1340"/>
      <c r="L52" s="1337"/>
      <c r="M52" s="1340"/>
      <c r="N52" s="1341"/>
    </row>
    <row r="53" spans="2:14" ht="20.100000000000001" hidden="1" customHeight="1" x14ac:dyDescent="0.2">
      <c r="B53" s="1941"/>
      <c r="C53" s="1338"/>
      <c r="D53" s="1339"/>
      <c r="E53" s="1340"/>
      <c r="F53" s="1945"/>
      <c r="G53" s="1340"/>
      <c r="H53" s="1340"/>
      <c r="I53" s="1945"/>
      <c r="J53" s="1340"/>
      <c r="K53" s="1340"/>
      <c r="L53" s="1337"/>
      <c r="M53" s="1340"/>
      <c r="N53" s="1341"/>
    </row>
    <row r="54" spans="2:14" ht="20.100000000000001" hidden="1" customHeight="1" x14ac:dyDescent="0.2">
      <c r="B54" s="1941"/>
      <c r="C54" s="1338"/>
      <c r="D54" s="1339"/>
      <c r="E54" s="1340"/>
      <c r="F54" s="1945"/>
      <c r="G54" s="1340"/>
      <c r="H54" s="1340"/>
      <c r="I54" s="1945"/>
      <c r="J54" s="1340"/>
      <c r="K54" s="1340"/>
      <c r="L54" s="1337"/>
      <c r="M54" s="1340"/>
      <c r="N54" s="1341"/>
    </row>
    <row r="55" spans="2:14" ht="20.100000000000001" hidden="1" customHeight="1" x14ac:dyDescent="0.2">
      <c r="B55" s="1941"/>
      <c r="C55" s="1338"/>
      <c r="D55" s="1339"/>
      <c r="E55" s="1340"/>
      <c r="F55" s="1945"/>
      <c r="G55" s="1340"/>
      <c r="H55" s="1340"/>
      <c r="I55" s="1945"/>
      <c r="J55" s="1340"/>
      <c r="K55" s="1340"/>
      <c r="L55" s="1337"/>
      <c r="M55" s="1340"/>
      <c r="N55" s="1341"/>
    </row>
    <row r="56" spans="2:14" ht="20.100000000000001" hidden="1" customHeight="1" x14ac:dyDescent="0.2">
      <c r="B56" s="1941"/>
      <c r="C56" s="1338"/>
      <c r="D56" s="1339"/>
      <c r="E56" s="1340"/>
      <c r="F56" s="1945"/>
      <c r="G56" s="1340"/>
      <c r="H56" s="1340"/>
      <c r="I56" s="1945"/>
      <c r="J56" s="1340"/>
      <c r="K56" s="1340"/>
      <c r="L56" s="1337"/>
      <c r="M56" s="1340"/>
      <c r="N56" s="1341"/>
    </row>
    <row r="57" spans="2:14" ht="20.100000000000001" hidden="1" customHeight="1" x14ac:dyDescent="0.2">
      <c r="B57" s="1941"/>
      <c r="C57" s="1338"/>
      <c r="D57" s="1339"/>
      <c r="E57" s="1340"/>
      <c r="F57" s="1945"/>
      <c r="G57" s="1340"/>
      <c r="H57" s="1340"/>
      <c r="I57" s="1945"/>
      <c r="J57" s="1340"/>
      <c r="K57" s="1340"/>
      <c r="L57" s="1337"/>
      <c r="M57" s="1340"/>
      <c r="N57" s="1341"/>
    </row>
    <row r="58" spans="2:14" ht="20.100000000000001" hidden="1" customHeight="1" x14ac:dyDescent="0.2">
      <c r="B58" s="1941"/>
      <c r="C58" s="1338"/>
      <c r="D58" s="1339"/>
      <c r="E58" s="1340"/>
      <c r="F58" s="1945"/>
      <c r="G58" s="1340"/>
      <c r="H58" s="1340"/>
      <c r="I58" s="1945"/>
      <c r="J58" s="1340"/>
      <c r="K58" s="1340"/>
      <c r="L58" s="1337"/>
      <c r="M58" s="1340"/>
      <c r="N58" s="1341"/>
    </row>
    <row r="59" spans="2:14" ht="20.100000000000001" hidden="1" customHeight="1" x14ac:dyDescent="0.2">
      <c r="B59" s="1941"/>
      <c r="C59" s="1338"/>
      <c r="D59" s="1339"/>
      <c r="E59" s="1340"/>
      <c r="F59" s="1945"/>
      <c r="G59" s="1340"/>
      <c r="H59" s="1340"/>
      <c r="I59" s="1945"/>
      <c r="J59" s="1340"/>
      <c r="K59" s="1340"/>
      <c r="L59" s="1337"/>
      <c r="M59" s="1340"/>
      <c r="N59" s="1341"/>
    </row>
    <row r="60" spans="2:14" ht="20.100000000000001" hidden="1" customHeight="1" x14ac:dyDescent="0.2">
      <c r="B60" s="1941"/>
      <c r="C60" s="1338"/>
      <c r="D60" s="1339"/>
      <c r="E60" s="1340"/>
      <c r="F60" s="1945"/>
      <c r="G60" s="1340"/>
      <c r="H60" s="1340"/>
      <c r="I60" s="1945"/>
      <c r="J60" s="1340"/>
      <c r="K60" s="1340"/>
      <c r="L60" s="1337"/>
      <c r="M60" s="1340"/>
      <c r="N60" s="1341"/>
    </row>
    <row r="61" spans="2:14" ht="20.100000000000001" hidden="1" customHeight="1" x14ac:dyDescent="0.2">
      <c r="B61" s="1941"/>
      <c r="C61" s="1338"/>
      <c r="D61" s="1339"/>
      <c r="E61" s="1340"/>
      <c r="F61" s="1945"/>
      <c r="G61" s="1340"/>
      <c r="H61" s="1340"/>
      <c r="I61" s="1945"/>
      <c r="J61" s="1340"/>
      <c r="K61" s="1340"/>
      <c r="L61" s="1337"/>
      <c r="M61" s="1340"/>
      <c r="N61" s="1341"/>
    </row>
    <row r="62" spans="2:14" ht="20.100000000000001" hidden="1" customHeight="1" x14ac:dyDescent="0.2">
      <c r="B62" s="1941"/>
      <c r="C62" s="1338"/>
      <c r="D62" s="1339"/>
      <c r="E62" s="1340"/>
      <c r="F62" s="1945"/>
      <c r="G62" s="1340"/>
      <c r="H62" s="1340"/>
      <c r="I62" s="1945"/>
      <c r="J62" s="1340"/>
      <c r="K62" s="1340"/>
      <c r="L62" s="1337"/>
      <c r="M62" s="1340"/>
      <c r="N62" s="1341"/>
    </row>
    <row r="63" spans="2:14" ht="20.100000000000001" hidden="1" customHeight="1" x14ac:dyDescent="0.2">
      <c r="B63" s="1941"/>
      <c r="C63" s="1338"/>
      <c r="D63" s="1339"/>
      <c r="E63" s="1340"/>
      <c r="F63" s="1945"/>
      <c r="G63" s="1340"/>
      <c r="H63" s="1340"/>
      <c r="I63" s="1945"/>
      <c r="J63" s="1340"/>
      <c r="K63" s="1340"/>
      <c r="L63" s="1337"/>
      <c r="M63" s="1340"/>
      <c r="N63" s="1341"/>
    </row>
    <row r="64" spans="2:14" ht="20.100000000000001" hidden="1" customHeight="1" x14ac:dyDescent="0.2">
      <c r="B64" s="1941"/>
      <c r="C64" s="1338"/>
      <c r="D64" s="1339"/>
      <c r="E64" s="1340"/>
      <c r="F64" s="1945"/>
      <c r="G64" s="1340"/>
      <c r="H64" s="1340"/>
      <c r="I64" s="1945"/>
      <c r="J64" s="1340"/>
      <c r="K64" s="1340"/>
      <c r="L64" s="1337"/>
      <c r="M64" s="1340"/>
      <c r="N64" s="1341"/>
    </row>
    <row r="65" spans="2:14" ht="20.100000000000001" hidden="1" customHeight="1" x14ac:dyDescent="0.2">
      <c r="B65" s="1941"/>
      <c r="C65" s="1338"/>
      <c r="D65" s="1339"/>
      <c r="E65" s="1340"/>
      <c r="F65" s="1945"/>
      <c r="G65" s="1340"/>
      <c r="H65" s="1340"/>
      <c r="I65" s="1945"/>
      <c r="J65" s="1340"/>
      <c r="K65" s="1340"/>
      <c r="L65" s="1337"/>
      <c r="M65" s="1340"/>
      <c r="N65" s="1341"/>
    </row>
    <row r="66" spans="2:14" ht="20.100000000000001" hidden="1" customHeight="1" x14ac:dyDescent="0.2">
      <c r="B66" s="1941"/>
      <c r="C66" s="1338"/>
      <c r="D66" s="1339"/>
      <c r="E66" s="1340"/>
      <c r="F66" s="1945"/>
      <c r="G66" s="1340"/>
      <c r="H66" s="1340"/>
      <c r="I66" s="1945"/>
      <c r="J66" s="1340"/>
      <c r="K66" s="1340"/>
      <c r="L66" s="1337"/>
      <c r="M66" s="1340"/>
      <c r="N66" s="1341"/>
    </row>
    <row r="67" spans="2:14" ht="20.100000000000001" hidden="1" customHeight="1" x14ac:dyDescent="0.2">
      <c r="B67" s="1941"/>
      <c r="C67" s="1338"/>
      <c r="D67" s="1339"/>
      <c r="E67" s="1340"/>
      <c r="F67" s="1945"/>
      <c r="G67" s="1340"/>
      <c r="H67" s="1340"/>
      <c r="I67" s="1945"/>
      <c r="J67" s="1340"/>
      <c r="K67" s="1340"/>
      <c r="L67" s="1337"/>
      <c r="M67" s="1340"/>
      <c r="N67" s="1341"/>
    </row>
    <row r="68" spans="2:14" ht="20.100000000000001" hidden="1" customHeight="1" x14ac:dyDescent="0.2">
      <c r="B68" s="1941"/>
      <c r="C68" s="1338"/>
      <c r="D68" s="1339"/>
      <c r="E68" s="1340"/>
      <c r="F68" s="1945"/>
      <c r="G68" s="1340"/>
      <c r="H68" s="1340"/>
      <c r="I68" s="1945"/>
      <c r="J68" s="1340"/>
      <c r="K68" s="1340"/>
      <c r="L68" s="1337"/>
      <c r="M68" s="1340"/>
      <c r="N68" s="1341"/>
    </row>
    <row r="69" spans="2:14" ht="20.100000000000001" hidden="1" customHeight="1" x14ac:dyDescent="0.2">
      <c r="B69" s="1941"/>
      <c r="C69" s="1338"/>
      <c r="D69" s="1339"/>
      <c r="E69" s="1340"/>
      <c r="F69" s="1945"/>
      <c r="G69" s="1340"/>
      <c r="H69" s="1340"/>
      <c r="I69" s="1945"/>
      <c r="J69" s="1340"/>
      <c r="K69" s="1340"/>
      <c r="L69" s="1337"/>
      <c r="M69" s="1340"/>
      <c r="N69" s="1341"/>
    </row>
    <row r="70" spans="2:14" ht="20.100000000000001" hidden="1" customHeight="1" x14ac:dyDescent="0.2">
      <c r="B70" s="1941"/>
      <c r="C70" s="1338"/>
      <c r="D70" s="1339"/>
      <c r="E70" s="1340"/>
      <c r="F70" s="1945"/>
      <c r="G70" s="1340"/>
      <c r="H70" s="1340"/>
      <c r="I70" s="1945"/>
      <c r="J70" s="1340"/>
      <c r="K70" s="1340"/>
      <c r="L70" s="1337"/>
      <c r="M70" s="1340"/>
      <c r="N70" s="1341"/>
    </row>
    <row r="71" spans="2:14" ht="20.100000000000001" hidden="1" customHeight="1" x14ac:dyDescent="0.2">
      <c r="B71" s="1941"/>
      <c r="C71" s="1338"/>
      <c r="D71" s="1339"/>
      <c r="E71" s="1340"/>
      <c r="F71" s="1945"/>
      <c r="G71" s="1340"/>
      <c r="H71" s="1340"/>
      <c r="I71" s="1945"/>
      <c r="J71" s="1340"/>
      <c r="K71" s="1340"/>
      <c r="L71" s="1337"/>
      <c r="M71" s="1340"/>
      <c r="N71" s="1341"/>
    </row>
    <row r="72" spans="2:14" ht="20.100000000000001" hidden="1" customHeight="1" x14ac:dyDescent="0.2">
      <c r="B72" s="1941"/>
      <c r="C72" s="1338"/>
      <c r="D72" s="1339"/>
      <c r="E72" s="1340"/>
      <c r="F72" s="1945"/>
      <c r="G72" s="1340"/>
      <c r="H72" s="1340"/>
      <c r="I72" s="1945"/>
      <c r="J72" s="1340"/>
      <c r="K72" s="1340"/>
      <c r="L72" s="1337"/>
      <c r="M72" s="1340"/>
      <c r="N72" s="1341"/>
    </row>
    <row r="73" spans="2:14" ht="20.100000000000001" hidden="1" customHeight="1" x14ac:dyDescent="0.2">
      <c r="B73" s="1941"/>
      <c r="C73" s="1338"/>
      <c r="D73" s="1339"/>
      <c r="E73" s="1340"/>
      <c r="F73" s="1945"/>
      <c r="G73" s="1340"/>
      <c r="H73" s="1340"/>
      <c r="I73" s="1945"/>
      <c r="J73" s="1340"/>
      <c r="K73" s="1340"/>
      <c r="L73" s="1337"/>
      <c r="M73" s="1340"/>
      <c r="N73" s="1341"/>
    </row>
    <row r="74" spans="2:14" ht="20.100000000000001" hidden="1" customHeight="1" x14ac:dyDescent="0.2">
      <c r="B74" s="1941"/>
      <c r="C74" s="1338"/>
      <c r="D74" s="1339"/>
      <c r="E74" s="1340"/>
      <c r="F74" s="1945"/>
      <c r="G74" s="1340"/>
      <c r="H74" s="1340"/>
      <c r="I74" s="1945"/>
      <c r="J74" s="1340"/>
      <c r="K74" s="1340"/>
      <c r="L74" s="1337"/>
      <c r="M74" s="1340"/>
      <c r="N74" s="1341"/>
    </row>
    <row r="75" spans="2:14" ht="20.100000000000001" hidden="1" customHeight="1" x14ac:dyDescent="0.2">
      <c r="B75" s="1941"/>
      <c r="C75" s="1338"/>
      <c r="D75" s="1339"/>
      <c r="E75" s="1340"/>
      <c r="F75" s="1945"/>
      <c r="G75" s="1340"/>
      <c r="H75" s="1340"/>
      <c r="I75" s="1945"/>
      <c r="J75" s="1340"/>
      <c r="K75" s="1340"/>
      <c r="L75" s="1337"/>
      <c r="M75" s="1340"/>
      <c r="N75" s="1341"/>
    </row>
    <row r="76" spans="2:14" ht="20.100000000000001" hidden="1" customHeight="1" x14ac:dyDescent="0.2">
      <c r="B76" s="1941"/>
      <c r="C76" s="1338"/>
      <c r="D76" s="1339"/>
      <c r="E76" s="1340"/>
      <c r="F76" s="1945"/>
      <c r="G76" s="1340"/>
      <c r="H76" s="1340"/>
      <c r="I76" s="1945"/>
      <c r="J76" s="1340"/>
      <c r="K76" s="1340"/>
      <c r="L76" s="1337"/>
      <c r="M76" s="1340"/>
      <c r="N76" s="1341"/>
    </row>
    <row r="77" spans="2:14" ht="20.100000000000001" hidden="1" customHeight="1" x14ac:dyDescent="0.2">
      <c r="B77" s="1941"/>
      <c r="C77" s="1338"/>
      <c r="D77" s="1339"/>
      <c r="E77" s="1340"/>
      <c r="F77" s="1945"/>
      <c r="G77" s="1340"/>
      <c r="H77" s="1340"/>
      <c r="I77" s="1945"/>
      <c r="J77" s="1340"/>
      <c r="K77" s="1340"/>
      <c r="L77" s="1337"/>
      <c r="M77" s="1340"/>
      <c r="N77" s="1341"/>
    </row>
    <row r="78" spans="2:14" ht="20.100000000000001" hidden="1" customHeight="1" x14ac:dyDescent="0.2">
      <c r="B78" s="1941"/>
      <c r="C78" s="1338"/>
      <c r="D78" s="1339"/>
      <c r="E78" s="1340"/>
      <c r="F78" s="1945"/>
      <c r="G78" s="1340"/>
      <c r="H78" s="1340"/>
      <c r="I78" s="1945"/>
      <c r="J78" s="1340"/>
      <c r="K78" s="1340"/>
      <c r="L78" s="1337"/>
      <c r="M78" s="1340"/>
      <c r="N78" s="1341"/>
    </row>
    <row r="79" spans="2:14" ht="20.100000000000001" hidden="1" customHeight="1" x14ac:dyDescent="0.2">
      <c r="B79" s="1941"/>
      <c r="C79" s="1338"/>
      <c r="D79" s="1339"/>
      <c r="E79" s="1340"/>
      <c r="F79" s="1945"/>
      <c r="G79" s="1340"/>
      <c r="H79" s="1340"/>
      <c r="I79" s="1945"/>
      <c r="J79" s="1340"/>
      <c r="K79" s="1340"/>
      <c r="L79" s="1337"/>
      <c r="M79" s="1340"/>
      <c r="N79" s="1341"/>
    </row>
    <row r="80" spans="2:14" ht="20.100000000000001" hidden="1" customHeight="1" x14ac:dyDescent="0.2">
      <c r="B80" s="1941"/>
      <c r="C80" s="1338"/>
      <c r="D80" s="1339"/>
      <c r="E80" s="1340"/>
      <c r="F80" s="1945"/>
      <c r="G80" s="1340"/>
      <c r="H80" s="1340"/>
      <c r="I80" s="1945"/>
      <c r="J80" s="1340"/>
      <c r="K80" s="1340"/>
      <c r="L80" s="1337"/>
      <c r="M80" s="1340"/>
      <c r="N80" s="1341"/>
    </row>
    <row r="81" spans="2:14" ht="20.100000000000001" hidden="1" customHeight="1" x14ac:dyDescent="0.2">
      <c r="B81" s="1943"/>
      <c r="C81" s="1343"/>
      <c r="D81" s="1344"/>
      <c r="E81" s="1345"/>
      <c r="F81" s="1345"/>
      <c r="G81" s="1345"/>
      <c r="H81" s="1345"/>
      <c r="I81" s="1345"/>
      <c r="J81" s="1345"/>
      <c r="K81" s="1345"/>
      <c r="L81" s="1345"/>
      <c r="M81" s="1345"/>
      <c r="N81" s="1341"/>
    </row>
    <row r="82" spans="2:14" ht="20.100000000000001" hidden="1" customHeight="1" x14ac:dyDescent="0.2">
      <c r="B82" s="1943"/>
      <c r="C82" s="1343"/>
      <c r="D82" s="1344"/>
      <c r="E82" s="1345"/>
      <c r="F82" s="1345"/>
      <c r="G82" s="1345"/>
      <c r="H82" s="1345"/>
      <c r="I82" s="1345"/>
      <c r="J82" s="1345"/>
      <c r="K82" s="1345"/>
      <c r="L82" s="1345"/>
      <c r="M82" s="1345"/>
      <c r="N82" s="1341"/>
    </row>
    <row r="83" spans="2:14" ht="20.100000000000001" hidden="1" customHeight="1" x14ac:dyDescent="0.2">
      <c r="B83" s="1943"/>
      <c r="C83" s="1343"/>
      <c r="D83" s="1344"/>
      <c r="E83" s="1345"/>
      <c r="F83" s="1345"/>
      <c r="G83" s="1345"/>
      <c r="H83" s="1345"/>
      <c r="I83" s="1345"/>
      <c r="J83" s="1345"/>
      <c r="K83" s="1345"/>
      <c r="L83" s="1345"/>
      <c r="M83" s="1345"/>
      <c r="N83" s="1341"/>
    </row>
    <row r="84" spans="2:14" ht="20.100000000000001" hidden="1" customHeight="1" x14ac:dyDescent="0.2">
      <c r="B84" s="1943"/>
      <c r="C84" s="1343"/>
      <c r="D84" s="1344"/>
      <c r="E84" s="1345"/>
      <c r="F84" s="1345"/>
      <c r="G84" s="1345"/>
      <c r="H84" s="1345"/>
      <c r="I84" s="1345"/>
      <c r="J84" s="1345"/>
      <c r="K84" s="1345"/>
      <c r="L84" s="1345"/>
      <c r="M84" s="1345"/>
      <c r="N84" s="1341"/>
    </row>
    <row r="85" spans="2:14" ht="20.100000000000001" hidden="1" customHeight="1" x14ac:dyDescent="0.2">
      <c r="B85" s="1943"/>
      <c r="C85" s="1343"/>
      <c r="D85" s="1344"/>
      <c r="E85" s="1345"/>
      <c r="F85" s="1345"/>
      <c r="G85" s="1345"/>
      <c r="H85" s="1345"/>
      <c r="I85" s="1345"/>
      <c r="J85" s="1345"/>
      <c r="K85" s="1345"/>
      <c r="L85" s="1345"/>
      <c r="M85" s="1345"/>
      <c r="N85" s="1341"/>
    </row>
    <row r="86" spans="2:14" ht="20.100000000000001" hidden="1" customHeight="1" x14ac:dyDescent="0.2">
      <c r="B86" s="1943"/>
      <c r="C86" s="1343"/>
      <c r="D86" s="1344"/>
      <c r="E86" s="1345"/>
      <c r="F86" s="1345"/>
      <c r="G86" s="1345"/>
      <c r="H86" s="1345"/>
      <c r="I86" s="1345"/>
      <c r="J86" s="1345"/>
      <c r="K86" s="1345"/>
      <c r="L86" s="1345"/>
      <c r="M86" s="1345"/>
      <c r="N86" s="1341"/>
    </row>
    <row r="87" spans="2:14" ht="20.100000000000001" hidden="1" customHeight="1" x14ac:dyDescent="0.2">
      <c r="B87" s="1943"/>
      <c r="C87" s="1343"/>
      <c r="D87" s="1344"/>
      <c r="E87" s="1345"/>
      <c r="F87" s="1345"/>
      <c r="G87" s="1345"/>
      <c r="H87" s="1345"/>
      <c r="I87" s="1345"/>
      <c r="J87" s="1345"/>
      <c r="K87" s="1345"/>
      <c r="L87" s="1345"/>
      <c r="M87" s="1345"/>
      <c r="N87" s="1341"/>
    </row>
    <row r="88" spans="2:14" ht="20.100000000000001" hidden="1" customHeight="1" x14ac:dyDescent="0.2">
      <c r="B88" s="1943"/>
      <c r="C88" s="1343"/>
      <c r="D88" s="1344"/>
      <c r="E88" s="1345"/>
      <c r="F88" s="1345"/>
      <c r="G88" s="1345"/>
      <c r="H88" s="1345"/>
      <c r="I88" s="1345"/>
      <c r="J88" s="1345"/>
      <c r="K88" s="1345"/>
      <c r="L88" s="1345"/>
      <c r="M88" s="1345"/>
      <c r="N88" s="1341"/>
    </row>
    <row r="89" spans="2:14" ht="20.100000000000001" hidden="1" customHeight="1" x14ac:dyDescent="0.2">
      <c r="B89" s="1943"/>
      <c r="C89" s="1343"/>
      <c r="D89" s="1344"/>
      <c r="E89" s="1345"/>
      <c r="F89" s="1345"/>
      <c r="G89" s="1345"/>
      <c r="H89" s="1345"/>
      <c r="I89" s="1345"/>
      <c r="J89" s="1345"/>
      <c r="K89" s="1345"/>
      <c r="L89" s="1345"/>
      <c r="M89" s="1345"/>
      <c r="N89" s="1341"/>
    </row>
    <row r="90" spans="2:14" ht="20.100000000000001" hidden="1" customHeight="1" x14ac:dyDescent="0.2">
      <c r="B90" s="1943"/>
      <c r="C90" s="1343"/>
      <c r="D90" s="1344"/>
      <c r="E90" s="1345"/>
      <c r="F90" s="1345"/>
      <c r="G90" s="1345"/>
      <c r="H90" s="1345"/>
      <c r="I90" s="1345"/>
      <c r="J90" s="1345"/>
      <c r="K90" s="1345"/>
      <c r="L90" s="1345"/>
      <c r="M90" s="1345"/>
      <c r="N90" s="1341"/>
    </row>
    <row r="91" spans="2:14" ht="20.100000000000001" hidden="1" customHeight="1" x14ac:dyDescent="0.2">
      <c r="B91" s="1943"/>
      <c r="C91" s="1343"/>
      <c r="D91" s="1344"/>
      <c r="E91" s="1345"/>
      <c r="F91" s="1345"/>
      <c r="G91" s="1345"/>
      <c r="H91" s="1345"/>
      <c r="I91" s="1345"/>
      <c r="J91" s="1345"/>
      <c r="K91" s="1345"/>
      <c r="L91" s="1345"/>
      <c r="M91" s="1345"/>
      <c r="N91" s="1341"/>
    </row>
    <row r="92" spans="2:14" ht="20.100000000000001" hidden="1" customHeight="1" x14ac:dyDescent="0.2">
      <c r="B92" s="1943"/>
      <c r="C92" s="1343"/>
      <c r="D92" s="1344"/>
      <c r="E92" s="1345"/>
      <c r="F92" s="1345"/>
      <c r="G92" s="1345"/>
      <c r="H92" s="1345"/>
      <c r="I92" s="1345"/>
      <c r="J92" s="1345"/>
      <c r="K92" s="1345"/>
      <c r="L92" s="1345"/>
      <c r="M92" s="1345"/>
      <c r="N92" s="1341"/>
    </row>
    <row r="93" spans="2:14" ht="20.100000000000001" hidden="1" customHeight="1" x14ac:dyDescent="0.2">
      <c r="B93" s="1943"/>
      <c r="C93" s="1343"/>
      <c r="D93" s="1344"/>
      <c r="E93" s="1345"/>
      <c r="F93" s="1345"/>
      <c r="G93" s="1345"/>
      <c r="H93" s="1345"/>
      <c r="I93" s="1345"/>
      <c r="J93" s="1345"/>
      <c r="K93" s="1345"/>
      <c r="L93" s="1345"/>
      <c r="M93" s="1345"/>
      <c r="N93" s="1341"/>
    </row>
    <row r="94" spans="2:14" ht="20.100000000000001" hidden="1" customHeight="1" x14ac:dyDescent="0.2">
      <c r="B94" s="1943"/>
      <c r="C94" s="1343"/>
      <c r="D94" s="1344"/>
      <c r="E94" s="1345"/>
      <c r="F94" s="1345"/>
      <c r="G94" s="1345"/>
      <c r="H94" s="1345"/>
      <c r="I94" s="1345"/>
      <c r="J94" s="1345"/>
      <c r="K94" s="1345"/>
      <c r="L94" s="1345"/>
      <c r="M94" s="1345"/>
      <c r="N94" s="1341"/>
    </row>
    <row r="95" spans="2:14" ht="20.100000000000001" hidden="1" customHeight="1" x14ac:dyDescent="0.2">
      <c r="B95" s="1943"/>
      <c r="C95" s="1343"/>
      <c r="D95" s="1344"/>
      <c r="E95" s="1345"/>
      <c r="F95" s="1345"/>
      <c r="G95" s="1345"/>
      <c r="H95" s="1345"/>
      <c r="I95" s="1345"/>
      <c r="J95" s="1345"/>
      <c r="K95" s="1345"/>
      <c r="L95" s="1345"/>
      <c r="M95" s="1345"/>
      <c r="N95" s="1341"/>
    </row>
    <row r="96" spans="2:14" ht="20.100000000000001" hidden="1" customHeight="1" x14ac:dyDescent="0.2">
      <c r="B96" s="1943"/>
      <c r="C96" s="1343"/>
      <c r="D96" s="1344"/>
      <c r="E96" s="1345"/>
      <c r="F96" s="1345"/>
      <c r="G96" s="1345"/>
      <c r="H96" s="1345"/>
      <c r="I96" s="1345"/>
      <c r="J96" s="1345"/>
      <c r="K96" s="1345"/>
      <c r="L96" s="1345"/>
      <c r="M96" s="1345"/>
      <c r="N96" s="1341"/>
    </row>
    <row r="97" spans="2:14" ht="20.100000000000001" hidden="1" customHeight="1" x14ac:dyDescent="0.2">
      <c r="B97" s="1943"/>
      <c r="C97" s="1343"/>
      <c r="D97" s="1344"/>
      <c r="E97" s="1345"/>
      <c r="F97" s="1345"/>
      <c r="G97" s="1345"/>
      <c r="H97" s="1345"/>
      <c r="I97" s="1345"/>
      <c r="J97" s="1345"/>
      <c r="K97" s="1345"/>
      <c r="L97" s="1345"/>
      <c r="M97" s="1345"/>
      <c r="N97" s="1341"/>
    </row>
    <row r="98" spans="2:14" ht="20.100000000000001" hidden="1" customHeight="1" x14ac:dyDescent="0.2">
      <c r="B98" s="1943"/>
      <c r="C98" s="1343"/>
      <c r="D98" s="1344"/>
      <c r="E98" s="1345"/>
      <c r="F98" s="1345"/>
      <c r="G98" s="1345"/>
      <c r="H98" s="1345"/>
      <c r="I98" s="1345"/>
      <c r="J98" s="1345"/>
      <c r="K98" s="1345"/>
      <c r="L98" s="1345"/>
      <c r="M98" s="1345"/>
      <c r="N98" s="1341"/>
    </row>
    <row r="99" spans="2:14" ht="20.100000000000001" hidden="1" customHeight="1" x14ac:dyDescent="0.2">
      <c r="B99" s="1943"/>
      <c r="C99" s="1343"/>
      <c r="D99" s="1344"/>
      <c r="E99" s="1345"/>
      <c r="F99" s="1345"/>
      <c r="G99" s="1345"/>
      <c r="H99" s="1345"/>
      <c r="I99" s="1345"/>
      <c r="J99" s="1345"/>
      <c r="K99" s="1345"/>
      <c r="L99" s="1345"/>
      <c r="M99" s="1345"/>
      <c r="N99" s="1341"/>
    </row>
    <row r="100" spans="2:14" ht="20.100000000000001" hidden="1" customHeight="1" x14ac:dyDescent="0.2">
      <c r="B100" s="1943"/>
      <c r="C100" s="1343"/>
      <c r="D100" s="1344"/>
      <c r="E100" s="1345"/>
      <c r="F100" s="1345"/>
      <c r="G100" s="1345"/>
      <c r="H100" s="1345"/>
      <c r="I100" s="1345"/>
      <c r="J100" s="1345"/>
      <c r="K100" s="1345"/>
      <c r="L100" s="1345"/>
      <c r="M100" s="1345"/>
      <c r="N100" s="1341"/>
    </row>
    <row r="101" spans="2:14" ht="20.100000000000001" hidden="1" customHeight="1" x14ac:dyDescent="0.2">
      <c r="B101" s="1943"/>
      <c r="C101" s="1343"/>
      <c r="D101" s="1344"/>
      <c r="E101" s="1345"/>
      <c r="F101" s="1345"/>
      <c r="G101" s="1345"/>
      <c r="H101" s="1345"/>
      <c r="I101" s="1345"/>
      <c r="J101" s="1345"/>
      <c r="K101" s="1345"/>
      <c r="L101" s="1345"/>
      <c r="M101" s="1345"/>
      <c r="N101" s="1341"/>
    </row>
    <row r="102" spans="2:14" ht="20.100000000000001" hidden="1" customHeight="1" x14ac:dyDescent="0.2">
      <c r="B102" s="1943"/>
      <c r="C102" s="1343"/>
      <c r="D102" s="1344"/>
      <c r="E102" s="1345"/>
      <c r="F102" s="1345"/>
      <c r="G102" s="1345"/>
      <c r="H102" s="1345"/>
      <c r="I102" s="1345"/>
      <c r="J102" s="1345"/>
      <c r="K102" s="1345"/>
      <c r="L102" s="1345"/>
      <c r="M102" s="1345"/>
      <c r="N102" s="1341"/>
    </row>
    <row r="103" spans="2:14" ht="20.100000000000001" customHeight="1" x14ac:dyDescent="0.2">
      <c r="B103" s="1943"/>
      <c r="C103" s="1343"/>
      <c r="D103" s="1344"/>
      <c r="E103" s="1345"/>
      <c r="F103" s="1345"/>
      <c r="G103" s="1345"/>
      <c r="H103" s="1345"/>
      <c r="I103" s="1345"/>
      <c r="J103" s="1345"/>
      <c r="K103" s="1345"/>
      <c r="L103" s="1345"/>
      <c r="M103" s="1345"/>
      <c r="N103" s="1341"/>
    </row>
    <row r="104" spans="2:14" ht="20.100000000000001" customHeight="1" x14ac:dyDescent="0.2">
      <c r="B104" s="1943"/>
      <c r="C104" s="1343"/>
      <c r="D104" s="1344"/>
      <c r="E104" s="1345"/>
      <c r="F104" s="1345"/>
      <c r="G104" s="1345"/>
      <c r="H104" s="1345"/>
      <c r="I104" s="1345"/>
      <c r="J104" s="1345"/>
      <c r="K104" s="1345"/>
      <c r="L104" s="1345"/>
      <c r="M104" s="1345"/>
      <c r="N104" s="1341"/>
    </row>
    <row r="105" spans="2:14" ht="20.100000000000001" customHeight="1" x14ac:dyDescent="0.2">
      <c r="B105" s="1943"/>
      <c r="C105" s="1343"/>
      <c r="D105" s="1344"/>
      <c r="E105" s="1345"/>
      <c r="F105" s="1345"/>
      <c r="G105" s="1345"/>
      <c r="H105" s="1345"/>
      <c r="I105" s="1345"/>
      <c r="J105" s="1345"/>
      <c r="K105" s="1345"/>
      <c r="L105" s="1345"/>
      <c r="M105" s="1345"/>
      <c r="N105" s="1341"/>
    </row>
    <row r="106" spans="2:14" ht="20.100000000000001" customHeight="1" x14ac:dyDescent="0.2">
      <c r="B106" s="1943"/>
      <c r="C106" s="1343"/>
      <c r="D106" s="1344"/>
      <c r="E106" s="1345"/>
      <c r="F106" s="1345"/>
      <c r="G106" s="1345"/>
      <c r="H106" s="1345"/>
      <c r="I106" s="1345"/>
      <c r="J106" s="1345"/>
      <c r="K106" s="1345"/>
      <c r="L106" s="1345"/>
      <c r="M106" s="1345"/>
      <c r="N106" s="1341"/>
    </row>
    <row r="107" spans="2:14" ht="20.100000000000001" customHeight="1" x14ac:dyDescent="0.2">
      <c r="B107" s="1943"/>
      <c r="C107" s="1343"/>
      <c r="D107" s="1344"/>
      <c r="E107" s="1345"/>
      <c r="F107" s="1345"/>
      <c r="G107" s="1345"/>
      <c r="H107" s="1345"/>
      <c r="I107" s="1345"/>
      <c r="J107" s="1345"/>
      <c r="K107" s="1345"/>
      <c r="L107" s="1345"/>
      <c r="M107" s="1345"/>
      <c r="N107" s="1341"/>
    </row>
    <row r="108" spans="2:14" ht="20.100000000000001" customHeight="1" x14ac:dyDescent="0.2">
      <c r="B108" s="1943"/>
      <c r="C108" s="1343"/>
      <c r="D108" s="1344"/>
      <c r="E108" s="1345"/>
      <c r="F108" s="1345"/>
      <c r="G108" s="1345"/>
      <c r="H108" s="1345"/>
      <c r="I108" s="1345"/>
      <c r="J108" s="1345"/>
      <c r="K108" s="1345"/>
      <c r="L108" s="1345"/>
      <c r="M108" s="1345"/>
      <c r="N108" s="1341"/>
    </row>
    <row r="109" spans="2:14" ht="12.75" customHeight="1" x14ac:dyDescent="0.2">
      <c r="B109" s="1342"/>
      <c r="C109" s="1343"/>
      <c r="D109" s="1344"/>
      <c r="E109" s="1345"/>
      <c r="F109" s="1345"/>
      <c r="G109" s="1345"/>
      <c r="H109" s="1345"/>
      <c r="I109" s="1345"/>
      <c r="J109" s="1345"/>
      <c r="K109" s="1345"/>
      <c r="L109" s="1345"/>
      <c r="M109" s="1345"/>
      <c r="N109" s="1341"/>
    </row>
    <row r="110" spans="2:14" x14ac:dyDescent="0.2">
      <c r="B110" s="1254"/>
      <c r="C110" s="1346"/>
      <c r="D110" s="1347"/>
      <c r="E110" s="1254"/>
      <c r="F110" s="1254"/>
      <c r="G110" s="1247"/>
      <c r="H110" s="1247"/>
      <c r="I110" s="1247"/>
      <c r="J110" s="1247"/>
      <c r="K110" s="1247"/>
      <c r="L110" s="1247"/>
      <c r="M110" s="1254"/>
      <c r="N110" s="1341"/>
    </row>
    <row r="111" spans="2:14" ht="13.5" customHeight="1" x14ac:dyDescent="0.2">
      <c r="B111" s="1279" t="s">
        <v>1733</v>
      </c>
      <c r="C111" s="1346"/>
      <c r="D111" s="1347"/>
      <c r="E111" s="1254"/>
      <c r="F111" s="1254"/>
      <c r="G111" s="1247"/>
      <c r="H111" s="1247"/>
      <c r="I111" s="1247"/>
      <c r="J111" s="1247"/>
      <c r="K111" s="1247"/>
      <c r="L111" s="1247"/>
      <c r="M111" s="1254"/>
      <c r="N111" s="1341"/>
    </row>
    <row r="112" spans="2:14" ht="8.25" customHeight="1" x14ac:dyDescent="0.2">
      <c r="B112" s="1279"/>
      <c r="C112" s="1346"/>
      <c r="D112" s="1347"/>
      <c r="E112" s="1254"/>
      <c r="F112" s="1254"/>
      <c r="G112" s="1247"/>
      <c r="H112" s="1247"/>
      <c r="I112" s="1247"/>
      <c r="J112" s="1247"/>
      <c r="K112" s="1247"/>
      <c r="L112" s="1247"/>
      <c r="M112" s="1254"/>
      <c r="N112" s="1341"/>
    </row>
    <row r="113" spans="2:13" x14ac:dyDescent="0.2">
      <c r="B113" s="1348" t="s">
        <v>1836</v>
      </c>
      <c r="C113" s="1349"/>
      <c r="D113" s="1350"/>
      <c r="E113" s="1351"/>
      <c r="F113" s="1351"/>
      <c r="G113" s="1351"/>
      <c r="H113" s="1351"/>
      <c r="I113" s="317"/>
      <c r="J113" s="317"/>
    </row>
    <row r="114" spans="2:13" x14ac:dyDescent="0.2">
      <c r="B114" s="1274"/>
      <c r="C114" s="1352"/>
      <c r="D114" s="1353"/>
      <c r="E114" s="1275"/>
      <c r="F114" s="1275"/>
      <c r="G114" s="317"/>
      <c r="H114" s="317"/>
      <c r="I114" s="317"/>
      <c r="J114" s="317"/>
    </row>
    <row r="115" spans="2:13" ht="13.5" customHeight="1" x14ac:dyDescent="0.2">
      <c r="B115" s="1273" t="s">
        <v>1245</v>
      </c>
      <c r="G115" s="317"/>
      <c r="H115" s="317"/>
      <c r="I115" s="317"/>
      <c r="J115" s="317"/>
    </row>
    <row r="116" spans="2:13" ht="13.5" customHeight="1" x14ac:dyDescent="0.2">
      <c r="B116" s="1356"/>
      <c r="C116" s="1357"/>
      <c r="D116" s="1358"/>
      <c r="E116" s="1294"/>
      <c r="F116" s="1294"/>
      <c r="G116" s="1294"/>
      <c r="H116" s="1294"/>
      <c r="I116" s="1294"/>
      <c r="J116" s="1294"/>
      <c r="K116" s="1359"/>
      <c r="L116" s="1359"/>
      <c r="M116" s="1294"/>
    </row>
    <row r="117" spans="2:13" ht="9.6" customHeight="1" x14ac:dyDescent="0.2">
      <c r="B117" s="1360"/>
      <c r="G117" s="317"/>
      <c r="H117" s="317"/>
      <c r="I117" s="317"/>
      <c r="J117" s="317"/>
    </row>
    <row r="118" spans="2:13" ht="11.25" customHeight="1" x14ac:dyDescent="0.2">
      <c r="B118" s="1361" t="s">
        <v>1734</v>
      </c>
      <c r="C118" s="1362"/>
      <c r="D118" s="1362"/>
      <c r="E118" s="1362"/>
      <c r="F118" s="1362"/>
      <c r="G118" s="1362"/>
      <c r="H118" s="1362"/>
      <c r="I118" s="1363"/>
      <c r="J118" s="1363"/>
      <c r="K118" s="1363"/>
      <c r="L118" s="1363"/>
      <c r="M118" s="1363"/>
    </row>
    <row r="119" spans="2:13" ht="11.25" customHeight="1" x14ac:dyDescent="0.2">
      <c r="B119" s="1364" t="s">
        <v>1583</v>
      </c>
      <c r="C119" s="1363"/>
      <c r="D119" s="1363"/>
      <c r="E119" s="1363"/>
      <c r="F119" s="1363"/>
      <c r="G119" s="1363"/>
      <c r="H119" s="1363"/>
      <c r="I119" s="1363"/>
      <c r="J119" s="1363"/>
      <c r="K119" s="1363"/>
      <c r="L119" s="1363"/>
      <c r="M119" s="1363"/>
    </row>
    <row r="120" spans="2:13" ht="3.95" customHeight="1" x14ac:dyDescent="0.2">
      <c r="B120" s="1364"/>
      <c r="C120" s="1363"/>
      <c r="D120" s="1363"/>
      <c r="E120" s="1363"/>
      <c r="F120" s="1363"/>
      <c r="G120" s="1363"/>
      <c r="H120" s="1363"/>
      <c r="I120" s="1363"/>
      <c r="J120" s="1363"/>
      <c r="K120" s="1363"/>
      <c r="L120" s="1363"/>
      <c r="M120" s="1363"/>
    </row>
    <row r="121" spans="2:13" ht="11.25" customHeight="1" x14ac:dyDescent="0.2">
      <c r="B121" s="1361" t="s">
        <v>1735</v>
      </c>
      <c r="C121" s="1363"/>
      <c r="D121" s="1363"/>
      <c r="E121" s="1363"/>
      <c r="F121" s="1363"/>
      <c r="G121" s="1363"/>
      <c r="H121" s="1363"/>
      <c r="I121" s="1363"/>
      <c r="J121" s="1363"/>
      <c r="K121" s="1363"/>
      <c r="L121" s="1363"/>
      <c r="M121" s="1363"/>
    </row>
    <row r="122" spans="2:13" ht="11.25" customHeight="1" x14ac:dyDescent="0.2">
      <c r="B122" s="1297" t="s">
        <v>1584</v>
      </c>
      <c r="C122" s="1365"/>
      <c r="D122" s="1366"/>
      <c r="E122" s="1297"/>
      <c r="F122" s="1297"/>
      <c r="G122" s="1297"/>
      <c r="H122" s="1297"/>
      <c r="I122" s="1297"/>
      <c r="J122" s="1297"/>
      <c r="K122" s="1367"/>
      <c r="L122" s="1367"/>
      <c r="M122" s="1297"/>
    </row>
    <row r="123" spans="2:13" ht="3.95" customHeight="1" x14ac:dyDescent="0.2">
      <c r="B123" s="1297"/>
      <c r="C123" s="1365"/>
      <c r="D123" s="1366"/>
      <c r="E123" s="1297"/>
      <c r="F123" s="1297"/>
      <c r="G123" s="1297"/>
      <c r="H123" s="1297"/>
      <c r="I123" s="1297"/>
      <c r="J123" s="1297"/>
      <c r="K123" s="1367"/>
      <c r="L123" s="1367"/>
      <c r="M123" s="1297"/>
    </row>
    <row r="124" spans="2:13" ht="11.25" customHeight="1" x14ac:dyDescent="0.2">
      <c r="B124" s="1368" t="s">
        <v>1736</v>
      </c>
      <c r="C124" s="1365"/>
      <c r="D124" s="1366"/>
      <c r="E124" s="1297"/>
      <c r="F124" s="1297"/>
      <c r="G124" s="1297"/>
      <c r="H124" s="1297"/>
      <c r="I124" s="1297"/>
      <c r="J124" s="1297"/>
      <c r="K124" s="1367"/>
      <c r="L124" s="1367"/>
      <c r="M124" s="1297"/>
    </row>
    <row r="125" spans="2:13" ht="3.95" customHeight="1" x14ac:dyDescent="0.2">
      <c r="B125" s="1368"/>
      <c r="C125" s="1365"/>
      <c r="D125" s="1366"/>
      <c r="E125" s="1297"/>
      <c r="F125" s="1297"/>
      <c r="G125" s="1297"/>
      <c r="H125" s="1297"/>
      <c r="I125" s="1297"/>
      <c r="J125" s="1297"/>
      <c r="K125" s="1367"/>
      <c r="L125" s="1367"/>
      <c r="M125" s="1297"/>
    </row>
    <row r="126" spans="2:13" ht="11.25" customHeight="1" x14ac:dyDescent="0.2">
      <c r="B126" s="1369" t="s">
        <v>1737</v>
      </c>
      <c r="C126" s="1365"/>
      <c r="D126" s="1366"/>
      <c r="E126" s="1297"/>
      <c r="F126" s="1297"/>
      <c r="G126" s="1297"/>
      <c r="H126" s="1297"/>
      <c r="I126" s="1297"/>
      <c r="J126" s="1297"/>
      <c r="K126" s="1367"/>
      <c r="L126" s="1367"/>
      <c r="M126" s="1297"/>
    </row>
    <row r="127" spans="2:13" ht="11.25" customHeight="1" x14ac:dyDescent="0.2">
      <c r="B127" s="1297" t="s">
        <v>1585</v>
      </c>
      <c r="G127" s="317"/>
      <c r="H127" s="317"/>
      <c r="I127" s="317"/>
      <c r="J127" s="317"/>
    </row>
    <row r="128" spans="2:13" ht="11.1" customHeight="1" x14ac:dyDescent="0.2">
      <c r="B128" s="1297"/>
      <c r="G128" s="317"/>
      <c r="H128" s="317"/>
      <c r="I128" s="317"/>
      <c r="J128" s="317"/>
    </row>
    <row r="129" spans="2:13" ht="11.1" customHeight="1" x14ac:dyDescent="0.2">
      <c r="B129" s="1297"/>
      <c r="G129" s="317"/>
      <c r="H129" s="317"/>
      <c r="I129" s="317"/>
      <c r="J129" s="317"/>
    </row>
    <row r="130" spans="2:13" ht="13.5" customHeight="1" x14ac:dyDescent="0.2">
      <c r="M130" s="1370"/>
    </row>
    <row r="131" spans="2:13" ht="13.5" customHeight="1" x14ac:dyDescent="0.2">
      <c r="M131" s="1370"/>
    </row>
    <row r="132" spans="2:13" ht="13.5" customHeight="1" x14ac:dyDescent="0.2">
      <c r="M132" s="1370"/>
    </row>
    <row r="133" spans="2:13" ht="13.5" customHeight="1" x14ac:dyDescent="0.2">
      <c r="G133" s="317"/>
      <c r="H133" s="317"/>
      <c r="I133" s="317"/>
      <c r="J133" s="317"/>
    </row>
    <row r="134" spans="2:13" ht="13.5" customHeight="1" x14ac:dyDescent="0.2">
      <c r="G134" s="317"/>
      <c r="H134" s="317"/>
      <c r="I134" s="317"/>
      <c r="J134" s="317"/>
    </row>
    <row r="135" spans="2:13" ht="13.5" customHeight="1" x14ac:dyDescent="0.2">
      <c r="G135" s="317"/>
      <c r="H135" s="317"/>
      <c r="I135" s="317"/>
      <c r="J135" s="317"/>
    </row>
    <row r="136" spans="2:13" ht="13.5" customHeight="1" x14ac:dyDescent="0.2">
      <c r="G136" s="317"/>
      <c r="H136" s="317"/>
      <c r="I136" s="317"/>
      <c r="J136" s="317"/>
    </row>
    <row r="137" spans="2:13" ht="13.5" customHeight="1" x14ac:dyDescent="0.2">
      <c r="G137" s="317"/>
      <c r="H137" s="317"/>
      <c r="I137" s="317"/>
      <c r="J137" s="317"/>
    </row>
    <row r="138" spans="2:13" ht="13.5" customHeight="1" x14ac:dyDescent="0.2">
      <c r="G138" s="317"/>
      <c r="H138" s="317"/>
      <c r="I138" s="317"/>
      <c r="J138" s="317"/>
    </row>
    <row r="139" spans="2:13" ht="13.5" customHeight="1" x14ac:dyDescent="0.2">
      <c r="G139" s="317"/>
      <c r="H139" s="317"/>
      <c r="I139" s="317"/>
      <c r="J139" s="317"/>
    </row>
    <row r="140" spans="2:13" ht="13.5" customHeight="1" x14ac:dyDescent="0.2"/>
    <row r="141" spans="2:13" ht="13.5" customHeight="1" x14ac:dyDescent="0.2"/>
    <row r="142" spans="2:13" ht="13.5" customHeight="1" x14ac:dyDescent="0.2"/>
    <row r="143" spans="2:13" ht="25.5" customHeight="1" x14ac:dyDescent="0.2"/>
    <row r="144" spans="2:13" ht="25.5" customHeight="1" x14ac:dyDescent="0.2"/>
    <row r="145" ht="25.5" customHeight="1" x14ac:dyDescent="0.2"/>
    <row r="146" ht="25.5" customHeight="1" x14ac:dyDescent="0.2"/>
    <row r="147" ht="25.5" customHeight="1" x14ac:dyDescent="0.2"/>
    <row r="148" ht="25.5" customHeight="1" x14ac:dyDescent="0.2"/>
    <row r="149" ht="25.5" customHeight="1" x14ac:dyDescent="0.2"/>
    <row r="150" ht="25.5" customHeight="1" x14ac:dyDescent="0.2"/>
    <row r="151" ht="25.5" customHeight="1" x14ac:dyDescent="0.2"/>
    <row r="152" ht="25.5" customHeight="1" x14ac:dyDescent="0.2"/>
    <row r="153" ht="25.5" customHeight="1" x14ac:dyDescent="0.2"/>
    <row r="154" ht="25.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4.7" customHeight="1" x14ac:dyDescent="0.2"/>
    <row r="193" ht="12.2"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4.7" customHeight="1" x14ac:dyDescent="0.2"/>
    <row r="233" ht="12.2" customHeight="1" x14ac:dyDescent="0.2"/>
  </sheetData>
  <mergeCells count="4">
    <mergeCell ref="B1:M1"/>
    <mergeCell ref="B2:M2"/>
    <mergeCell ref="B3:M3"/>
    <mergeCell ref="B4:M4"/>
  </mergeCells>
  <pageMargins left="0.09" right="0" top="0.75" bottom="0.5" header="0.4" footer="0.25"/>
  <pageSetup scale="80"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3"/>
  <sheetViews>
    <sheetView showGridLines="0" topLeftCell="A7" zoomScale="120" zoomScaleNormal="120" workbookViewId="0">
      <selection activeCell="I8" sqref="I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Edwardsville CUSD 7</v>
      </c>
      <c r="B1" s="2456"/>
      <c r="C1" s="2456"/>
      <c r="D1" s="2456"/>
      <c r="E1" s="2456"/>
      <c r="F1" s="2456"/>
    </row>
    <row r="2" spans="1:7" ht="13.5" customHeight="1" x14ac:dyDescent="0.2">
      <c r="A2" s="2451">
        <f>'Single Audit Cover'!E7</f>
        <v>41057007026</v>
      </c>
      <c r="B2" s="2451"/>
      <c r="C2" s="2451"/>
      <c r="D2" s="2451"/>
      <c r="E2" s="2451"/>
      <c r="F2" s="2451"/>
      <c r="G2" s="1272"/>
    </row>
    <row r="3" spans="1:7" ht="15.75" customHeight="1" x14ac:dyDescent="0.2">
      <c r="A3" s="2457" t="s">
        <v>1270</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3" t="s">
        <v>1727</v>
      </c>
      <c r="C6" s="317"/>
      <c r="D6" s="317"/>
    </row>
    <row r="7" spans="1:7" ht="75.599999999999994" customHeight="1" x14ac:dyDescent="0.2">
      <c r="A7" s="2455" t="s">
        <v>2166</v>
      </c>
      <c r="B7" s="2455"/>
      <c r="C7" s="2455"/>
      <c r="D7" s="2455"/>
      <c r="E7" s="2455"/>
      <c r="F7" s="2455"/>
    </row>
    <row r="8" spans="1:7" ht="78" customHeight="1" x14ac:dyDescent="0.2">
      <c r="A8" s="2455" t="s">
        <v>2167</v>
      </c>
      <c r="B8" s="2455"/>
      <c r="C8" s="2455"/>
      <c r="D8" s="2455"/>
      <c r="E8" s="2455"/>
      <c r="F8" s="2455"/>
    </row>
    <row r="9" spans="1:7" ht="12" customHeight="1" x14ac:dyDescent="0.2">
      <c r="A9" s="1273"/>
      <c r="B9" s="1279"/>
      <c r="C9" s="1279"/>
      <c r="D9" s="1279"/>
    </row>
    <row r="10" spans="1:7" ht="15" customHeight="1" x14ac:dyDescent="0.2">
      <c r="A10" s="1274" t="s">
        <v>1728</v>
      </c>
      <c r="B10" s="1277"/>
      <c r="C10" s="1277"/>
      <c r="D10" s="1277"/>
      <c r="E10" s="1275"/>
      <c r="F10" s="1275"/>
      <c r="G10" s="1275"/>
    </row>
    <row r="11" spans="1:7" ht="15" customHeight="1" x14ac:dyDescent="0.2">
      <c r="A11" s="1276" t="s">
        <v>1546</v>
      </c>
      <c r="B11" s="1277"/>
      <c r="C11" s="1278"/>
      <c r="D11" s="1277" t="s">
        <v>1547</v>
      </c>
      <c r="E11" s="1278" t="s">
        <v>2162</v>
      </c>
      <c r="F11" s="1277" t="s">
        <v>99</v>
      </c>
      <c r="G11" s="1275"/>
    </row>
    <row r="12" spans="1:7" ht="12" customHeight="1" x14ac:dyDescent="0.2">
      <c r="A12" s="1276"/>
      <c r="B12" s="1277"/>
      <c r="C12" s="1902"/>
      <c r="D12" s="1277"/>
      <c r="E12" s="1902"/>
      <c r="F12" s="1277"/>
      <c r="G12" s="1275"/>
    </row>
    <row r="13" spans="1:7" x14ac:dyDescent="0.2">
      <c r="A13" s="1273" t="s">
        <v>1586</v>
      </c>
      <c r="C13" s="1257"/>
      <c r="D13" s="1257"/>
    </row>
    <row r="14" spans="1:7" ht="15" customHeight="1" x14ac:dyDescent="0.2">
      <c r="A14" s="2454" t="s">
        <v>2158</v>
      </c>
      <c r="B14" s="2454"/>
      <c r="C14" s="2454"/>
      <c r="D14" s="2454"/>
      <c r="E14" s="2454"/>
      <c r="F14" s="2454"/>
    </row>
    <row r="15" spans="1:7" ht="9.75" customHeight="1" x14ac:dyDescent="0.2">
      <c r="C15" s="1257"/>
      <c r="D15" s="1257"/>
    </row>
    <row r="16" spans="1:7" ht="13.5" customHeight="1" x14ac:dyDescent="0.2">
      <c r="C16" s="1846" t="s">
        <v>1269</v>
      </c>
      <c r="D16" s="2460" t="s">
        <v>1268</v>
      </c>
      <c r="E16" s="2460"/>
      <c r="F16" s="2460"/>
    </row>
    <row r="17" spans="1:6" ht="13.5" customHeight="1" x14ac:dyDescent="0.2">
      <c r="A17" s="1279"/>
      <c r="B17" s="1273" t="s">
        <v>1267</v>
      </c>
      <c r="C17" s="1846" t="s">
        <v>1266</v>
      </c>
      <c r="D17" s="2461" t="s">
        <v>1587</v>
      </c>
      <c r="E17" s="2461"/>
      <c r="F17" s="2461"/>
    </row>
    <row r="18" spans="1:6" ht="20.45" customHeight="1" x14ac:dyDescent="0.2">
      <c r="A18" s="1280"/>
      <c r="B18" s="1281" t="s">
        <v>2159</v>
      </c>
      <c r="C18" s="1282"/>
      <c r="D18" s="2459"/>
      <c r="E18" s="2459"/>
      <c r="F18" s="2459"/>
    </row>
    <row r="19" spans="1:6" ht="20.65" customHeight="1" x14ac:dyDescent="0.2">
      <c r="A19" s="1280"/>
      <c r="B19" s="1281"/>
      <c r="C19" s="1282"/>
      <c r="D19" s="2459"/>
      <c r="E19" s="2459"/>
      <c r="F19" s="2459"/>
    </row>
    <row r="20" spans="1:6" ht="20.65" customHeight="1" x14ac:dyDescent="0.2">
      <c r="A20" s="1280"/>
      <c r="B20" s="1281"/>
      <c r="C20" s="1282"/>
      <c r="D20" s="2459"/>
      <c r="E20" s="2459"/>
      <c r="F20" s="2459"/>
    </row>
    <row r="21" spans="1:6" ht="20.65" customHeight="1" x14ac:dyDescent="0.2">
      <c r="A21" s="1280"/>
      <c r="B21" s="1281"/>
      <c r="C21" s="1282"/>
      <c r="D21" s="2459"/>
      <c r="E21" s="2459"/>
      <c r="F21" s="2459"/>
    </row>
    <row r="22" spans="1:6" ht="20.65" customHeight="1" x14ac:dyDescent="0.2">
      <c r="A22" s="1280"/>
      <c r="B22" s="1281"/>
      <c r="C22" s="1282"/>
      <c r="D22" s="2459"/>
      <c r="E22" s="2459"/>
      <c r="F22" s="2459"/>
    </row>
    <row r="23" spans="1:6" ht="20.65" customHeight="1" x14ac:dyDescent="0.2">
      <c r="A23" s="1280"/>
      <c r="B23" s="1281"/>
      <c r="C23" s="1282"/>
      <c r="D23" s="2459"/>
      <c r="E23" s="2459"/>
      <c r="F23" s="2459"/>
    </row>
    <row r="24" spans="1:6" ht="20.65" customHeight="1" x14ac:dyDescent="0.2">
      <c r="A24" s="1280"/>
      <c r="B24" s="1281"/>
      <c r="C24" s="1282"/>
      <c r="D24" s="2459"/>
      <c r="E24" s="2459"/>
      <c r="F24" s="2459"/>
    </row>
    <row r="25" spans="1:6" ht="20.65" customHeight="1" x14ac:dyDescent="0.2">
      <c r="A25" s="1280"/>
      <c r="B25" s="1281"/>
      <c r="C25" s="1282"/>
      <c r="D25" s="2459"/>
      <c r="E25" s="2459"/>
      <c r="F25" s="2459"/>
    </row>
    <row r="26" spans="1:6" ht="20.65" customHeight="1" x14ac:dyDescent="0.2">
      <c r="A26" s="1280"/>
      <c r="B26" s="1281"/>
      <c r="C26" s="1282"/>
      <c r="D26" s="2459"/>
      <c r="E26" s="2459"/>
      <c r="F26" s="2459"/>
    </row>
    <row r="27" spans="1:6" ht="20.65" customHeight="1" x14ac:dyDescent="0.2">
      <c r="A27" s="1280"/>
      <c r="B27" s="1281"/>
      <c r="C27" s="1282"/>
      <c r="D27" s="2459"/>
      <c r="E27" s="2459"/>
      <c r="F27" s="2459"/>
    </row>
    <row r="28" spans="1:6" ht="20.65" customHeight="1" x14ac:dyDescent="0.2">
      <c r="A28" s="1280"/>
      <c r="B28" s="1281"/>
      <c r="C28" s="1282"/>
      <c r="D28" s="2459"/>
      <c r="E28" s="2459"/>
      <c r="F28" s="2459"/>
    </row>
    <row r="29" spans="1:6" ht="20.65" customHeight="1" x14ac:dyDescent="0.2">
      <c r="A29" s="1280"/>
      <c r="B29" s="1281"/>
      <c r="C29" s="1282"/>
      <c r="D29" s="2459"/>
      <c r="E29" s="2459"/>
      <c r="F29" s="2459"/>
    </row>
    <row r="30" spans="1:6" ht="20.65" customHeight="1" x14ac:dyDescent="0.2">
      <c r="A30" s="1280"/>
      <c r="B30" s="1281"/>
      <c r="C30" s="1282"/>
      <c r="D30" s="2459"/>
      <c r="E30" s="2459"/>
      <c r="F30" s="2459"/>
    </row>
    <row r="31" spans="1:6" ht="12" customHeight="1" x14ac:dyDescent="0.2">
      <c r="A31" s="328"/>
      <c r="B31" s="328"/>
      <c r="C31" s="1462"/>
      <c r="D31" s="1903"/>
      <c r="E31" s="1283"/>
    </row>
    <row r="32" spans="1:6" ht="12" customHeight="1" x14ac:dyDescent="0.2">
      <c r="A32" s="1284" t="s">
        <v>1548</v>
      </c>
      <c r="B32" s="328"/>
      <c r="C32" s="1462"/>
      <c r="D32" s="1903"/>
      <c r="E32" s="1283"/>
    </row>
    <row r="33" spans="1:6" ht="30" customHeight="1" x14ac:dyDescent="0.2">
      <c r="A33" s="2463" t="s">
        <v>2160</v>
      </c>
      <c r="B33" s="2463"/>
      <c r="C33" s="2463"/>
      <c r="D33" s="2463"/>
      <c r="E33" s="2463"/>
      <c r="F33" s="2463"/>
    </row>
    <row r="34" spans="1:6" ht="13.5" customHeight="1" x14ac:dyDescent="0.2">
      <c r="A34" s="328" t="s">
        <v>1433</v>
      </c>
      <c r="B34" s="328"/>
      <c r="C34" s="1285">
        <v>96361</v>
      </c>
      <c r="D34" s="1903"/>
      <c r="E34" s="1283"/>
    </row>
    <row r="35" spans="1:6" ht="13.5" customHeight="1" x14ac:dyDescent="0.2">
      <c r="A35" s="328" t="s">
        <v>1834</v>
      </c>
      <c r="B35" s="328"/>
      <c r="C35" s="1286">
        <v>0</v>
      </c>
      <c r="D35" s="1903" t="s">
        <v>1588</v>
      </c>
      <c r="E35" s="2464">
        <f>+C34+C35</f>
        <v>96361</v>
      </c>
      <c r="F35" s="2465"/>
    </row>
    <row r="36" spans="1:6" ht="12" customHeight="1" x14ac:dyDescent="0.2">
      <c r="A36" s="328"/>
      <c r="B36" s="328"/>
      <c r="C36" s="1904"/>
      <c r="D36" s="1903"/>
      <c r="E36" s="1287"/>
      <c r="F36" s="1288"/>
    </row>
    <row r="37" spans="1:6" ht="13.5" customHeight="1" x14ac:dyDescent="0.2">
      <c r="A37" s="1284" t="s">
        <v>1549</v>
      </c>
      <c r="B37" s="328"/>
      <c r="C37" s="1462"/>
      <c r="D37" s="1903"/>
      <c r="E37" s="1283"/>
    </row>
    <row r="38" spans="1:6" ht="14.25" customHeight="1" x14ac:dyDescent="0.2">
      <c r="A38" s="328" t="s">
        <v>1483</v>
      </c>
      <c r="B38" s="328"/>
      <c r="C38" s="1905"/>
      <c r="D38" s="1903"/>
      <c r="E38" s="1283"/>
    </row>
    <row r="39" spans="1:6" ht="14.25" customHeight="1" x14ac:dyDescent="0.2">
      <c r="A39" s="328"/>
      <c r="B39" s="328" t="s">
        <v>1434</v>
      </c>
      <c r="C39" s="1289" t="s">
        <v>981</v>
      </c>
      <c r="D39" s="1903"/>
      <c r="E39" s="1283"/>
    </row>
    <row r="40" spans="1:6" ht="14.25" customHeight="1" x14ac:dyDescent="0.2">
      <c r="A40" s="328"/>
      <c r="B40" s="328" t="s">
        <v>1435</v>
      </c>
      <c r="C40" s="1289" t="s">
        <v>981</v>
      </c>
      <c r="D40" s="1903"/>
      <c r="E40" s="1283"/>
    </row>
    <row r="41" spans="1:6" ht="14.25" customHeight="1" x14ac:dyDescent="0.2">
      <c r="A41" s="328"/>
      <c r="B41" s="328" t="s">
        <v>1436</v>
      </c>
      <c r="C41" s="1289" t="s">
        <v>981</v>
      </c>
      <c r="D41" s="1903"/>
      <c r="E41" s="1283"/>
    </row>
    <row r="42" spans="1:6" ht="14.25" customHeight="1" x14ac:dyDescent="0.2">
      <c r="A42" s="328"/>
      <c r="B42" s="328" t="s">
        <v>1437</v>
      </c>
      <c r="C42" s="1289" t="s">
        <v>981</v>
      </c>
      <c r="D42" s="1903"/>
      <c r="E42" s="1283"/>
    </row>
    <row r="43" spans="1:6" ht="14.25" customHeight="1" x14ac:dyDescent="0.2">
      <c r="A43" s="328" t="s">
        <v>1438</v>
      </c>
      <c r="B43" s="328"/>
      <c r="C43" s="1901">
        <v>0</v>
      </c>
      <c r="D43" s="1903"/>
      <c r="E43" s="1283"/>
    </row>
    <row r="44" spans="1:6" ht="14.25" customHeight="1" x14ac:dyDescent="0.2">
      <c r="A44" s="328" t="s">
        <v>1439</v>
      </c>
      <c r="B44" s="328"/>
      <c r="C44" s="1290" t="s">
        <v>382</v>
      </c>
      <c r="D44" s="1903"/>
      <c r="E44" s="1283"/>
    </row>
    <row r="45" spans="1:6" ht="14.25" customHeight="1" x14ac:dyDescent="0.2">
      <c r="A45" s="328"/>
      <c r="B45" s="328"/>
      <c r="C45" s="1905" t="s">
        <v>1440</v>
      </c>
      <c r="D45" s="1903"/>
      <c r="E45" s="1283"/>
    </row>
    <row r="46" spans="1:6" ht="13.5" customHeight="1" x14ac:dyDescent="0.2">
      <c r="B46" s="322"/>
      <c r="C46" s="1291"/>
      <c r="D46" s="1291"/>
    </row>
    <row r="47" spans="1:6" x14ac:dyDescent="0.2">
      <c r="A47" s="1292" t="s">
        <v>1729</v>
      </c>
      <c r="C47" s="317"/>
      <c r="D47" s="317"/>
    </row>
    <row r="48" spans="1:6" s="322" customFormat="1" ht="11.25" customHeight="1" x14ac:dyDescent="0.2">
      <c r="A48" s="1293"/>
      <c r="B48" s="1294"/>
      <c r="C48" s="1294"/>
      <c r="D48" s="1294"/>
      <c r="E48" s="1294"/>
      <c r="F48" s="1294"/>
    </row>
    <row r="49" spans="1:5" s="322" customFormat="1" ht="6" customHeight="1" x14ac:dyDescent="0.2">
      <c r="A49" s="1295"/>
    </row>
    <row r="50" spans="1:5" s="1297" customFormat="1" ht="23.25" customHeight="1" x14ac:dyDescent="0.2">
      <c r="A50" s="1296">
        <v>5</v>
      </c>
      <c r="B50" s="2466" t="s">
        <v>1589</v>
      </c>
      <c r="C50" s="2466"/>
      <c r="D50" s="2466"/>
      <c r="E50" s="1396"/>
    </row>
    <row r="51" spans="1:5" s="1297" customFormat="1" ht="3.75" customHeight="1" x14ac:dyDescent="0.2">
      <c r="A51" s="1296"/>
      <c r="B51" s="1845"/>
      <c r="C51" s="1845"/>
      <c r="D51" s="1845"/>
      <c r="E51" s="1396"/>
    </row>
    <row r="52" spans="1:5" s="1297" customFormat="1" ht="20.25" customHeight="1" x14ac:dyDescent="0.2">
      <c r="A52" s="1298">
        <v>6</v>
      </c>
      <c r="B52" s="2462" t="s">
        <v>1550</v>
      </c>
      <c r="C52" s="2462"/>
      <c r="D52" s="2462"/>
    </row>
    <row r="53" spans="1:5" ht="14.25" customHeight="1" x14ac:dyDescent="0.2">
      <c r="A53" s="1298"/>
      <c r="B53" s="2462"/>
      <c r="C53" s="2462"/>
      <c r="D53" s="2462"/>
    </row>
  </sheetData>
  <mergeCells count="27">
    <mergeCell ref="B52:D52"/>
    <mergeCell ref="B53:D53"/>
    <mergeCell ref="D28:F28"/>
    <mergeCell ref="D29:F29"/>
    <mergeCell ref="D30:F30"/>
    <mergeCell ref="A33:F33"/>
    <mergeCell ref="E35:F35"/>
    <mergeCell ref="B50:D50"/>
    <mergeCell ref="D27:F27"/>
    <mergeCell ref="D16:F16"/>
    <mergeCell ref="D17:F17"/>
    <mergeCell ref="D18:F18"/>
    <mergeCell ref="D19:F19"/>
    <mergeCell ref="D20:F20"/>
    <mergeCell ref="D21:F21"/>
    <mergeCell ref="D22:F22"/>
    <mergeCell ref="D23:F23"/>
    <mergeCell ref="D24:F24"/>
    <mergeCell ref="D25:F25"/>
    <mergeCell ref="D26:F26"/>
    <mergeCell ref="A14:F14"/>
    <mergeCell ref="A7:F7"/>
    <mergeCell ref="A1:F1"/>
    <mergeCell ref="A2:F2"/>
    <mergeCell ref="A3:F3"/>
    <mergeCell ref="A4:F4"/>
    <mergeCell ref="A8:F8"/>
  </mergeCells>
  <pageMargins left="0.9" right="0.27" top="0.43" bottom="0" header="0.26" footer="0.5"/>
  <pageSetup scale="84"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I50" sqref="I5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Edwardsville CUSD 7</v>
      </c>
      <c r="C1" s="2472"/>
      <c r="D1" s="2472"/>
      <c r="E1" s="2472"/>
      <c r="F1" s="2472"/>
      <c r="G1" s="2472"/>
      <c r="H1" s="2472"/>
      <c r="I1" s="2472"/>
      <c r="J1" s="1406"/>
    </row>
    <row r="2" spans="2:10" s="317" customFormat="1" ht="12.75" customHeight="1" x14ac:dyDescent="0.2">
      <c r="B2" s="2473">
        <f>'Single Audit Cover'!E7</f>
        <v>41057007026</v>
      </c>
      <c r="C2" s="2474"/>
      <c r="D2" s="2474"/>
      <c r="E2" s="2474"/>
      <c r="F2" s="2474"/>
      <c r="G2" s="2474"/>
      <c r="H2" s="2474"/>
      <c r="I2" s="2474"/>
      <c r="J2" s="1406"/>
    </row>
    <row r="3" spans="2:10" s="317" customFormat="1" ht="12.75" customHeight="1" x14ac:dyDescent="0.2">
      <c r="B3" s="2475" t="s">
        <v>1284</v>
      </c>
      <c r="C3" s="2476"/>
      <c r="D3" s="2476"/>
      <c r="E3" s="2476"/>
      <c r="F3" s="2476"/>
      <c r="G3" s="2476"/>
      <c r="H3" s="2476"/>
      <c r="I3" s="2476"/>
      <c r="J3" s="1407"/>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5" t="s">
        <v>1283</v>
      </c>
      <c r="C7" s="2476"/>
      <c r="D7" s="2476"/>
      <c r="E7" s="2476"/>
      <c r="F7" s="2476"/>
      <c r="G7" s="2476"/>
      <c r="H7" s="2476"/>
      <c r="I7" s="2476"/>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7" t="s">
        <v>2161</v>
      </c>
      <c r="D11" s="2477"/>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2162</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2162</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2162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2162</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2162</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8" t="s">
        <v>2161</v>
      </c>
      <c r="E29" s="2478"/>
      <c r="F29" s="2478"/>
      <c r="G29" s="2478"/>
      <c r="H29" s="2478"/>
      <c r="I29" s="2478"/>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2162</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79" t="s">
        <v>1747</v>
      </c>
      <c r="D37" s="2480"/>
      <c r="E37" s="2480"/>
      <c r="F37" s="2481"/>
      <c r="G37" s="2479" t="s">
        <v>1591</v>
      </c>
      <c r="H37" s="2480"/>
      <c r="I37" s="2481"/>
    </row>
    <row r="38" spans="2:9" ht="16.5" customHeight="1" x14ac:dyDescent="0.2">
      <c r="B38" s="1428" t="s">
        <v>2163</v>
      </c>
      <c r="C38" s="2467" t="s">
        <v>2164</v>
      </c>
      <c r="D38" s="2468"/>
      <c r="E38" s="2468"/>
      <c r="F38" s="2469"/>
      <c r="G38" s="2482" t="s">
        <v>2165</v>
      </c>
      <c r="H38" s="2483"/>
      <c r="I38" s="2484"/>
    </row>
    <row r="39" spans="2:9" ht="16.5" customHeight="1" x14ac:dyDescent="0.2">
      <c r="B39" s="1428"/>
      <c r="C39" s="2467"/>
      <c r="D39" s="2468"/>
      <c r="E39" s="2468"/>
      <c r="F39" s="2469"/>
      <c r="G39" s="2470"/>
      <c r="H39" s="2470"/>
      <c r="I39" s="2470"/>
    </row>
    <row r="40" spans="2:9" ht="16.5" customHeight="1" x14ac:dyDescent="0.2">
      <c r="B40" s="1428"/>
      <c r="C40" s="2467"/>
      <c r="D40" s="2468"/>
      <c r="E40" s="2468"/>
      <c r="F40" s="2469"/>
      <c r="G40" s="2470"/>
      <c r="H40" s="2470"/>
      <c r="I40" s="2470"/>
    </row>
    <row r="41" spans="2:9" ht="16.5" customHeight="1" x14ac:dyDescent="0.2">
      <c r="B41" s="1428"/>
      <c r="C41" s="2467"/>
      <c r="D41" s="2468"/>
      <c r="E41" s="2468"/>
      <c r="F41" s="2469"/>
      <c r="G41" s="2470"/>
      <c r="H41" s="2470"/>
      <c r="I41" s="2470"/>
    </row>
    <row r="42" spans="2:9" ht="16.5" customHeight="1" x14ac:dyDescent="0.2">
      <c r="B42" s="1428"/>
      <c r="C42" s="2467"/>
      <c r="D42" s="2468"/>
      <c r="E42" s="2468"/>
      <c r="F42" s="2469"/>
      <c r="G42" s="2470"/>
      <c r="H42" s="2470"/>
      <c r="I42" s="2470"/>
    </row>
    <row r="43" spans="2:9" ht="16.5" customHeight="1" x14ac:dyDescent="0.2">
      <c r="B43" s="1428"/>
      <c r="C43" s="2485" t="s">
        <v>1592</v>
      </c>
      <c r="D43" s="2486"/>
      <c r="E43" s="2486"/>
      <c r="F43" s="2487"/>
      <c r="G43" s="2488">
        <v>836914</v>
      </c>
      <c r="H43" s="2488"/>
      <c r="I43" s="2488"/>
    </row>
    <row r="44" spans="2:9" ht="12.75" customHeight="1" x14ac:dyDescent="0.2"/>
    <row r="45" spans="2:9" ht="12.75" customHeight="1" x14ac:dyDescent="0.2">
      <c r="B45" s="1419" t="s">
        <v>1837</v>
      </c>
      <c r="D45" s="2489">
        <v>3128760</v>
      </c>
      <c r="E45" s="2490"/>
    </row>
    <row r="46" spans="2:9" ht="5.25" customHeight="1" x14ac:dyDescent="0.2">
      <c r="B46" s="1429"/>
      <c r="D46" s="1430"/>
      <c r="E46" s="1431"/>
    </row>
    <row r="47" spans="2:9" ht="12.75" customHeight="1" x14ac:dyDescent="0.2">
      <c r="B47" s="1297" t="s">
        <v>1593</v>
      </c>
      <c r="C47" s="1297"/>
      <c r="D47" s="1432">
        <f>+G43/D45</f>
        <v>0.26749063526764599</v>
      </c>
      <c r="E47" s="1433"/>
      <c r="F47" s="1434"/>
      <c r="I47" s="1435"/>
    </row>
    <row r="48" spans="2:9" ht="9.9499999999999993" customHeight="1" x14ac:dyDescent="0.2"/>
    <row r="49" spans="1:9" x14ac:dyDescent="0.2">
      <c r="B49" s="1365" t="s">
        <v>1272</v>
      </c>
      <c r="C49" s="1279"/>
      <c r="D49" s="1279"/>
      <c r="E49" s="2491">
        <v>75000</v>
      </c>
      <c r="F49" s="2491"/>
      <c r="G49" s="2491"/>
      <c r="H49" s="322"/>
    </row>
    <row r="51" spans="1:9" ht="13.5" customHeight="1" x14ac:dyDescent="0.2">
      <c r="B51" s="1365" t="s">
        <v>1271</v>
      </c>
      <c r="C51" s="1279"/>
      <c r="E51" s="1422" t="s">
        <v>2162</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Edwardsville CUSD 7</v>
      </c>
      <c r="C1" s="2471"/>
      <c r="D1" s="2471"/>
      <c r="E1" s="2471"/>
      <c r="F1" s="2471"/>
      <c r="G1" s="2471"/>
      <c r="H1" s="2471"/>
      <c r="I1" s="2471"/>
      <c r="J1" s="2471"/>
      <c r="K1" s="2471"/>
      <c r="L1" s="1371"/>
      <c r="M1" s="1371"/>
    </row>
    <row r="2" spans="1:13" ht="12" customHeight="1" x14ac:dyDescent="0.2">
      <c r="B2" s="2473">
        <f>'Single Audit Cover'!E7</f>
        <v>41057007026</v>
      </c>
      <c r="C2" s="2473"/>
      <c r="D2" s="2473"/>
      <c r="E2" s="2473"/>
      <c r="F2" s="2473"/>
      <c r="G2" s="2473"/>
      <c r="H2" s="2473"/>
      <c r="I2" s="2473"/>
      <c r="J2" s="2473"/>
      <c r="K2" s="2473"/>
      <c r="L2" s="1372"/>
      <c r="M2" s="1373"/>
    </row>
    <row r="3" spans="1:13" ht="10.35" customHeight="1" x14ac:dyDescent="0.2">
      <c r="B3" s="2494" t="s">
        <v>1284</v>
      </c>
      <c r="C3" s="2494"/>
      <c r="D3" s="2494"/>
      <c r="E3" s="2494"/>
      <c r="F3" s="2494"/>
      <c r="G3" s="2494"/>
      <c r="H3" s="2494"/>
      <c r="I3" s="2494"/>
      <c r="J3" s="2494"/>
      <c r="K3" s="2494"/>
      <c r="L3" s="1374"/>
      <c r="M3" s="1374"/>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1295</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93"/>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93"/>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97"/>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93"/>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93"/>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92"/>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92"/>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Edwardsville CUSD 7</v>
      </c>
      <c r="C1" s="2498"/>
      <c r="D1" s="2498"/>
      <c r="E1" s="2498"/>
      <c r="F1" s="2498"/>
      <c r="G1" s="2498"/>
      <c r="H1" s="2498"/>
      <c r="I1" s="2498"/>
      <c r="J1" s="2498"/>
      <c r="K1" s="2498"/>
      <c r="L1" s="1449"/>
    </row>
    <row r="2" spans="1:12" ht="12.75" customHeight="1" x14ac:dyDescent="0.2">
      <c r="B2" s="2499">
        <f>'Single Audit Cover'!E7</f>
        <v>41057007026</v>
      </c>
      <c r="C2" s="2499"/>
      <c r="D2" s="2499"/>
      <c r="E2" s="2499"/>
      <c r="F2" s="2499"/>
      <c r="G2" s="2499"/>
      <c r="H2" s="2499"/>
      <c r="I2" s="2499"/>
      <c r="J2" s="2499"/>
      <c r="K2" s="2499"/>
      <c r="L2" s="1450"/>
    </row>
    <row r="3" spans="1:12" ht="12.75" customHeight="1" x14ac:dyDescent="0.2">
      <c r="B3" s="2494" t="s">
        <v>1284</v>
      </c>
      <c r="C3" s="2494"/>
      <c r="D3" s="2494"/>
      <c r="E3" s="2494"/>
      <c r="F3" s="2494"/>
      <c r="G3" s="2494"/>
      <c r="H3" s="2494"/>
      <c r="I3" s="2494"/>
      <c r="J3" s="2494"/>
      <c r="K3" s="2494"/>
      <c r="L3" s="1374"/>
    </row>
    <row r="4" spans="1:12" ht="12.75" customHeight="1" x14ac:dyDescent="0.2">
      <c r="B4" s="2494" t="str">
        <f>'Single Audit Cover'!A4</f>
        <v>Year Ending June 30, 2019</v>
      </c>
      <c r="C4" s="2494"/>
      <c r="D4" s="2494"/>
      <c r="E4" s="2494"/>
      <c r="F4" s="2494"/>
      <c r="G4" s="2494"/>
      <c r="H4" s="2494"/>
      <c r="I4" s="2494"/>
      <c r="J4" s="2494"/>
      <c r="K4" s="2494"/>
      <c r="L4" s="1374"/>
    </row>
    <row r="5" spans="1:12" ht="5.25" customHeight="1" x14ac:dyDescent="0.2">
      <c r="B5" s="1257" t="s">
        <v>1168</v>
      </c>
      <c r="C5" s="1257"/>
      <c r="L5" s="322"/>
    </row>
    <row r="6" spans="1:12" ht="30.75" customHeight="1" x14ac:dyDescent="0.2">
      <c r="A6" s="322"/>
      <c r="B6" s="2500" t="s">
        <v>1307</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8"/>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01"/>
      <c r="E14" s="2501"/>
      <c r="F14" s="2501"/>
      <c r="H14" s="1459" t="s">
        <v>1302</v>
      </c>
      <c r="I14" s="2502"/>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02"/>
      <c r="E16" s="2502"/>
      <c r="F16" s="2502"/>
      <c r="G16" s="2502"/>
      <c r="H16" s="2502"/>
      <c r="I16" s="2502"/>
      <c r="J16" s="2502"/>
      <c r="K16" s="2502"/>
      <c r="L16" s="322"/>
    </row>
    <row r="17" spans="2:12" ht="13.5" customHeight="1" x14ac:dyDescent="0.2">
      <c r="B17" s="1384" t="s">
        <v>1300</v>
      </c>
      <c r="C17" s="1384"/>
      <c r="D17" s="2503"/>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93"/>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1" t="str">
        <f>'Single Audit Cover'!A7</f>
        <v>Edwardsville CUSD 7</v>
      </c>
      <c r="C1" s="2471"/>
      <c r="D1" s="2471"/>
      <c r="E1" s="1469"/>
    </row>
    <row r="2" spans="2:5" s="1279" customFormat="1" ht="12.75" customHeight="1" x14ac:dyDescent="0.2">
      <c r="B2" s="2473">
        <f>'Single Audit Cover'!E7</f>
        <v>41057007026</v>
      </c>
      <c r="C2" s="2473"/>
      <c r="D2" s="2473"/>
      <c r="E2" s="1470"/>
    </row>
    <row r="3" spans="2:5" ht="12.75" customHeight="1" x14ac:dyDescent="0.2">
      <c r="B3" s="2494" t="s">
        <v>1762</v>
      </c>
      <c r="C3" s="2494"/>
      <c r="D3" s="2494"/>
      <c r="E3" s="1271"/>
    </row>
    <row r="4" spans="2:5" s="1279" customFormat="1" ht="12.75" customHeight="1" x14ac:dyDescent="0.2">
      <c r="B4" s="2504" t="str">
        <f>'Single Audit Cover'!A4</f>
        <v>Year Ending June 30, 2019</v>
      </c>
      <c r="C4" s="2504"/>
      <c r="D4" s="2504"/>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schemas.microsoft.com/sharepoint/v3"/>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2019-09-17T13:19:02Z</cp:lastPrinted>
  <dcterms:created xsi:type="dcterms:W3CDTF">2003-10-29T19:06:34Z</dcterms:created>
  <dcterms:modified xsi:type="dcterms:W3CDTF">2019-10-25T20:13:58Z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