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ED076DD-FF40-476C-A2EC-5AC2AB38651B}" xr6:coauthVersionLast="36" xr6:coauthVersionMax="36" xr10:uidLastSave="{00000000-0000-0000-0000-000000000000}"/>
  <bookViews>
    <workbookView xWindow="90" yWindow="1260" windowWidth="28320" windowHeight="1417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2">'Aud Quest 2'!$A$1:$K$119</definedName>
    <definedName name="_xlnm.Print_Area" localSheetId="18">'Itemization 33'!$A$1:$B$19</definedName>
    <definedName name="_xlnm.Print_Area" localSheetId="7">'Revenues 9-14'!$A$1:$K$268</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Area" localSheetId="1">TOC!$A$1:$F$80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5" l="1"/>
  <c r="I27" i="185"/>
  <c r="G27" i="185"/>
  <c r="F27" i="185"/>
  <c r="E27" i="185"/>
  <c r="L26" i="185" l="1"/>
  <c r="I26" i="185"/>
  <c r="G26" i="185"/>
  <c r="F26" i="185"/>
  <c r="E26" i="185"/>
  <c r="G23" i="185"/>
  <c r="F23" i="185"/>
  <c r="E23" i="185"/>
  <c r="I21" i="185"/>
  <c r="L21" i="185" s="1"/>
  <c r="F21" i="185"/>
  <c r="I20" i="185"/>
  <c r="L20" i="185" s="1"/>
  <c r="F20" i="185"/>
  <c r="I19" i="185"/>
  <c r="G19" i="185"/>
  <c r="F19" i="185"/>
  <c r="E19" i="185"/>
  <c r="I18" i="185"/>
  <c r="G18" i="185"/>
  <c r="L18" i="185" s="1"/>
  <c r="F18" i="185"/>
  <c r="E18" i="185"/>
  <c r="I17" i="185"/>
  <c r="L17" i="185" s="1"/>
  <c r="G17" i="185"/>
  <c r="F17" i="185"/>
  <c r="I12" i="185"/>
  <c r="F12" i="185"/>
  <c r="E12" i="185"/>
  <c r="E17" i="185"/>
  <c r="I16" i="185"/>
  <c r="F16" i="185"/>
  <c r="I15" i="185"/>
  <c r="G15" i="185"/>
  <c r="L15" i="185" s="1"/>
  <c r="F15" i="185"/>
  <c r="E15" i="185"/>
  <c r="I14" i="185"/>
  <c r="L14" i="185" s="1"/>
  <c r="G14" i="185"/>
  <c r="F14" i="185"/>
  <c r="E14" i="185"/>
  <c r="I13" i="185"/>
  <c r="G13" i="185"/>
  <c r="L13" i="185" s="1"/>
  <c r="F13" i="185"/>
  <c r="E13" i="185"/>
  <c r="G12" i="185"/>
  <c r="I20" i="184"/>
  <c r="L20" i="184" s="1"/>
  <c r="F20" i="184"/>
  <c r="G22" i="184"/>
  <c r="E22" i="184"/>
  <c r="I27" i="183"/>
  <c r="G27" i="183"/>
  <c r="F27" i="183"/>
  <c r="F22" i="184" s="1"/>
  <c r="E27" i="183"/>
  <c r="G16" i="183"/>
  <c r="F16" i="183"/>
  <c r="E16" i="183"/>
  <c r="I26" i="179"/>
  <c r="I16" i="183" s="1"/>
  <c r="L16" i="183" s="1"/>
  <c r="G26" i="179"/>
  <c r="F26" i="179"/>
  <c r="E26" i="179"/>
  <c r="L19" i="185"/>
  <c r="L16" i="185"/>
  <c r="B4" i="185"/>
  <c r="L19" i="184"/>
  <c r="L18" i="184"/>
  <c r="L12" i="184"/>
  <c r="B4" i="184"/>
  <c r="L25" i="183"/>
  <c r="L24" i="183"/>
  <c r="L23" i="183"/>
  <c r="L22" i="183"/>
  <c r="L21" i="183"/>
  <c r="L12" i="183"/>
  <c r="B4" i="183"/>
  <c r="I23" i="185" l="1"/>
  <c r="I22" i="184"/>
  <c r="L22" i="184" s="1"/>
  <c r="L23" i="185"/>
  <c r="L12" i="185"/>
  <c r="L27" i="18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6" i="179" l="1"/>
  <c r="L23" i="179"/>
  <c r="L22" i="179"/>
  <c r="L21" i="179"/>
  <c r="L20"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1" i="183"/>
  <c r="B2" i="179"/>
  <c r="B2" i="185"/>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B5752" i="106"/>
  <c r="D5752" i="106" s="1"/>
  <c r="C342" i="29" l="1"/>
  <c r="B7216" i="106" s="1"/>
  <c r="D7216" i="106" s="1"/>
  <c r="F19" i="7"/>
  <c r="B1807" i="106" s="1"/>
  <c r="D1807" i="106" s="1"/>
  <c r="E29" i="108"/>
  <c r="F50" i="34"/>
  <c r="F34" i="34"/>
  <c r="F77" i="4"/>
  <c r="B3255" i="106" s="1"/>
  <c r="D3255" i="106" s="1"/>
  <c r="F42" i="34"/>
  <c r="D17" i="7"/>
  <c r="B4104" i="106" s="1"/>
  <c r="D4104" i="106" s="1"/>
  <c r="B7235" i="106"/>
  <c r="D7235" i="106" s="1"/>
  <c r="C129" i="29"/>
  <c r="B1225" i="106" s="1"/>
  <c r="D1225" i="106" s="1"/>
  <c r="C352" i="29"/>
  <c r="B3621" i="106" s="1"/>
  <c r="D3621" i="106" s="1"/>
  <c r="D9" i="7"/>
  <c r="B1767" i="106" s="1"/>
  <c r="D1767" i="106" s="1"/>
  <c r="K28" i="118"/>
  <c r="O27" i="118" s="1"/>
  <c r="O29" i="118" s="1"/>
  <c r="L342" i="29"/>
  <c r="F49" i="34"/>
  <c r="K184" i="29"/>
  <c r="F13" i="4" s="1"/>
  <c r="B2596" i="106" s="1"/>
  <c r="D2596" i="106" s="1"/>
  <c r="G210" i="29"/>
  <c r="G15" i="145"/>
  <c r="K41" i="3"/>
  <c r="I129" i="29"/>
  <c r="B7037" i="106" s="1"/>
  <c r="D7037" i="106" s="1"/>
  <c r="D6103" i="106"/>
  <c r="B3647" i="106"/>
  <c r="D3647" i="106" s="1"/>
  <c r="L13" i="11"/>
  <c r="B2060" i="106" s="1"/>
  <c r="D2060" i="106" s="1"/>
  <c r="B1308" i="106"/>
  <c r="D1308" i="106" s="1"/>
  <c r="E174" i="29"/>
  <c r="B1309" i="106" s="1"/>
  <c r="D1309" i="106" s="1"/>
  <c r="I210" i="29"/>
  <c r="B7071" i="106" s="1"/>
  <c r="D7071"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6" i="11" l="1"/>
  <c r="B2061" i="106" s="1"/>
  <c r="D2061" i="106" s="1"/>
  <c r="F174" i="34"/>
  <c r="C114" i="29"/>
  <c r="B757" i="106" s="1"/>
  <c r="D757" i="106" s="1"/>
  <c r="B1317" i="106"/>
  <c r="D1317" i="106" s="1"/>
  <c r="B1381" i="106"/>
  <c r="D1381" i="106" s="1"/>
  <c r="K342" i="29"/>
  <c r="F13" i="34" s="1"/>
  <c r="B5527" i="106"/>
  <c r="D5527" i="106" s="1"/>
  <c r="D44" i="36"/>
  <c r="B5778" i="106"/>
  <c r="D5778" i="106" s="1"/>
  <c r="G6" i="4"/>
  <c r="B2604" i="106" s="1"/>
  <c r="D2604" i="106" s="1"/>
  <c r="J16" i="4"/>
  <c r="B6226" i="106" s="1"/>
  <c r="D6226" i="106" s="1"/>
  <c r="B3568" i="106"/>
  <c r="D3568" i="106" s="1"/>
  <c r="D52" i="36"/>
  <c r="B7215" i="106"/>
  <c r="D7215" i="106" s="1"/>
  <c r="B1365" i="106"/>
  <c r="D1365" i="106" s="1"/>
  <c r="F65" i="34"/>
  <c r="H151" i="29"/>
  <c r="B1273" i="106" s="1"/>
  <c r="D1273" i="106" s="1"/>
  <c r="K365" i="29"/>
  <c r="B5770" i="106"/>
  <c r="D5770" i="106" s="1"/>
  <c r="C367" i="29"/>
  <c r="B3622" i="106" s="1"/>
  <c r="D3622" i="106" s="1"/>
  <c r="L114" i="29"/>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J20" i="4"/>
  <c r="J78" i="4"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<sst xmlns="http://schemas.openxmlformats.org/spreadsheetml/2006/main" count="5360" uniqueCount="2187">
  <si>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</si>
  <si>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</si>
  <si>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</si>
  <si>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</si>
  <si>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</si>
  <si>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</si>
  <si>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</si>
  <si>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</si>
  <si>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</si>
  <si>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</si>
  <si>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</si>
  <si>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</si>
  <si>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</si>
  <si>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</si>
  <si>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</si>
  <si>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</si>
  <si>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</si>
  <si>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</si>
  <si>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</si>
  <si>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</si>
  <si>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</si>
  <si>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</si>
  <si>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</si>
  <si>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</si>
  <si>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</si>
  <si>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</si>
  <si>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</si>
  <si>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</si>
  <si>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</si>
  <si>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</si>
  <si>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</si>
  <si>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</si>
  <si>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</si>
  <si>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</si>
  <si>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</si>
  <si>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</si>
  <si>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</si>
  <si>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</si>
  <si>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</si>
  <si>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</si>
  <si>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</si>
  <si>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</si>
  <si>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</si>
  <si>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</si>
  <si>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</si>
  <si>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</si>
  <si>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</si>
  <si>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</si>
  <si>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</si>
  <si>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</si>
  <si>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</si>
  <si>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</si>
  <si>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</si>
  <si>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</si>
  <si>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</si>
  <si>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</si>
  <si>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</si>
  <si>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</si>
  <si>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</si>
  <si>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</si>
  <si>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</si>
  <si>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</si>
  <si>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</si>
  <si>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</si>
  <si>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</si>
  <si>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</si>
  <si>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</si>
  <si>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</si>
  <si>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</si>
  <si>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</si>
  <si>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</si>
  <si>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</si>
  <si>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</si>
  <si>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</si>
  <si>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</si>
  <si>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</si>
  <si>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</si>
  <si>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</si>
  <si>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</si>
  <si>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</si>
  <si>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</si>
  <si>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</si>
  <si>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</si>
  <si>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</si>
  <si>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</si>
  <si>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</si>
  <si>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</si>
  <si>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</si>
  <si>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</si>
  <si>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</si>
  <si>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</si>
  <si>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</si>
  <si>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</si>
  <si>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</si>
  <si>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</si>
  <si>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</si>
  <si>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</si>
  <si>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</si>
  <si>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</si>
  <si>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</si>
  <si>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</si>
  <si>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</si>
  <si>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</si>
  <si>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</si>
  <si>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</si>
  <si>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</si>
  <si>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</si>
  <si>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</si>
  <si>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</si>
  <si>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</si>
  <si>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</si>
  <si>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</si>
  <si>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</si>
  <si>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</si>
  <si>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</si>
  <si>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</si>
  <si>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</si>
  <si>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</si>
  <si>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</si>
  <si>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</si>
  <si>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</si>
  <si>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</si>
  <si>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</si>
  <si>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</si>
  <si>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</si>
  <si>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</si>
  <si>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</si>
  <si>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</si>
  <si>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</si>
  <si>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</si>
  <si>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</si>
  <si>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</si>
  <si>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</si>
  <si>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</si>
  <si>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</si>
  <si>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</si>
  <si>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</si>
  <si>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</si>
  <si>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</si>
  <si>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</si>
  <si>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</si>
  <si>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</si>
  <si>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</si>
  <si>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</si>
  <si>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</si>
  <si>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</si>
  <si>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</si>
  <si>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</si>
  <si>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</si>
  <si>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</si>
  <si>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</si>
  <si>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</si>
  <si>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</si>
  <si>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</si>
  <si>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</si>
  <si>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</si>
  <si>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</si>
  <si>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</si>
  <si>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</si>
  <si>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</si>
  <si>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</si>
  <si>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</si>
  <si>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</si>
  <si>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</si>
  <si>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</si>
  <si>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</si>
  <si>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</si>
  <si>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</si>
  <si>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</si>
  <si>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</si>
  <si>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</si>
  <si>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</si>
  <si>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</si>
  <si>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</si>
  <si>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</si>
  <si>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</si>
  <si>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</si>
  <si>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</si>
  <si>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</si>
  <si>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</si>
  <si>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</si>
  <si>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</si>
  <si>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</si>
  <si>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</si>
  <si>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</si>
  <si>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</si>
  <si>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</si>
  <si>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</si>
  <si>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</si>
  <si>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</si>
  <si>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</si>
  <si>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</si>
  <si>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</si>
  <si>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</si>
  <si>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</si>
  <si>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</si>
  <si>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</si>
  <si>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</si>
  <si>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</si>
  <si>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</si>
  <si>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</si>
  <si>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</si>
  <si>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</si>
  <si>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</si>
  <si>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</si>
  <si>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</si>
  <si>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</si>
  <si>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</si>
  <si>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</si>
  <si>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</si>
  <si>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</si>
  <si>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</si>
  <si>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</si>
  <si>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</si>
  <si>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</si>
  <si>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</si>
  <si>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</si>
  <si>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</si>
  <si>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</si>
  <si>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</si>
  <si>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</si>
  <si>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</si>
  <si>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</si>
  <si>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</si>
  <si>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</si>
  <si>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</si>
  <si>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</si>
  <si>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</si>
  <si>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</si>
  <si>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</si>
  <si>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</si>
  <si>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</si>
  <si>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</si>
  <si>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</si>
  <si>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</si>
  <si>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</si>
  <si>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</si>
  <si>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</si>
  <si>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</si>
  <si>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</si>
  <si>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</si>
  <si>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</si>
  <si>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</si>
  <si>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</si>
  <si>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</si>
  <si>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</si>
  <si>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</si>
  <si>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</si>
  <si>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</si>
  <si>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</si>
  <si>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</si>
  <si>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</si>
  <si>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</si>
  <si>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</si>
  <si>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</si>
  <si>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</si>
  <si>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</si>
  <si>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</si>
  <si>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</si>
  <si>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</si>
  <si>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</si>
  <si>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</si>
  <si>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</si>
  <si>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</si>
  <si>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</si>
  <si>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</si>
  <si>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</si>
  <si>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</si>
  <si>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</si>
  <si>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</si>
  <si>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</si>
  <si>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</si>
  <si>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</si>
  <si>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</si>
  <si>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</si>
  <si>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</si>
  <si>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</si>
  <si>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</si>
  <si>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</si>
  <si>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</si>
  <si>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</si>
  <si>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</si>
  <si>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</si>
  <si>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</si>
  <si>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</si>
  <si>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</si>
  <si>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</si>
  <si>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</si>
  <si>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</si>
  <si>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</si>
  <si>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</si>
  <si>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</si>
  <si>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</si>
  <si>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</si>
  <si>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</si>
  <si>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</si>
  <si>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</si>
  <si>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</si>
  <si>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</si>
  <si>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</si>
  <si>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</si>
  <si>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</si>
  <si>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</si>
  <si>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</si>
  <si>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</si>
  <si>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</si>
  <si>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</si>
  <si>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</si>
  <si>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</si>
  <si>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</si>
  <si>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</si>
  <si>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</si>
  <si>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</si>
  <si>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</si>
  <si>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</si>
  <si>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</si>
  <si>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</si>
  <si>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</si>
  <si>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</si>
  <si>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</si>
  <si>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</si>
  <si>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</si>
  <si>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</si>
  <si>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</si>
  <si>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</si>
  <si>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</si>
  <si>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</si>
  <si>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</si>
  <si>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</si>
  <si>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</si>
  <si>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</si>
  <si>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</si>
  <si>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</si>
  <si>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</si>
  <si>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</si>
  <si>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</si>
  <si>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</si>
  <si>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</si>
  <si>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</si>
  <si>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</si>
  <si>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</si>
  <si>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</si>
  <si>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</si>
  <si>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</si>
  <si>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</si>
  <si>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</si>
  <si>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</si>
  <si>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</si>
  <si>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</si>
  <si>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</si>
  <si>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</si>
  <si>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</si>
  <si>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</si>
  <si>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</si>
  <si>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</si>
  <si>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</si>
  <si>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</si>
  <si>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</si>
  <si>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</si>
  <si>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</si>
  <si>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</si>
  <si>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</si>
  <si>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</si>
  <si>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</si>
  <si>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</si>
  <si>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</si>
  <si>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</si>
  <si>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</si>
  <si>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</si>
  <si>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</si>
  <si>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</si>
  <si>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</si>
  <si>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</si>
  <si>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</si>
  <si>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</si>
  <si>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</si>
  <si>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</si>
  <si>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</si>
  <si>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</si>
  <si>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</si>
  <si>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</si>
  <si>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</si>
  <si>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</si>
  <si>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</si>
  <si>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</si>
  <si>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</si>
  <si>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</si>
  <si>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</si>
  <si>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</si>
  <si>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</si>
  <si>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</si>
  <si>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</si>
  <si>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</si>
  <si>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</si>
  <si>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</si>
  <si>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</si>
  <si>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</si>
  <si>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</si>
  <si>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</si>
  <si>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</si>
  <si>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</si>
  <si>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</si>
  <si>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</si>
  <si>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</si>
  <si>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</si>
  <si>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</si>
  <si>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</si>
  <si>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</si>
  <si>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</si>
  <si>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</si>
  <si>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</si>
  <si>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</si>
  <si>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</si>
  <si>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</si>
  <si>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</si>
  <si>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</si>
  <si>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</si>
  <si>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</si>
  <si>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</si>
  <si>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</si>
  <si>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</si>
  <si>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</si>
  <si>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</si>
  <si>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</si>
  <si>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</si>
  <si>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</si>
  <si>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</si>
  <si>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</si>
  <si>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</si>
  <si>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</si>
  <si>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</si>
  <si>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</si>
  <si>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</si>
  <si>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</si>
  <si>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</si>
  <si>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</si>
  <si>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</si>
  <si>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</si>
  <si>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</si>
  <si>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</si>
  <si>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</si>
  <si>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</si>
  <si>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</si>
  <si>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</si>
  <si>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</si>
  <si>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</si>
  <si>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</si>
  <si>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</si>
  <si>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</si>
  <si>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</si>
  <si>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</si>
  <si>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</si>
  <si>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</si>
  <si>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</si>
  <si>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</si>
  <si>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</si>
  <si>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</si>
  <si>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</si>
  <si>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</si>
  <si>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</si>
  <si>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</si>
  <si>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</si>
  <si>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</si>
  <si>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</si>
  <si>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</si>
  <si>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</si>
  <si>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</si>
  <si>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</si>
  <si>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</si>
  <si>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</si>
  <si>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</si>
  <si>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</si>
  <si>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</si>
  <si>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</si>
  <si>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</si>
  <si>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</si>
  <si>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</si>
  <si>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</si>
  <si>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</si>
  <si>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</si>
  <si>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</si>
  <si>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</si>
  <si>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</si>
  <si>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</si>
  <si>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</si>
  <si>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</si>
  <si>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</si>
  <si>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</si>
  <si>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</si>
  <si>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</si>
  <si>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</si>
  <si>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</si>
  <si>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</si>
  <si>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</si>
  <si>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</si>
  <si>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</si>
  <si>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</si>
  <si>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</si>
  <si>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</si>
  <si>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</si>
  <si>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</si>
  <si>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</si>
  <si>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</si>
  <si>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</si>
  <si>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</si>
  <si>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</si>
  <si>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</si>
  <si>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</si>
  <si>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</si>
  <si>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</si>
  <si>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</si>
  <si>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</si>
  <si>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</si>
  <si>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</si>
  <si>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</si>
  <si>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</si>
  <si>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</si>
  <si>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</si>
  <si>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</si>
  <si>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</si>
  <si>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</si>
  <si>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</si>
  <si>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</si>
  <si>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</si>
  <si>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</si>
  <si>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</si>
  <si>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</si>
  <si>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</si>
  <si>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</si>
  <si>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</si>
  <si>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</si>
  <si>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</si>
  <si>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</si>
  <si>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</si>
  <si>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</si>
  <si>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</si>
  <si>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</si>
  <si>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</si>
  <si>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</si>
  <si>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</si>
  <si>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</si>
  <si>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</si>
  <si>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</si>
  <si>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</si>
  <si>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</si>
  <si>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</si>
  <si>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</si>
  <si>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</si>
  <si>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</si>
  <si>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</si>
  <si>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</si>
  <si>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</si>
  <si>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</si>
  <si>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</si>
  <si>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</si>
  <si>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</si>
  <si>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</si>
  <si>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</si>
  <si>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</si>
  <si>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</si>
  <si>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</si>
  <si>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</si>
  <si>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</si>
  <si>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</si>
  <si>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</si>
  <si>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</si>
  <si>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</si>
  <si>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</si>
  <si>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</si>
  <si>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</si>
  <si>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</si>
  <si>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</si>
  <si>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</si>
  <si>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</si>
  <si>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</si>
  <si>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</si>
  <si>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</si>
  <si>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</si>
  <si>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</si>
  <si>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</si>
  <si>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</si>
  <si>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</si>
  <si>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</si>
  <si>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</si>
  <si>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</si>
  <si>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</si>
  <si>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</si>
  <si>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</si>
  <si>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</si>
  <si>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</si>
  <si>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</si>
  <si>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</si>
  <si>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</si>
  <si>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</si>
  <si>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</si>
  <si>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</si>
  <si>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</si>
  <si>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</si>
  <si>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</si>
  <si>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</si>
  <si>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</si>
  <si>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</si>
  <si>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</si>
  <si>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</si>
  <si>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</si>
  <si>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</si>
  <si>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</si>
  <si>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</si>
  <si>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</si>
  <si>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</si>
  <si>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</si>
  <si>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</si>
  <si>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</si>
  <si>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</si>
  <si>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</si>
  <si>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</si>
  <si>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</si>
  <si>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</si>
  <si>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</si>
  <si>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</si>
  <si>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</si>
  <si>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</si>
  <si>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</si>
  <si>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</si>
  <si>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</si>
  <si>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</si>
  <si>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</si>
  <si>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</si>
  <si>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</si>
  <si>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</si>
  <si>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</si>
  <si>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</si>
  <si>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</si>
  <si>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</si>
  <si>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</si>
  <si>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</si>
  <si>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</si>
  <si>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</si>
  <si>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</si>
  <si>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</si>
  <si>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</si>
  <si>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</si>
  <si>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</si>
  <si>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</si>
  <si>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</si>
  <si>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</si>
  <si>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</si>
  <si>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</si>
  <si>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</si>
  <si>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</si>
  <si>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</si>
  <si>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</si>
  <si>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</si>
  <si>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</si>
  <si>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</si>
  <si>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</si>
  <si>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</si>
  <si>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</si>
  <si>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</si>
  <si>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</si>
  <si>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</si>
  <si>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</si>
  <si>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</si>
  <si>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</si>
  <si>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</si>
  <si>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</si>
  <si>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</si>
  <si>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</si>
  <si>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</si>
  <si>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</si>
  <si>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</si>
  <si>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</si>
  <si>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</si>
  <si>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</si>
  <si>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</si>
  <si>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</si>
  <si>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</si>
  <si>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</si>
  <si>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</si>
  <si>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</si>
  <si>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</si>
  <si>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</si>
  <si>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</si>
  <si>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</si>
  <si>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</si>
  <si>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</si>
  <si>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</si>
  <si>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</si>
  <si>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</si>
  <si>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</si>
  <si>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</si>
  <si>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</si>
  <si>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</si>
  <si>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</si>
  <si>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</si>
  <si>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</si>
  <si>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</si>
  <si>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</si>
  <si>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</si>
  <si>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</si>
  <si>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</si>
  <si>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</si>
  <si>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</si>
  <si>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</si>
  <si>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</si>
  <si>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</si>
  <si>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</si>
  <si>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</si>
  <si>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</si>
  <si>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</si>
  <si>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</si>
  <si>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</si>
  <si>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</si>
  <si>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</si>
  <si>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</si>
  <si>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</si>
  <si>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</si>
  <si>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</si>
  <si>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</si>
  <si>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</si>
  <si>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</si>
  <si>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</si>
  <si>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</si>
  <si>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</si>
  <si>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</si>
  <si>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</si>
  <si>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</si>
  <si>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</si>
  <si>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</si>
  <si>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</si>
  <si>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</si>
  <si>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</si>
  <si>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</si>
  <si>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</si>
  <si>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</si>
  <si>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</si>
  <si>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</si>
  <si>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</si>
  <si>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</si>
  <si>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</si>
  <si>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</si>
  <si>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</si>
  <si>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</si>
  <si>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</si>
  <si>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</si>
  <si>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</si>
  <si>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</si>
  <si>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</si>
  <si>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</si>
  <si>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</si>
  <si>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</si>
  <si>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</si>
  <si>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</si>
  <si>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</si>
  <si>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</si>
  <si>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</si>
  <si>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</si>
  <si>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</si>
  <si>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</si>
  <si>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</si>
  <si>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</si>
  <si>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</si>
  <si>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</si>
  <si>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</si>
  <si>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</si>
  <si>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</si>
  <si>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</si>
  <si>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</si>
  <si>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</si>
  <si>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</si>
  <si>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</si>
  <si>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</si>
  <si>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</si>
  <si>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</si>
  <si>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</si>
  <si>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</si>
  <si>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</si>
  <si>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</si>
  <si>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</si>
  <si>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</si>
  <si>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</si>
  <si>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</si>
  <si>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</si>
  <si>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</si>
  <si>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</si>
  <si>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</si>
  <si>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</si>
  <si>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</si>
  <si>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</si>
  <si>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</si>
  <si>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</si>
  <si>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</si>
  <si>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</si>
  <si>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</si>
  <si>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</si>
  <si>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</si>
  <si>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</si>
  <si>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</si>
  <si>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</si>
  <si>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</si>
  <si>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</si>
  <si>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</si>
  <si>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</si>
  <si>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</si>
  <si>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</si>
  <si>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</si>
  <si>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</si>
  <si>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</si>
  <si>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</si>
  <si>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</si>
  <si>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</si>
  <si>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</si>
  <si>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</si>
  <si>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</si>
  <si>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</si>
  <si>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</si>
  <si>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</si>
  <si>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</si>
  <si>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</si>
  <si>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</si>
  <si>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</si>
  <si>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</si>
  <si>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</si>
  <si>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</si>
  <si>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</si>
  <si>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</si>
  <si>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</si>
  <si>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</si>
  <si>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</si>
  <si>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</si>
  <si>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</si>
  <si>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</si>
  <si>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</si>
  <si>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</si>
  <si>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</si>
  <si>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</si>
  <si>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</si>
  <si>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</si>
  <si>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</si>
  <si>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</si>
  <si>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</si>
  <si>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</si>
  <si>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</si>
  <si>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</si>
  <si>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</si>
  <si>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</si>
  <si>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</si>
  <si>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</si>
  <si>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</si>
  <si>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</si>
  <si>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</si>
  <si>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</si>
  <si>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</si>
  <si>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</si>
  <si>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</si>
  <si>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</si>
  <si>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</si>
  <si>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</si>
  <si>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</si>
  <si>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</si>
  <si>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</si>
  <si>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</si>
  <si>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</si>
  <si>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</si>
  <si>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</si>
  <si>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</si>
  <si>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</si>
  <si>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</si>
  <si>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</si>
  <si>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</si>
  <si>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</si>
  <si>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</si>
  <si>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</si>
  <si>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</si>
  <si>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</si>
  <si>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</si>
  <si>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</si>
  <si>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</si>
  <si>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</si>
  <si>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</si>
  <si>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</si>
  <si>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</si>
  <si>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</si>
  <si>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</si>
  <si>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</si>
  <si>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</si>
  <si>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</si>
  <si>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</si>
  <si>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</si>
  <si>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</si>
  <si>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</si>
  <si>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</si>
  <si>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</si>
  <si>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</si>
  <si>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</si>
  <si>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</si>
  <si>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</si>
  <si>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</si>
  <si>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</si>
  <si>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</si>
  <si>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</si>
  <si>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</si>
  <si>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</si>
  <si>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</si>
  <si>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</si>
  <si>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</si>
  <si>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</si>
  <si>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</si>
  <si>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</si>
  <si>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</si>
  <si>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</si>
  <si>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</si>
  <si>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</si>
  <si>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</si>
  <si>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</si>
  <si>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</si>
  <si>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</si>
  <si>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</si>
  <si>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</si>
  <si>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</si>
  <si>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</si>
  <si>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</si>
  <si>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</si>
  <si>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</si>
  <si>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</si>
  <si>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</si>
  <si>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</si>
  <si>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</si>
  <si>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</si>
  <si>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</si>
  <si>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</si>
  <si>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</si>
  <si>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</si>
  <si>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</si>
  <si>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</si>
  <si>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</si>
  <si>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</si>
  <si>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</si>
  <si>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</si>
  <si>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</si>
  <si>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</si>
  <si>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</si>
  <si>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</si>
  <si>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</si>
  <si>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</si>
  <si>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</si>
  <si>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</si>
  <si>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</si>
  <si>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</si>
  <si>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</si>
  <si>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</si>
  <si>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</si>
  <si>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</si>
  <si>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</si>
  <si>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</si>
  <si>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</si>
  <si>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</si>
  <si>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</si>
  <si>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</si>
  <si>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</si>
  <si>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</si>
  <si>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</si>
  <si>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</si>
  <si>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</si>
  <si>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</si>
  <si>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</si>
  <si>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</si>
  <si>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</si>
  <si>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</si>
  <si>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</si>
  <si>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</si>
  <si>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</si>
  <si>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</si>
  <si>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</si>
  <si>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</si>
  <si>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</si>
  <si>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</si>
  <si>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</si>
  <si>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</si>
  <si>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</si>
  <si>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</si>
  <si>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</si>
  <si>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</si>
  <si>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</si>
  <si>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</si>
  <si>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</si>
  <si>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</si>
  <si>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</si>
  <si>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</si>
  <si>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</si>
  <si>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</si>
  <si>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</si>
  <si>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</si>
  <si>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</si>
  <si>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</si>
  <si>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</si>
  <si>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</si>
  <si>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</si>
  <si>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</si>
  <si>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</si>
  <si>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</si>
  <si>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</si>
  <si>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</si>
  <si>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</si>
  <si>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</si>
  <si>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</si>
  <si>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</si>
  <si>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</si>
  <si>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</si>
  <si>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</si>
  <si>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</si>
  <si>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</si>
  <si>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</si>
  <si>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</si>
  <si>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</si>
  <si>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</si>
  <si>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</si>
  <si>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</si>
  <si>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</si>
  <si>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</si>
  <si>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</si>
  <si>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</si>
  <si>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</si>
  <si>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</si>
  <si>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</si>
  <si>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</si>
  <si>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</si>
  <si>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</si>
  <si>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</si>
  <si>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</si>
  <si>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</si>
  <si>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</si>
  <si>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</si>
  <si>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</si>
  <si>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</si>
  <si>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</si>
  <si>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</si>
  <si>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</si>
  <si>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</si>
  <si>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</si>
  <si>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</si>
  <si>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</si>
  <si>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</si>
  <si>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</si>
  <si>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</si>
  <si>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</si>
  <si>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</si>
  <si>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</si>
  <si>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</si>
  <si>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</si>
  <si>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</si>
  <si>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</si>
  <si>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</si>
  <si>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</si>
  <si>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</si>
  <si>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</si>
  <si>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</si>
  <si>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</si>
  <si>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</si>
  <si>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</si>
  <si>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</si>
  <si>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</si>
  <si>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</si>
  <si>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</si>
  <si>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</si>
  <si>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</si>
  <si>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</si>
  <si>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</si>
  <si>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</si>
  <si>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</si>
  <si>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</si>
  <si>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</si>
  <si>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</si>
  <si>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</si>
  <si>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</si>
  <si>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</si>
  <si>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</si>
  <si>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</si>
  <si>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</si>
  <si>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</si>
  <si>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</si>
  <si>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</si>
  <si>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</si>
  <si>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</si>
  <si>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</si>
  <si>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</si>
  <si>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</si>
  <si>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</si>
  <si>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</si>
  <si>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</si>
  <si>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</si>
  <si>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</si>
  <si>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</si>
  <si>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</si>
  <si>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</si>
  <si>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</si>
  <si>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</si>
  <si>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</si>
  <si>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</si>
  <si>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</si>
  <si>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</si>
  <si>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</si>
  <si>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</si>
  <si>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</si>
  <si>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</si>
  <si>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</si>
  <si>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</si>
  <si>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</si>
  <si>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</si>
  <si>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</si>
  <si>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</si>
  <si>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</si>
  <si>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</si>
  <si>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</si>
  <si>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</si>
  <si>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</si>
  <si>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</si>
  <si>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</si>
  <si>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</si>
  <si>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</si>
  <si>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</si>
  <si>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</si>
  <si>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</si>
  <si>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</si>
  <si>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</si>
  <si>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</si>
  <si>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</si>
  <si>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</si>
  <si>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</si>
  <si>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</si>
  <si>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</si>
  <si>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</si>
  <si>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</si>
  <si>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</si>
  <si>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</si>
  <si>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</si>
  <si>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</si>
  <si>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</si>
  <si>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</si>
  <si>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</si>
  <si>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</si>
  <si>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</si>
  <si>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</si>
  <si>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</si>
  <si>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</si>
  <si>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</si>
  <si>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</si>
  <si>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</si>
  <si>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</si>
  <si>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</si>
  <si>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</si>
  <si>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</si>
  <si>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</si>
  <si>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</si>
  <si>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</si>
  <si>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</si>
  <si>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</si>
  <si>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</si>
  <si>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</si>
  <si>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</si>
  <si>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</si>
  <si>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</si>
  <si>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</si>
  <si>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</si>
  <si>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</si>
  <si>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</si>
  <si>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</si>
  <si>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</si>
  <si>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</si>
  <si>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</si>
  <si>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</si>
  <si>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</si>
  <si>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</si>
  <si>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</si>
  <si>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</si>
  <si>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</si>
  <si>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</si>
  <si>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</si>
  <si>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</si>
  <si>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</si>
  <si>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</si>
  <si>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</si>
  <si>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</si>
  <si>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</si>
  <si>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</si>
  <si>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</si>
  <si>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</si>
  <si>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</si>
  <si>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</si>
  <si>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</si>
  <si>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</si>
  <si>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</si>
  <si>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</si>
  <si>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</si>
  <si>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</si>
  <si>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</si>
  <si>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</si>
  <si>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</si>
  <si>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</si>
  <si>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</si>
  <si>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</si>
  <si>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</si>
  <si>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</si>
  <si>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</si>
  <si>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</si>
  <si>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</si>
  <si>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</si>
  <si>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</si>
  <si>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</si>
  <si>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</si>
  <si>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</si>
  <si>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</si>
  <si>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</si>
  <si>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</si>
  <si>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</si>
  <si>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</si>
  <si>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</si>
  <si>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</si>
  <si>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</si>
  <si>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</si>
  <si>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</si>
  <si>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</si>
  <si>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</si>
  <si>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</si>
  <si>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</si>
  <si>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</si>
  <si>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</si>
  <si>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</si>
  <si>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</si>
  <si>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</si>
  <si>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</si>
  <si>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</si>
  <si>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</si>
  <si>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</si>
  <si>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</si>
  <si>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</si>
  <si>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</si>
  <si>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</si>
  <si>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</si>
  <si>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</si>
  <si>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</si>
  <si>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</si>
  <si>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</si>
  <si>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</si>
  <si>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</si>
  <si>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</si>
  <si>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</si>
  <si>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</si>
  <si>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</si>
  <si>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</si>
  <si>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</si>
  <si>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</si>
  <si>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</si>
  <si>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</si>
  <si>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</si>
  <si>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</si>
  <si>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</si>
  <si>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</si>
  <si>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</si>
  <si>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</si>
  <si>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</si>
  <si>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</si>
  <si>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</si>
  <si>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</si>
  <si>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</si>
  <si>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</si>
  <si>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</si>
  <si>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</si>
  <si>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</si>
  <si>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</si>
  <si>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</si>
  <si>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</si>
  <si>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</si>
  <si>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</si>
  <si>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</si>
  <si>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</si>
  <si>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</si>
  <si>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</si>
  <si>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</si>
  <si>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</si>
  <si>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</si>
  <si>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</si>
  <si>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</si>
  <si>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</si>
  <si>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</si>
  <si>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</si>
  <si>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</si>
  <si>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</si>
  <si>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</si>
  <si>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</si>
  <si>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</si>
  <si>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</si>
  <si>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</si>
  <si>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</si>
  <si>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</si>
  <si>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</si>
  <si>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</si>
  <si>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</si>
  <si>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</si>
  <si>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</si>
  <si>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</si>
  <si>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</si>
  <si>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</si>
  <si>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</si>
  <si>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</si>
  <si>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</si>
  <si>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</si>
  <si>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</si>
  <si>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</si>
  <si>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</si>
  <si>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</si>
  <si>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</si>
  <si>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</si>
  <si>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</si>
  <si>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</si>
  <si>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</si>
  <si>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</si>
  <si>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</si>
  <si>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</si>
  <si>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</si>
  <si>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</si>
  <si>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</si>
  <si>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</si>
  <si>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</si>
  <si>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</si>
  <si>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</si>
  <si>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</si>
  <si>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</si>
  <si>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</si>
  <si>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</si>
  <si>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</si>
  <si>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</si>
  <si>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</si>
  <si>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</si>
  <si>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</si>
  <si>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</si>
  <si>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</si>
  <si>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</si>
  <si>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</si>
  <si>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</si>
  <si>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</si>
  <si>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</si>
  <si>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</si>
  <si>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</si>
  <si>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</si>
  <si>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</si>
  <si>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</si>
  <si>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</si>
  <si>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</si>
  <si>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</si>
  <si>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</si>
  <si>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</si>
  <si>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</si>
  <si>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</si>
  <si>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</si>
  <si>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</si>
  <si>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</si>
  <si>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</si>
  <si>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</si>
  <si>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</si>
  <si>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</si>
  <si>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</si>
  <si>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</si>
  <si>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</si>
  <si>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</si>
  <si>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</si>
  <si>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</si>
  <si>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</si>
  <si>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</si>
  <si>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</si>
  <si>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</si>
  <si>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</si>
  <si>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</si>
  <si>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</si>
  <si>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</si>
  <si>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</si>
  <si>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</si>
  <si>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</si>
  <si>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</si>
  <si>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</si>
  <si>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</si>
  <si>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</si>
  <si>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</si>
  <si>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</si>
  <si>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</si>
  <si>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</si>
  <si>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</si>
  <si>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</si>
  <si>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</si>
  <si>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</si>
  <si>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</si>
  <si>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</si>
  <si>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</si>
  <si>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</si>
  <si>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</si>
  <si>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</si>
  <si>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</si>
  <si>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</si>
  <si>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</si>
  <si>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</si>
  <si>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</si>
  <si>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</si>
  <si>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</si>
  <si>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</si>
  <si>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</si>
  <si>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</si>
  <si>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</si>
  <si>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</si>
  <si>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</si>
  <si>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</si>
  <si>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</si>
  <si>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</si>
  <si>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</si>
  <si>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</si>
  <si>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</si>
  <si>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</si>
  <si>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</si>
  <si>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</si>
  <si>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</si>
  <si>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</si>
  <si>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</si>
  <si>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</si>
  <si>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</si>
  <si>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</si>
  <si>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</si>
  <si>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</si>
  <si>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</si>
  <si>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</si>
  <si>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</si>
  <si>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</si>
  <si>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</si>
  <si>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</si>
  <si>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</si>
  <si>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</si>
  <si>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</si>
  <si>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</si>
  <si>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</si>
  <si>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</si>
  <si>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</si>
  <si>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</si>
  <si>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</si>
  <si>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</si>
  <si>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</si>
  <si>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</si>
  <si>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</si>
  <si>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</si>
  <si>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</si>
  <si>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</si>
  <si>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</si>
  <si>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</si>
  <si>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</si>
  <si>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</si>
  <si>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</si>
  <si>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</si>
  <si>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</si>
  <si>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</si>
  <si>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</si>
  <si>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</si>
  <si>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</si>
  <si>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</si>
  <si>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</si>
  <si>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</si>
  <si>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</si>
  <si>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</si>
  <si>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</si>
  <si>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</si>
  <si>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</si>
  <si>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</si>
  <si>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</si>
  <si>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</si>
  <si>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</si>
  <si>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</si>
  <si>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</si>
  <si>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</si>
  <si>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</si>
  <si>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</si>
  <si>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</si>
  <si>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</si>
  <si>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</si>
  <si>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</si>
  <si>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</si>
  <si>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</si>
  <si>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</si>
  <si>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</si>
  <si>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</si>
  <si>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</si>
  <si>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</si>
  <si>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</si>
  <si>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</si>
  <si>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</si>
  <si>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</si>
  <si>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</si>
  <si>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</si>
  <si>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</si>
  <si>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</si>
  <si>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</si>
  <si>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</si>
  <si>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</si>
  <si>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</si>
  <si>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</si>
  <si>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</si>
  <si>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</si>
  <si>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</si>
  <si>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</si>
  <si>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</si>
  <si>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</si>
  <si>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</si>
  <si>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</si>
  <si>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</si>
  <si>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</si>
  <si>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</si>
  <si>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</si>
  <si>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</si>
  <si>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</si>
  <si>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</si>
  <si>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</si>
  <si>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</si>
  <si>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</si>
  <si>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</si>
  <si>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</si>
  <si>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</si>
  <si>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</si>
  <si>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</si>
  <si>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</si>
  <si>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</si>
  <si>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</si>
  <si>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</si>
  <si>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</si>
  <si>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</si>
  <si>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</si>
  <si>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</si>
  <si>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</si>
  <si>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</si>
  <si>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</si>
  <si>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</si>
  <si>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</si>
  <si>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</si>
  <si>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</si>
  <si>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</si>
  <si>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</si>
  <si>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</si>
  <si>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</si>
  <si>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</si>
  <si>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</si>
  <si>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</si>
  <si>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</si>
  <si>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</si>
  <si>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</si>
  <si>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</si>
  <si>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</si>
  <si>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</si>
  <si>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</si>
  <si>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</si>
  <si>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</si>
  <si>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</si>
  <si>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</si>
  <si>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</si>
  <si>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</si>
  <si>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</si>
  <si>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</si>
  <si>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</si>
  <si>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</si>
  <si>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</si>
  <si>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</si>
  <si>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</si>
  <si>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</si>
  <si>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</si>
  <si>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</si>
  <si>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</si>
  <si>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</si>
  <si>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</si>
  <si>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</si>
  <si>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</si>
  <si>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</si>
  <si>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</si>
  <si>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</si>
  <si>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</si>
  <si>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</si>
  <si>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</si>
  <si>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</si>
  <si>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</si>
  <si>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</si>
  <si>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</si>
  <si>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</si>
  <si>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</si>
  <si>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</si>
  <si>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</si>
  <si>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</si>
  <si>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</si>
  <si>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</si>
  <si>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</si>
  <si>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</si>
  <si>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</si>
  <si>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</si>
  <si>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</si>
  <si>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</si>
  <si>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</si>
  <si>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</si>
  <si>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</si>
  <si>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</si>
  <si>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</si>
  <si>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</si>
  <si>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</si>
  <si>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</si>
  <si>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</si>
  <si>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</si>
  <si>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</si>
  <si>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</si>
  <si>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</si>
  <si>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</si>
  <si>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</si>
  <si>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</si>
  <si>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</si>
  <si>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</si>
  <si>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</si>
  <si>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</si>
  <si>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</si>
  <si>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</si>
  <si>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</si>
  <si>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</si>
  <si>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</si>
  <si>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</si>
  <si>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</si>
  <si>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</si>
  <si>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</si>
  <si>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</si>
  <si>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</si>
  <si>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</si>
  <si>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</si>
  <si>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</si>
  <si>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</si>
  <si>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</si>
  <si>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</si>
  <si>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</si>
  <si>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</si>
  <si>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</si>
  <si>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</si>
  <si>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</si>
  <si>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</si>
  <si>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</si>
  <si>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</si>
  <si>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</si>
  <si>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</si>
  <si>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</si>
  <si>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</si>
  <si>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</si>
  <si>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</si>
  <si>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</si>
  <si>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</si>
  <si>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</si>
  <si>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</si>
  <si>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</si>
  <si>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</si>
  <si>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</si>
  <si>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</si>
  <si>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</si>
  <si>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</si>
  <si>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</si>
  <si>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</si>
  <si>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</si>
  <si>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</si>
  <si>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</si>
  <si>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</si>
  <si>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</si>
  <si>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</si>
  <si>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</si>
  <si>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</si>
  <si>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</si>
  <si>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</si>
  <si>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</si>
  <si>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</si>
  <si>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</si>
  <si>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</si>
  <si>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</si>
  <si>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</si>
  <si>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</si>
  <si>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</si>
  <si>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</si>
  <si>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</si>
  <si>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</si>
  <si>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</si>
  <si>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</si>
  <si>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</si>
  <si>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</si>
  <si>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</si>
  <si>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</si>
  <si>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</si>
  <si>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</si>
  <si>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</si>
  <si>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</si>
  <si>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</si>
  <si>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</si>
  <si>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</si>
  <si>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</si>
  <si>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</si>
  <si>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</si>
  <si>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</si>
  <si>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</si>
  <si>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</si>
  <si>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</si>
  <si>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</si>
  <si>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</si>
  <si>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</si>
  <si>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</si>
  <si>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</si>
  <si>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</si>
  <si>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</si>
  <si>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</si>
  <si>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</si>
  <si>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</si>
  <si>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</si>
  <si>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</si>
  <si>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</si>
  <si>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</si>
  <si>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</si>
  <si>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</si>
  <si>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</si>
  <si>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</si>
  <si>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</si>
  <si>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</si>
  <si>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</si>
  <si>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</si>
  <si>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</si>
  <si>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</si>
  <si>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</si>
  <si>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</si>
  <si>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</si>
  <si>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</si>
  <si>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</si>
  <si>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</si>
  <si>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</si>
  <si>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</si>
  <si>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</si>
  <si>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</si>
  <si>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</si>
  <si>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</si>
  <si>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</si>
  <si>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</si>
  <si>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</si>
  <si>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</si>
  <si>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</si>
  <si>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</si>
  <si>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</si>
  <si>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</si>
  <si>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</si>
  <si>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</si>
  <si>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</si>
  <si>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</si>
  <si>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</si>
  <si>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</si>
  <si>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</si>
  <si>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</si>
  <si>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</si>
  <si>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</si>
  <si>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</si>
  <si>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</si>
  <si>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</si>
  <si>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</si>
  <si>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</si>
  <si>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</si>
  <si>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</si>
  <si>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</si>
  <si>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</si>
  <si>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</si>
  <si>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</si>
  <si>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</si>
  <si>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</si>
  <si>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</si>
  <si>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</si>
  <si>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</si>
  <si>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</si>
  <si>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</si>
  <si>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</si>
  <si>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</si>
  <si>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</si>
  <si>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</si>
  <si>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</si>
  <si>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</si>
  <si>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</si>
  <si>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</si>
  <si>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</si>
  <si>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</si>
  <si>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</si>
  <si>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</si>
  <si>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</si>
  <si>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</si>
  <si>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</si>
  <si>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</si>
  <si>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</si>
  <si>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</si>
  <si>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</si>
  <si>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</si>
  <si>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</si>
  <si>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</si>
  <si>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</si>
  <si>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</si>
  <si>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</si>
  <si>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</si>
  <si>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</si>
  <si>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</si>
  <si>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</si>
  <si>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</si>
  <si>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</si>
  <si>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</si>
  <si>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</si>
  <si>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</si>
  <si>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</si>
  <si>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</si>
  <si>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</si>
  <si>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</si>
  <si>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</si>
  <si>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</si>
  <si>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</si>
  <si>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</si>
  <si>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</si>
  <si>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</si>
  <si>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</si>
  <si>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</si>
  <si>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</si>
  <si>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</si>
  <si>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</si>
  <si>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</si>
  <si>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</si>
  <si>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</si>
  <si>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</si>
  <si>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</si>
  <si>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</si>
  <si>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</si>
  <si>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</si>
  <si>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</si>
  <si>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</si>
  <si>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</si>
  <si>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</si>
  <si>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</si>
  <si>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</si>
  <si>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</si>
  <si>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</si>
  <si>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</si>
  <si>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</si>
  <si>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</si>
  <si>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</si>
  <si>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</si>
  <si>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</si>
  <si>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</si>
  <si>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</si>
  <si>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</si>
  <si>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</si>
  <si>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</si>
  <si>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</si>
  <si>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</si>
  <si>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</si>
  <si>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</si>
  <si>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</si>
  <si>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</si>
  <si>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</si>
  <si>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</si>
  <si>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</si>
  <si>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</si>
  <si>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</si>
  <si>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</si>
  <si>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</si>
  <si>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</si>
  <si>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</si>
  <si>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</si>
  <si>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</si>
  <si>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</si>
  <si>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</si>
  <si>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</si>
  <si>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</si>
  <si>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</si>
  <si>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</si>
  <si>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</si>
  <si>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</si>
  <si>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</si>
  <si>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</si>
  <si>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</si>
  <si>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</si>
  <si>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</si>
  <si>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</si>
  <si>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</si>
  <si>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</si>
  <si>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</si>
  <si>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</si>
  <si>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</si>
  <si>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</si>
  <si>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</si>
  <si>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</si>
  <si>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</si>
  <si>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</si>
  <si>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</si>
  <si>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</si>
  <si>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</si>
  <si>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</si>
  <si>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</si>
  <si>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</si>
  <si>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</si>
  <si>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</si>
  <si>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</si>
  <si>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</si>
  <si>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</si>
  <si>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</si>
  <si>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</si>
  <si>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</si>
  <si>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</si>
  <si>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</si>
  <si>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</si>
  <si>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</si>
  <si>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</si>
  <si>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</si>
  <si>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</si>
  <si>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</si>
  <si>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</si>
  <si>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</si>
  <si>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</si>
  <si>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</si>
  <si>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</si>
  <si>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</si>
  <si>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</si>
  <si>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</si>
  <si>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</si>
  <si>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</si>
  <si>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</si>
  <si>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</si>
  <si>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</si>
  <si>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</si>
  <si>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</si>
  <si>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</si>
  <si>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</si>
  <si>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</si>
  <si>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</si>
  <si>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</si>
  <si>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</si>
  <si>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</si>
  <si>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</si>
  <si>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</si>
  <si>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</si>
  <si>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</si>
  <si>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</si>
  <si>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</si>
  <si>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</si>
  <si>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</si>
  <si>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</si>
  <si>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</si>
  <si>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</si>
  <si>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</si>
  <si>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</si>
  <si>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</si>
  <si>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</si>
  <si>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</si>
  <si>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</si>
  <si>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</si>
  <si>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</si>
  <si>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</si>
  <si>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</si>
  <si>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</si>
  <si>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</si>
  <si>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</si>
  <si>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</si>
  <si>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</si>
  <si>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</si>
  <si>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</si>
  <si>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</si>
  <si>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</si>
  <si>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</si>
  <si>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</si>
  <si>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</si>
  <si>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</si>
  <si>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</si>
  <si>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</si>
  <si>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</si>
  <si>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</si>
  <si>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</si>
  <si>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</si>
  <si>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</si>
  <si>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</si>
  <si>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</si>
  <si>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</si>
  <si>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</si>
  <si>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</si>
  <si>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</si>
  <si>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</si>
  <si>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</si>
  <si>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</si>
  <si>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</si>
  <si>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</si>
  <si>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</si>
  <si>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</si>
  <si>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</si>
  <si>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</si>
  <si>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</si>
  <si>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</si>
  <si>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</si>
  <si>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</si>
  <si>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</si>
  <si>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</si>
  <si>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</si>
  <si>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</si>
  <si>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</si>
  <si>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</si>
  <si>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</si>
  <si>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</si>
  <si>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</si>
  <si>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</si>
  <si>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</si>
  <si>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</si>
  <si>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</si>
  <si>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</si>
  <si>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</si>
  <si>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</si>
  <si>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</si>
  <si>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</si>
  <si>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</si>
  <si>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</si>
  <si>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</si>
  <si>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</si>
  <si>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</si>
  <si>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</si>
  <si>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</si>
  <si>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</si>
  <si>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</si>
  <si>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</si>
  <si>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</si>
  <si>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</si>
  <si>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</si>
  <si>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</si>
  <si>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</si>
  <si>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</si>
  <si>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</si>
  <si>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</si>
  <si>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</si>
  <si>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</si>
  <si>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</si>
  <si>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</si>
  <si>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</si>
  <si>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</si>
  <si>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</si>
  <si>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</si>
  <si>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</si>
  <si>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</si>
  <si>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</si>
  <si>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</si>
  <si>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</si>
  <si>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</si>
  <si>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</si>
  <si>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</si>
  <si>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</si>
  <si>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</si>
  <si>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</si>
  <si>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</si>
  <si>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</si>
  <si>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</si>
  <si>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</si>
  <si>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</si>
  <si>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</si>
  <si>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</si>
  <si>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</si>
  <si>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</si>
  <si>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</si>
  <si>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</si>
  <si>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</si>
  <si>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</si>
  <si>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</si>
  <si>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DENNIS ROSE &amp; ASSOCIATES, P.C.</t>
  </si>
  <si>
    <t>DENNIS ROSE</t>
  </si>
  <si>
    <t>1904 STATE STREET</t>
  </si>
  <si>
    <t>ALTON</t>
  </si>
  <si>
    <t>IL</t>
  </si>
  <si>
    <t>618-465-4999</t>
  </si>
  <si>
    <t>618-465-5050</t>
  </si>
  <si>
    <t>066-005060</t>
  </si>
  <si>
    <t>DROSECPA@DRA-CPA.COM</t>
  </si>
  <si>
    <t>x</t>
  </si>
  <si>
    <t>MADISON</t>
  </si>
  <si>
    <t>401 CHAFFER AVENUE</t>
  </si>
  <si>
    <t>ROXANA</t>
  </si>
  <si>
    <t>DKREUTZ@ROXANASCHOOLS.ORG</t>
  </si>
  <si>
    <t>The accompanying Schedule of Expenditures of Federal Awards includes the federal grant activity of Roxana Community Unit School District No. 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</si>
  <si>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Roxana Community Unit School District No. 1 provided federal awards to subrecipients as follows:</t>
  </si>
  <si>
    <r>
      <t xml:space="preserve">The following amounts were expended in the form of non-cash assistance by Roxana Community Unit School District No. 1 and </t>
    </r>
    <r>
      <rPr>
        <b/>
        <sz val="9"/>
        <rFont val="Calibri"/>
        <family val="2"/>
        <scheme val="minor"/>
      </rPr>
      <t>should be</t>
    </r>
    <r>
      <rPr>
        <sz val="9"/>
        <rFont val="Calibri"/>
        <family val="2"/>
        <scheme val="minor"/>
      </rPr>
      <t xml:space="preserve"> included in the Schedule of Expenditures of Federal Awards:</t>
    </r>
  </si>
  <si>
    <t>NONE</t>
  </si>
  <si>
    <t>SERIES 2003B QZAB</t>
  </si>
  <si>
    <t>QZAB</t>
  </si>
  <si>
    <t>LEASE PURCHASE</t>
  </si>
  <si>
    <t>2011 SERIES GO BONDS</t>
  </si>
  <si>
    <t>1,3</t>
  </si>
  <si>
    <t>2014A SERIES GO BONDS</t>
  </si>
  <si>
    <t>1,2</t>
  </si>
  <si>
    <t>2014B SERIES GO BONDS</t>
  </si>
  <si>
    <t>2015 SERIES GO REFUNDING BONDS</t>
  </si>
  <si>
    <t>2017 SERIES GO REFUNDING BONDS</t>
  </si>
  <si>
    <t>$450,000 LEASE PURCHASE AGREEMENT</t>
  </si>
  <si>
    <t>2018 SERIES GO REFUNDING BONDS</t>
  </si>
  <si>
    <t>O&amp;M - O&amp;M PLANT SERV-PURCHASE SERV</t>
  </si>
  <si>
    <t>20-2540-300</t>
  </si>
  <si>
    <t>WEGMAN ELECTRIC COMPANY</t>
  </si>
  <si>
    <t>O&amp;M - O&amp;M PLANT SERV-SUPPLIES</t>
  </si>
  <si>
    <t>20-2540-400</t>
  </si>
  <si>
    <t>FRENCH GERLEMAN</t>
  </si>
  <si>
    <t>B-LINE STRIPING</t>
  </si>
  <si>
    <t>ED-INTERSCHOLASTIC - PURCHASE SERV</t>
  </si>
  <si>
    <t>LEAH BRUECKNER</t>
  </si>
  <si>
    <t>ILLINOIS ENERGY CONSORTIUM</t>
  </si>
  <si>
    <t>MISSVIC</t>
  </si>
  <si>
    <t>ISDLAF</t>
  </si>
  <si>
    <t>CENTRAL IL SCHOOL FOOD</t>
  </si>
  <si>
    <t>PRIOR-ALTON, E. ALTON, WOOD RIVER/HARTFORD</t>
  </si>
  <si>
    <t>U.S. DEPARTMENT OF EDUCATION:</t>
  </si>
  <si>
    <t>PASS THROUGH ILLINOIS STATE BOARD OF EDUCATION:</t>
  </si>
  <si>
    <t>TITLE I - LOW INCOME</t>
  </si>
  <si>
    <t>84.010A</t>
  </si>
  <si>
    <t>2018-4300-00</t>
  </si>
  <si>
    <t>2019-4300-00</t>
  </si>
  <si>
    <t>TITLE II - TEACHER QUALITY</t>
  </si>
  <si>
    <t>84.367A</t>
  </si>
  <si>
    <t>2018-4932-00</t>
  </si>
  <si>
    <t>2019-4932-00</t>
  </si>
  <si>
    <t>IDEA PART B FLOW THROUGH</t>
  </si>
  <si>
    <t>2018-4620-00</t>
  </si>
  <si>
    <t>2019-4620-00</t>
  </si>
  <si>
    <t>IDEA PART B PRE SCHOOL</t>
  </si>
  <si>
    <t>2018-4600-00</t>
  </si>
  <si>
    <t>2019-4600-00</t>
  </si>
  <si>
    <t>TITLE IVA - STUDENT SUPPORT &amp; ACADEMIC ENRICHMENT</t>
  </si>
  <si>
    <t>84.424A</t>
  </si>
  <si>
    <t>2018-4400-00</t>
  </si>
  <si>
    <t>2019-4400-00</t>
  </si>
  <si>
    <t>TITLE I - SCHOOL IMPROVEMENT</t>
  </si>
  <si>
    <t>2019-4331-00</t>
  </si>
  <si>
    <t xml:space="preserve">   TOTAL ILLINOIS STATE BOARD OF EDUCATION</t>
  </si>
  <si>
    <t>PASS THROUGH MADISON COUNTY CAREER &amp; TECHNICAL EDUCATION SYSTEM:</t>
  </si>
  <si>
    <t>84.048A</t>
  </si>
  <si>
    <t>2019-4770-00</t>
  </si>
  <si>
    <t>TOTAL U.S. DEPARTMENT OF EDUCATION</t>
  </si>
  <si>
    <t>U.S. DEPARTMENT OF AGRICULTURE:</t>
  </si>
  <si>
    <t>NATIONAL SCHOOL LUNCH PROGRAM   (M)</t>
  </si>
  <si>
    <t>2018-4210-00</t>
  </si>
  <si>
    <t>2019-4210-00</t>
  </si>
  <si>
    <t>SCHOOL BREAKFAST PROGRAM     (M)</t>
  </si>
  <si>
    <t>2018-4220-00</t>
  </si>
  <si>
    <t>2019-4220-00</t>
  </si>
  <si>
    <t>COMMODITIES (NON CASH ASSISTANCE)   (M)</t>
  </si>
  <si>
    <t>2019-4299-00</t>
  </si>
  <si>
    <t>TOTAL U.S. DEPARTMENT OF AGRICULTURE</t>
  </si>
  <si>
    <t>U.S. DEPARTMENT OF DEFENSE:</t>
  </si>
  <si>
    <t>U.S. DEPARTMENT OF HEALTH &amp; HUMAN SERVICES:</t>
  </si>
  <si>
    <t>PASS THROUGH ILLINOIS DEPARTMENT OF HEALTHCARE &amp; FAMILY SERVICES:</t>
  </si>
  <si>
    <t>MEDICAID MATCHING</t>
  </si>
  <si>
    <t>TOTAL FEDERAL PROGRAMS</t>
  </si>
  <si>
    <t>COMMODITIES</t>
  </si>
  <si>
    <t>PURPOSEFUL LIVING</t>
  </si>
  <si>
    <t>TOTAL U.S. DEPARTMENT OF HEALTH &amp; HUMAN SERVICES</t>
  </si>
  <si>
    <t>INFORMATIONAL ONLY TOTALS FOR PROGRAMS:</t>
  </si>
  <si>
    <t>CFDA 84.010A</t>
  </si>
  <si>
    <t>CFDA 84.367A</t>
  </si>
  <si>
    <t>CFDA 84.048A</t>
  </si>
  <si>
    <t>CFDA 84.424A</t>
  </si>
  <si>
    <t>CFDA 10.555</t>
  </si>
  <si>
    <t>CFDA 10.553</t>
  </si>
  <si>
    <t>CFDA 93.778</t>
  </si>
  <si>
    <t>CLUSTER PROGRAMS:</t>
  </si>
  <si>
    <t>10.553, 10.555</t>
  </si>
  <si>
    <t>ADVERSE</t>
  </si>
  <si>
    <t>UNMODIFIED</t>
  </si>
  <si>
    <t>10.555, 10.553</t>
  </si>
  <si>
    <t>CHILD NUTRITION</t>
  </si>
  <si>
    <t>10-1000-300</t>
  </si>
  <si>
    <t>84.027A, 84.173A</t>
  </si>
  <si>
    <t>CFDA 84.027A</t>
  </si>
  <si>
    <t>CFDA 84.173A</t>
  </si>
  <si>
    <t>84.027A</t>
  </si>
  <si>
    <t>84.173A</t>
  </si>
  <si>
    <t>CTE PERKINS TITLE IIIE - TECH PREP</t>
  </si>
  <si>
    <t>R9-14 ED FUND A/C 1690 OTHER FOOD SERVICE - OTHER $8,823</t>
  </si>
  <si>
    <t>R9-14 ED FUND A/C 1790 OTHER SCHOOL FEES - OTHER $6,722</t>
  </si>
  <si>
    <t>R9-14 ED FUND A/C 1999 OTHER REVENUE - OTHER $8,824</t>
  </si>
  <si>
    <t>R9-14 O&amp;M FUND A/C 1999 OTHER REVENUE - OTHER $15,408</t>
  </si>
  <si>
    <t>R9-14 TRANSPORTATION FUND A/C 1999 OTHER REVENUE - OTHER $8,992</t>
  </si>
  <si>
    <t>R9-14 IMRF FUND A/C 1999 OTHER REVENUE - OTHER $18,258</t>
  </si>
  <si>
    <t>R9-14 ED FUND A/C 3999 OTHER STATE REVENUE - OTHER $17,915</t>
  </si>
  <si>
    <t>R9-14 ED FUND A/C 4299 FOOD SERVICE OTHER - NON-CASH COMMODITIES $82,664</t>
  </si>
  <si>
    <t>R9-14 ED FUND A/C 4999 OTHER FEDERAL REVENUE - OTHER $42,487</t>
  </si>
  <si>
    <t>E15-22 ED FUND A/C 2190 OTHER SUPPORT SERVICES - OTHER $121,469</t>
  </si>
  <si>
    <t>E15-22 ED FUND A/C 2900 OTHER SUPPORT SERVICES - OTHER $238</t>
  </si>
  <si>
    <t>E15-22 O&amp;M FUND, A/C 5400 DEBT SERVICES OTHER - OTHER $4,100</t>
  </si>
  <si>
    <t>E15-22 IMRF FUND, A/C 2190 OTHER SUPPORT SERVICES - OTHER $1,680</t>
  </si>
  <si>
    <t>CFDA 93.630</t>
  </si>
  <si>
    <t>Roxana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</si>
</sst>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2" zoomScale="89" zoomScaleNormal="89" zoomScalePageLayoutView="86"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14" t="s">
        <v>405</v>
      </c>
      <c r="J1" s="2015"/>
      <c r="K1" s="2015"/>
      <c r="L1" s="2015"/>
      <c r="M1" s="2015"/>
      <c r="N1" s="2015"/>
      <c r="O1" s="2015"/>
      <c r="P1" s="2015"/>
      <c r="Q1" s="2015"/>
      <c r="R1" s="2015"/>
      <c r="S1" s="2015"/>
    </row>
    <row r="2" spans="1:28" ht="12" customHeight="1" x14ac:dyDescent="0.2">
      <c r="A2" s="47" t="s">
        <v>1990</v>
      </c>
      <c r="D2" s="48"/>
      <c r="I2" s="2016" t="s">
        <v>979</v>
      </c>
      <c r="J2" s="2015"/>
      <c r="K2" s="2015"/>
      <c r="L2" s="2015"/>
      <c r="M2" s="2015"/>
      <c r="N2" s="2015"/>
      <c r="O2" s="2015"/>
      <c r="P2" s="2015"/>
      <c r="Q2" s="2015"/>
      <c r="R2" s="2015"/>
      <c r="S2" s="2015"/>
    </row>
    <row r="3" spans="1:28" ht="12" customHeight="1" x14ac:dyDescent="0.2">
      <c r="A3" s="155" t="s">
        <v>1942</v>
      </c>
      <c r="B3" s="156"/>
      <c r="C3" s="156"/>
      <c r="D3" s="157"/>
      <c r="I3" s="2016" t="s">
        <v>52</v>
      </c>
      <c r="J3" s="2015"/>
      <c r="K3" s="2015"/>
      <c r="L3" s="2015"/>
      <c r="M3" s="2015"/>
      <c r="N3" s="2015"/>
      <c r="O3" s="2015"/>
      <c r="P3" s="2015"/>
      <c r="Q3" s="2015"/>
      <c r="R3" s="2015"/>
      <c r="S3" s="2015"/>
    </row>
    <row r="4" spans="1:28" ht="12" customHeight="1" x14ac:dyDescent="0.2">
      <c r="A4" s="37"/>
      <c r="I4" s="2016" t="s">
        <v>524</v>
      </c>
      <c r="J4" s="2015"/>
      <c r="K4" s="2015"/>
      <c r="L4" s="2015"/>
      <c r="M4" s="2015"/>
      <c r="N4" s="2015"/>
      <c r="O4" s="2015"/>
      <c r="P4" s="2015"/>
      <c r="Q4" s="2015"/>
      <c r="R4" s="2015"/>
      <c r="S4" s="2015"/>
    </row>
    <row r="5" spans="1:28" ht="14.1" customHeight="1" x14ac:dyDescent="0.2">
      <c r="B5" s="104" t="s">
        <v>2061</v>
      </c>
      <c r="C5" s="26" t="s">
        <v>910</v>
      </c>
      <c r="D5" s="84"/>
      <c r="E5" s="84"/>
      <c r="H5" s="38"/>
      <c r="I5" s="2023" t="s">
        <v>680</v>
      </c>
      <c r="J5" s="1968"/>
      <c r="K5" s="1968"/>
      <c r="L5" s="1968"/>
      <c r="M5" s="1968"/>
      <c r="N5" s="1968"/>
      <c r="O5" s="1968"/>
      <c r="P5" s="1968"/>
      <c r="Q5" s="1968"/>
      <c r="R5" s="1968"/>
      <c r="S5" s="1968"/>
    </row>
    <row r="6" spans="1:28" ht="14.1" customHeight="1" x14ac:dyDescent="0.2">
      <c r="B6" s="104"/>
      <c r="C6" s="26" t="s">
        <v>911</v>
      </c>
      <c r="D6" s="84"/>
      <c r="E6" s="84"/>
      <c r="I6" s="2022" t="s">
        <v>883</v>
      </c>
      <c r="J6" s="1968"/>
      <c r="K6" s="1968"/>
      <c r="L6" s="1968"/>
      <c r="M6" s="1968"/>
      <c r="N6" s="1968"/>
      <c r="O6" s="1968"/>
      <c r="P6" s="1968"/>
      <c r="Q6" s="1968"/>
      <c r="R6" s="1968"/>
      <c r="S6" s="1968"/>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674</v>
      </c>
      <c r="J9" s="2020"/>
      <c r="K9" s="2020"/>
      <c r="L9" s="2020"/>
      <c r="M9" s="2020"/>
      <c r="N9" s="2020"/>
      <c r="O9" s="2020"/>
      <c r="P9" s="2020"/>
      <c r="Q9" s="2020"/>
      <c r="R9" s="2020"/>
      <c r="S9" s="2021"/>
      <c r="T9" s="1964" t="s">
        <v>533</v>
      </c>
      <c r="U9" s="1965"/>
      <c r="V9" s="1965"/>
      <c r="W9" s="1965"/>
      <c r="X9" s="1965"/>
      <c r="Y9" s="1965"/>
      <c r="Z9" s="1965"/>
      <c r="AA9" s="1966"/>
    </row>
    <row r="10" spans="1:28" ht="13.5" customHeight="1" x14ac:dyDescent="0.2">
      <c r="A10" s="1973" t="s">
        <v>675</v>
      </c>
      <c r="B10" s="1974"/>
      <c r="C10" s="1974"/>
      <c r="D10" s="1974"/>
      <c r="E10" s="1974"/>
      <c r="F10" s="1974"/>
      <c r="G10" s="1974"/>
      <c r="H10" s="1975"/>
      <c r="I10" s="29"/>
      <c r="J10" s="30"/>
      <c r="K10" s="28"/>
      <c r="R10" s="30"/>
      <c r="S10" s="30"/>
      <c r="T10" s="1967"/>
      <c r="U10" s="1968"/>
      <c r="V10" s="1968"/>
      <c r="W10" s="1968"/>
      <c r="X10" s="1968"/>
      <c r="Y10" s="1968"/>
      <c r="Z10" s="1968"/>
      <c r="AA10" s="1969"/>
    </row>
    <row r="11" spans="1:28" ht="14.25" customHeight="1" x14ac:dyDescent="0.2">
      <c r="A11" s="1976" t="s">
        <v>955</v>
      </c>
      <c r="B11" s="1977"/>
      <c r="C11" s="1977"/>
      <c r="D11" s="1977"/>
      <c r="E11" s="1977"/>
      <c r="F11" s="1977"/>
      <c r="G11" s="1977"/>
      <c r="H11" s="1978"/>
      <c r="I11" s="27"/>
      <c r="J11" s="74"/>
      <c r="K11" s="27"/>
      <c r="O11" s="148" t="s">
        <v>2061</v>
      </c>
      <c r="P11" s="100" t="s">
        <v>201</v>
      </c>
      <c r="Q11" s="30"/>
      <c r="R11" s="28"/>
      <c r="S11" s="27"/>
      <c r="T11" s="1970"/>
      <c r="U11" s="1971"/>
      <c r="V11" s="1971"/>
      <c r="W11" s="1971"/>
      <c r="X11" s="1971"/>
      <c r="Y11" s="1971"/>
      <c r="Z11" s="1971"/>
      <c r="AA11" s="197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4">
        <v>41057001026</v>
      </c>
      <c r="B13" s="1985"/>
      <c r="C13" s="1985"/>
      <c r="D13" s="1985"/>
      <c r="E13" s="1985"/>
      <c r="F13" s="1985"/>
      <c r="G13" s="1985"/>
      <c r="H13" s="1986"/>
      <c r="I13" s="31"/>
      <c r="J13" s="30"/>
      <c r="K13" s="28"/>
      <c r="L13" s="30"/>
      <c r="M13" s="30"/>
      <c r="N13" s="30"/>
      <c r="O13" s="30"/>
      <c r="P13" s="30"/>
      <c r="Q13" s="30"/>
      <c r="R13" s="30"/>
      <c r="S13" s="30"/>
      <c r="T13" s="1989" t="s">
        <v>2062</v>
      </c>
      <c r="U13" s="1990"/>
      <c r="V13" s="1990"/>
      <c r="W13" s="1990"/>
      <c r="X13" s="1990"/>
      <c r="Y13" s="1991"/>
      <c r="Z13" s="1991"/>
      <c r="AA13" s="199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2" t="s">
        <v>2072</v>
      </c>
      <c r="B15" s="1987"/>
      <c r="C15" s="1987"/>
      <c r="D15" s="1987"/>
      <c r="E15" s="1987"/>
      <c r="F15" s="1987"/>
      <c r="G15" s="1987"/>
      <c r="H15" s="1988"/>
      <c r="T15" s="1950" t="s">
        <v>2063</v>
      </c>
      <c r="U15" s="1951"/>
      <c r="V15" s="1951"/>
      <c r="W15" s="1951"/>
      <c r="X15" s="1951"/>
      <c r="Y15" s="1993"/>
      <c r="Z15" s="1993"/>
      <c r="AA15" s="199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2" t="s">
        <v>2186</v>
      </c>
      <c r="B17" s="2012"/>
      <c r="C17" s="2012"/>
      <c r="D17" s="2012"/>
      <c r="E17" s="2012"/>
      <c r="F17" s="2012"/>
      <c r="G17" s="2012"/>
      <c r="H17" s="2013"/>
      <c r="T17" s="1999" t="s">
        <v>2064</v>
      </c>
      <c r="U17" s="2000"/>
      <c r="V17" s="2000"/>
      <c r="W17" s="2000"/>
      <c r="X17" s="2000"/>
      <c r="Y17" s="2000"/>
      <c r="Z17" s="2000"/>
      <c r="AA17" s="2001"/>
    </row>
    <row r="18" spans="1:27" ht="13.5" customHeight="1" x14ac:dyDescent="0.2">
      <c r="A18" s="85" t="s">
        <v>530</v>
      </c>
      <c r="B18" s="76"/>
      <c r="C18" s="72"/>
      <c r="D18" s="76"/>
      <c r="E18" s="76"/>
      <c r="F18" s="76"/>
      <c r="G18" s="76"/>
      <c r="H18" s="56"/>
      <c r="I18" s="2009" t="s">
        <v>676</v>
      </c>
      <c r="J18" s="2010"/>
      <c r="K18" s="2010"/>
      <c r="L18" s="2010"/>
      <c r="M18" s="2010"/>
      <c r="N18" s="2010"/>
      <c r="O18" s="2010"/>
      <c r="P18" s="2010"/>
      <c r="Q18" s="2010"/>
      <c r="R18" s="2010"/>
      <c r="S18" s="2011"/>
      <c r="T18" s="85" t="s">
        <v>711</v>
      </c>
      <c r="U18" s="51"/>
      <c r="V18" s="72"/>
      <c r="W18" s="50"/>
      <c r="X18" s="85" t="s">
        <v>266</v>
      </c>
      <c r="Y18" s="81"/>
      <c r="Z18" s="159" t="s">
        <v>677</v>
      </c>
      <c r="AA18" s="46"/>
    </row>
    <row r="19" spans="1:27" ht="13.5" customHeight="1" x14ac:dyDescent="0.2">
      <c r="A19" s="1982" t="s">
        <v>2073</v>
      </c>
      <c r="B19" s="1983"/>
      <c r="C19" s="1983"/>
      <c r="D19" s="1983"/>
      <c r="E19" s="1983"/>
      <c r="F19" s="1983"/>
      <c r="G19" s="1983"/>
      <c r="H19" s="1981"/>
      <c r="I19" s="30"/>
      <c r="J19" s="99"/>
      <c r="K19" s="40"/>
      <c r="L19" s="38"/>
      <c r="M19" s="112" t="s">
        <v>315</v>
      </c>
      <c r="P19" s="27"/>
      <c r="Q19" s="27"/>
      <c r="R19" s="27"/>
      <c r="S19" s="31"/>
      <c r="T19" s="1982" t="s">
        <v>2065</v>
      </c>
      <c r="U19" s="1980"/>
      <c r="V19" s="1980"/>
      <c r="W19" s="1981"/>
      <c r="X19" s="1997" t="s">
        <v>2066</v>
      </c>
      <c r="Y19" s="1998"/>
      <c r="Z19" s="1995">
        <v>62002</v>
      </c>
      <c r="AA19" s="199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9" t="s">
        <v>2074</v>
      </c>
      <c r="B21" s="1980"/>
      <c r="C21" s="1980"/>
      <c r="D21" s="1980"/>
      <c r="E21" s="1980"/>
      <c r="F21" s="1980"/>
      <c r="G21" s="1980"/>
      <c r="H21" s="1981"/>
      <c r="I21" s="2005" t="s">
        <v>678</v>
      </c>
      <c r="J21" s="1968"/>
      <c r="K21" s="1968"/>
      <c r="L21" s="1968"/>
      <c r="M21" s="1968"/>
      <c r="N21" s="1968"/>
      <c r="O21" s="1968"/>
      <c r="P21" s="1968"/>
      <c r="Q21" s="1968"/>
      <c r="R21" s="1968"/>
      <c r="S21" s="1969"/>
      <c r="T21" s="1947" t="s">
        <v>2067</v>
      </c>
      <c r="U21" s="1948"/>
      <c r="V21" s="1948"/>
      <c r="W21" s="1948"/>
      <c r="X21" s="1961" t="s">
        <v>2068</v>
      </c>
      <c r="Y21" s="1962"/>
      <c r="Z21" s="1962"/>
      <c r="AA21" s="1963"/>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2" t="s">
        <v>2075</v>
      </c>
      <c r="B23" s="2003"/>
      <c r="C23" s="2003"/>
      <c r="D23" s="2003"/>
      <c r="E23" s="2003"/>
      <c r="F23" s="2003"/>
      <c r="G23" s="2003"/>
      <c r="H23" s="2004"/>
      <c r="T23" s="1942" t="s">
        <v>2069</v>
      </c>
      <c r="U23" s="1943"/>
      <c r="V23" s="1943"/>
      <c r="W23" s="1943"/>
      <c r="X23" s="1958">
        <v>44530</v>
      </c>
      <c r="Y23" s="1959"/>
      <c r="Z23" s="1959"/>
      <c r="AA23" s="1960"/>
    </row>
    <row r="24" spans="1:27" ht="14.1" customHeight="1" x14ac:dyDescent="0.2">
      <c r="A24" s="88" t="s">
        <v>677</v>
      </c>
      <c r="B24" s="49"/>
      <c r="C24" s="49"/>
      <c r="D24" s="49"/>
      <c r="E24" s="49"/>
      <c r="F24" s="49"/>
      <c r="G24" s="49"/>
      <c r="H24" s="61"/>
      <c r="J24" s="2044">
        <f>IF(B5="x",IF(AUDITCHECK!D29="AFR form Incomplete.","",IF(AUDITCHECK!D29="Deficit reduction plan is required.","School District must complete a deficit reduction plan in the 2019-2020 Budget",)),"")</f>
        <v>0</v>
      </c>
      <c r="K24" s="2044"/>
      <c r="L24" s="2044"/>
      <c r="M24" s="2044"/>
      <c r="N24" s="2044"/>
      <c r="O24" s="2044"/>
      <c r="P24" s="2044"/>
      <c r="Q24" s="2044"/>
      <c r="R24" s="2044"/>
      <c r="S24" s="2045"/>
      <c r="T24" s="105" t="s">
        <v>531</v>
      </c>
      <c r="U24" s="106"/>
      <c r="V24" s="106"/>
      <c r="W24" s="106"/>
      <c r="X24" s="107"/>
      <c r="Y24" s="107"/>
      <c r="Z24" s="107"/>
      <c r="AA24" s="108"/>
    </row>
    <row r="25" spans="1:27" ht="14.1" customHeight="1" x14ac:dyDescent="0.2">
      <c r="A25" s="1979">
        <v>62084</v>
      </c>
      <c r="B25" s="1980"/>
      <c r="C25" s="1980"/>
      <c r="D25" s="1980"/>
      <c r="E25" s="1980"/>
      <c r="F25" s="1980"/>
      <c r="G25" s="1980"/>
      <c r="H25" s="1981"/>
      <c r="I25" s="113"/>
      <c r="J25" s="2046"/>
      <c r="K25" s="2046"/>
      <c r="L25" s="2046"/>
      <c r="M25" s="2046"/>
      <c r="N25" s="2046"/>
      <c r="O25" s="2046"/>
      <c r="P25" s="2046"/>
      <c r="Q25" s="2046"/>
      <c r="R25" s="2046"/>
      <c r="S25" s="2047"/>
      <c r="T25" s="1939" t="s">
        <v>2070</v>
      </c>
      <c r="U25" s="1940"/>
      <c r="V25" s="1940"/>
      <c r="W25" s="1940"/>
      <c r="X25" s="1940"/>
      <c r="Y25" s="1940"/>
      <c r="Z25" s="1940"/>
      <c r="AA25" s="19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7" t="s">
        <v>1511</v>
      </c>
      <c r="J27" s="2010"/>
      <c r="K27" s="2010"/>
      <c r="L27" s="2010"/>
      <c r="M27" s="2010"/>
      <c r="N27" s="2010"/>
      <c r="O27" s="2010"/>
      <c r="P27" s="2010"/>
      <c r="Q27" s="2010"/>
      <c r="R27" s="2010"/>
      <c r="S27" s="201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3"/>
      <c r="Q35" s="1980"/>
      <c r="R35" s="198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2"/>
      <c r="B38" s="2012"/>
      <c r="C38" s="2012"/>
      <c r="D38" s="2012"/>
      <c r="E38" s="2012"/>
      <c r="F38" s="1980"/>
      <c r="G38" s="1980"/>
      <c r="H38" s="1981"/>
      <c r="I38" s="2031"/>
      <c r="J38" s="1951"/>
      <c r="K38" s="1951"/>
      <c r="L38" s="1951"/>
      <c r="M38" s="1951"/>
      <c r="N38" s="1951"/>
      <c r="O38" s="1951"/>
      <c r="P38" s="1952"/>
      <c r="Q38" s="1952"/>
      <c r="R38" s="1952"/>
      <c r="S38" s="1953"/>
      <c r="T38" s="1950"/>
      <c r="U38" s="1951"/>
      <c r="V38" s="1951"/>
      <c r="W38" s="1951"/>
      <c r="X38" s="1952"/>
      <c r="Y38" s="1952"/>
      <c r="Z38" s="1952"/>
      <c r="AA38" s="1953"/>
    </row>
    <row r="39" spans="1:27" ht="12" customHeight="1" x14ac:dyDescent="0.2">
      <c r="A39" s="2035" t="s">
        <v>531</v>
      </c>
      <c r="B39" s="2036"/>
      <c r="C39" s="72"/>
      <c r="D39" s="69"/>
      <c r="E39" s="69"/>
      <c r="F39" s="79"/>
      <c r="G39" s="69"/>
      <c r="H39" s="56"/>
      <c r="I39" s="2035" t="s">
        <v>531</v>
      </c>
      <c r="J39" s="2036"/>
      <c r="K39" s="2036"/>
      <c r="L39" s="2036"/>
      <c r="M39" s="2036"/>
      <c r="N39" s="67"/>
      <c r="O39" s="72"/>
      <c r="P39" s="72"/>
      <c r="Q39" s="78"/>
      <c r="R39" s="72"/>
      <c r="S39" s="56"/>
      <c r="T39" s="72" t="s">
        <v>531</v>
      </c>
      <c r="U39" s="51"/>
      <c r="V39" s="72"/>
      <c r="W39" s="50"/>
      <c r="X39" s="78"/>
      <c r="Y39" s="45"/>
      <c r="Z39" s="45"/>
      <c r="AA39" s="46"/>
    </row>
    <row r="40" spans="1:27" ht="13.5" customHeight="1" x14ac:dyDescent="0.2">
      <c r="A40" s="2038"/>
      <c r="B40" s="2039"/>
      <c r="C40" s="2040"/>
      <c r="D40" s="2040"/>
      <c r="E40" s="2040"/>
      <c r="F40" s="2041"/>
      <c r="G40" s="2041"/>
      <c r="H40" s="2042"/>
      <c r="I40" s="1954"/>
      <c r="J40" s="1956"/>
      <c r="K40" s="1956"/>
      <c r="L40" s="1956"/>
      <c r="M40" s="1956"/>
      <c r="N40" s="1956"/>
      <c r="O40" s="1956"/>
      <c r="P40" s="1956"/>
      <c r="Q40" s="1956"/>
      <c r="R40" s="1956"/>
      <c r="S40" s="1957"/>
      <c r="T40" s="1954"/>
      <c r="U40" s="1955"/>
      <c r="V40" s="1956"/>
      <c r="W40" s="1956"/>
      <c r="X40" s="1956"/>
      <c r="Y40" s="1956"/>
      <c r="Z40" s="1956"/>
      <c r="AA40" s="195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8"/>
      <c r="B42" s="2029"/>
      <c r="C42" s="2030"/>
      <c r="D42" s="2043"/>
      <c r="E42" s="2029"/>
      <c r="F42" s="2029"/>
      <c r="G42" s="2029"/>
      <c r="H42" s="2030"/>
      <c r="I42" s="1949"/>
      <c r="J42" s="1945"/>
      <c r="K42" s="1945"/>
      <c r="L42" s="1945"/>
      <c r="M42" s="1945"/>
      <c r="N42" s="1945"/>
      <c r="O42" s="1946"/>
      <c r="P42" s="1944"/>
      <c r="Q42" s="1945"/>
      <c r="R42" s="1945"/>
      <c r="S42" s="1946"/>
      <c r="T42" s="1949"/>
      <c r="U42" s="1945"/>
      <c r="V42" s="1945"/>
      <c r="W42" s="1946"/>
      <c r="X42" s="1944"/>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2"/>
      <c r="B44" s="2033"/>
      <c r="C44" s="2033"/>
      <c r="D44" s="2033"/>
      <c r="E44" s="2033"/>
      <c r="F44" s="2033"/>
      <c r="G44" s="2033"/>
      <c r="H44" s="2034"/>
      <c r="I44" s="2024"/>
      <c r="J44" s="2026"/>
      <c r="K44" s="2026"/>
      <c r="L44" s="2026"/>
      <c r="M44" s="2026"/>
      <c r="N44" s="2026"/>
      <c r="O44" s="2026"/>
      <c r="P44" s="2026"/>
      <c r="Q44" s="2026"/>
      <c r="R44" s="2026"/>
      <c r="S44" s="2027"/>
      <c r="T44" s="2024"/>
      <c r="U44" s="2025"/>
      <c r="V44" s="2025"/>
      <c r="W44" s="2025"/>
      <c r="X44" s="2025"/>
      <c r="Y44" s="2025"/>
      <c r="Z44" s="2026"/>
      <c r="AA44" s="202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rintOptions horizontalCentered="1"/>
  <pageMargins left="0.75" right="0.75" top="1" bottom="0.5" header="0.5" footer="0.5"/>
  <pageSetup scale="65" orientation="landscape" useFirstPageNumber="1" r:id="rId3"/>
  <headerFooter>
    <oddFooter>&amp;C&amp;"Times New Roman,Regular"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17" sqref="C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1799</v>
      </c>
      <c r="B2" s="1528" t="s">
        <v>1948</v>
      </c>
      <c r="C2" s="714" t="s">
        <v>1949</v>
      </c>
      <c r="D2" s="714" t="s">
        <v>1950</v>
      </c>
      <c r="E2" s="714" t="s">
        <v>1951</v>
      </c>
      <c r="F2" s="714" t="s">
        <v>1952</v>
      </c>
    </row>
    <row r="3" spans="1:6" ht="12" customHeight="1" x14ac:dyDescent="0.2">
      <c r="A3" s="2182"/>
      <c r="B3" s="1525"/>
      <c r="C3" s="1526"/>
      <c r="D3" s="1527" t="s">
        <v>256</v>
      </c>
      <c r="E3" s="1526"/>
      <c r="F3" s="1527" t="s">
        <v>257</v>
      </c>
    </row>
    <row r="4" spans="1:6" ht="13.7" customHeight="1" x14ac:dyDescent="0.2">
      <c r="A4" s="715" t="s">
        <v>1155</v>
      </c>
      <c r="B4" s="1749">
        <f>'Revenues 9-14'!C5</f>
        <v>11852309</v>
      </c>
      <c r="C4" s="1524">
        <v>331823</v>
      </c>
      <c r="D4" s="1752">
        <f>B4-C4</f>
        <v>11520486</v>
      </c>
      <c r="E4" s="1524">
        <v>11849405</v>
      </c>
      <c r="F4" s="1752">
        <f>E4-C4</f>
        <v>11517582</v>
      </c>
    </row>
    <row r="5" spans="1:6" ht="13.7" customHeight="1" x14ac:dyDescent="0.2">
      <c r="A5" s="715" t="s">
        <v>870</v>
      </c>
      <c r="B5" s="1750">
        <f>'Revenues 9-14'!D5</f>
        <v>2781656</v>
      </c>
      <c r="C5" s="585">
        <v>77877</v>
      </c>
      <c r="D5" s="1753">
        <f t="shared" ref="D5:D18" si="0">B5-C5</f>
        <v>2703779</v>
      </c>
      <c r="E5" s="585">
        <v>2780978</v>
      </c>
      <c r="F5" s="1753">
        <f>E5-C5</f>
        <v>2703101</v>
      </c>
    </row>
    <row r="6" spans="1:6" ht="13.7" customHeight="1" x14ac:dyDescent="0.2">
      <c r="A6" s="715" t="s">
        <v>411</v>
      </c>
      <c r="B6" s="1750">
        <f>'Revenues 9-14'!E5</f>
        <v>2066703</v>
      </c>
      <c r="C6" s="585">
        <v>43361</v>
      </c>
      <c r="D6" s="1753">
        <f t="shared" si="0"/>
        <v>2023342</v>
      </c>
      <c r="E6" s="585">
        <v>1548280</v>
      </c>
      <c r="F6" s="1753">
        <f t="shared" ref="F6:F18" si="1">E6-C6</f>
        <v>1504919</v>
      </c>
    </row>
    <row r="7" spans="1:6" ht="13.7" customHeight="1" x14ac:dyDescent="0.2">
      <c r="A7" s="715" t="s">
        <v>155</v>
      </c>
      <c r="B7" s="1750">
        <f>'Revenues 9-14'!F5</f>
        <v>967530</v>
      </c>
      <c r="C7" s="585">
        <v>27093</v>
      </c>
      <c r="D7" s="1753">
        <f t="shared" si="0"/>
        <v>940437</v>
      </c>
      <c r="E7" s="585">
        <v>967490</v>
      </c>
      <c r="F7" s="1753">
        <f t="shared" si="1"/>
        <v>940397</v>
      </c>
    </row>
    <row r="8" spans="1:6" ht="13.7" customHeight="1" x14ac:dyDescent="0.2">
      <c r="A8" s="715" t="s">
        <v>1179</v>
      </c>
      <c r="B8" s="1750">
        <f>'Revenues 9-14'!G5</f>
        <v>542036</v>
      </c>
      <c r="C8" s="585">
        <v>18214</v>
      </c>
      <c r="D8" s="1753">
        <f t="shared" si="0"/>
        <v>523822</v>
      </c>
      <c r="E8" s="585">
        <v>650426</v>
      </c>
      <c r="F8" s="1753">
        <f t="shared" si="1"/>
        <v>632212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v>0</v>
      </c>
      <c r="F10" s="1753">
        <f t="shared" si="1"/>
        <v>0</v>
      </c>
    </row>
    <row r="11" spans="1:6" x14ac:dyDescent="0.2">
      <c r="A11" s="715" t="s">
        <v>409</v>
      </c>
      <c r="B11" s="1750">
        <f>'Revenues 9-14'!J5</f>
        <v>568797</v>
      </c>
      <c r="C11" s="585">
        <v>25212</v>
      </c>
      <c r="D11" s="1753">
        <f t="shared" si="0"/>
        <v>543585</v>
      </c>
      <c r="E11" s="585">
        <v>900324</v>
      </c>
      <c r="F11" s="1753">
        <f t="shared" si="1"/>
        <v>875112</v>
      </c>
    </row>
    <row r="12" spans="1:6" ht="13.7" customHeight="1" x14ac:dyDescent="0.2">
      <c r="A12" s="715" t="s">
        <v>157</v>
      </c>
      <c r="B12" s="1750">
        <f>'Revenues 9-14'!K5</f>
        <v>239309</v>
      </c>
      <c r="C12" s="585">
        <v>4204</v>
      </c>
      <c r="D12" s="1753">
        <f t="shared" si="0"/>
        <v>235105</v>
      </c>
      <c r="E12" s="585">
        <v>150136</v>
      </c>
      <c r="F12" s="1753">
        <f t="shared" si="1"/>
        <v>145932</v>
      </c>
    </row>
    <row r="13" spans="1:6" ht="13.7" customHeight="1" x14ac:dyDescent="0.2">
      <c r="A13" s="715" t="s">
        <v>936</v>
      </c>
      <c r="B13" s="1750">
        <f>SUM('Revenues 9-14'!C6:D6)</f>
        <v>241881</v>
      </c>
      <c r="C13" s="585">
        <v>6776</v>
      </c>
      <c r="D13" s="1753">
        <f t="shared" si="0"/>
        <v>235105</v>
      </c>
      <c r="E13" s="585">
        <v>241996</v>
      </c>
      <c r="F13" s="1753">
        <f t="shared" si="1"/>
        <v>235220</v>
      </c>
    </row>
    <row r="14" spans="1:6" ht="13.7" customHeight="1" x14ac:dyDescent="0.2">
      <c r="A14" s="715" t="s">
        <v>410</v>
      </c>
      <c r="B14" s="1750">
        <f>SUM('Revenues 9-14'!C7:D7,'Revenues 9-14'!F7:H7)</f>
        <v>193513</v>
      </c>
      <c r="C14" s="585">
        <v>5421</v>
      </c>
      <c r="D14" s="1753">
        <f t="shared" si="0"/>
        <v>188092</v>
      </c>
      <c r="E14" s="585">
        <v>193597</v>
      </c>
      <c r="F14" s="1753">
        <f t="shared" si="1"/>
        <v>188176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396936</v>
      </c>
      <c r="C16" s="585">
        <v>11355</v>
      </c>
      <c r="D16" s="1753">
        <f t="shared" si="0"/>
        <v>385581</v>
      </c>
      <c r="E16" s="585">
        <v>405467</v>
      </c>
      <c r="F16" s="1753">
        <f t="shared" si="1"/>
        <v>394112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19850670</v>
      </c>
      <c r="C19" s="1751">
        <f>SUM(C4:C18)</f>
        <v>551336</v>
      </c>
      <c r="D19" s="1751">
        <f>SUM(D4:D18)</f>
        <v>19299334</v>
      </c>
      <c r="E19" s="1751">
        <f>SUM(E4:E18)</f>
        <v>19688099</v>
      </c>
      <c r="F19" s="1751">
        <f>SUM(F4:F18)</f>
        <v>19136763</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orizontalCentered="1" gridLinesSet="0"/>
  <pageMargins left="0.75" right="0.75" top="1.5" bottom="0.5" header="0.5" footer="0.5"/>
  <pageSetup scale="90" firstPageNumber="61" orientation="landscape" useFirstPageNumber="1" r:id="rId1"/>
  <headerFooter>
    <oddHeader>&amp;C&amp;"Times New Roman,Regular"ROXANA COMMUNITY UNIT SCHOOL DISTRICT NO. 1
SCHEDULE OF AD VALOREM TAX RECEIPTS
FOR THE YEAR ENDED JUNE 30, 2019</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B1" colorId="8" zoomScale="110" zoomScaleNormal="110" workbookViewId="0">
      <selection activeCell="J36" sqref="J3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7" t="s">
        <v>629</v>
      </c>
      <c r="B1" s="2188"/>
      <c r="C1" s="721"/>
    </row>
    <row r="2" spans="1:7" ht="33.75" x14ac:dyDescent="0.2">
      <c r="A2" s="2196" t="s">
        <v>1799</v>
      </c>
      <c r="B2" s="2197"/>
      <c r="C2" s="1884" t="s">
        <v>1953</v>
      </c>
      <c r="D2" s="723" t="s">
        <v>1954</v>
      </c>
      <c r="E2" s="723" t="s">
        <v>1955</v>
      </c>
      <c r="F2" s="1884" t="s">
        <v>1956</v>
      </c>
    </row>
    <row r="3" spans="1:7" ht="15.75" customHeight="1" x14ac:dyDescent="0.2">
      <c r="A3" s="2200" t="s">
        <v>1114</v>
      </c>
      <c r="B3" s="2201"/>
      <c r="C3" s="2189"/>
      <c r="D3" s="2190"/>
      <c r="E3" s="2190"/>
      <c r="F3" s="2191"/>
    </row>
    <row r="4" spans="1:7" ht="12.75" customHeight="1" thickBot="1" x14ac:dyDescent="0.25">
      <c r="A4" s="2198" t="s">
        <v>630</v>
      </c>
      <c r="B4" s="2199"/>
      <c r="C4" s="581"/>
      <c r="D4" s="581"/>
      <c r="E4" s="581"/>
      <c r="F4" s="1755">
        <f>SUM(C4+D4)-E4</f>
        <v>0</v>
      </c>
    </row>
    <row r="5" spans="1:7" ht="15.75" customHeight="1" thickTop="1" x14ac:dyDescent="0.2">
      <c r="A5" s="2183" t="s">
        <v>1110</v>
      </c>
      <c r="B5" s="2184"/>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5" t="s">
        <v>631</v>
      </c>
      <c r="B15" s="2186"/>
      <c r="C15" s="1755">
        <f>SUM(C6:C14)</f>
        <v>0</v>
      </c>
      <c r="D15" s="1755">
        <f>SUM(D6:D14)</f>
        <v>0</v>
      </c>
      <c r="E15" s="1755">
        <f>SUM(E6:E14)</f>
        <v>0</v>
      </c>
      <c r="F15" s="1755">
        <f>SUM(F6:F14)</f>
        <v>0</v>
      </c>
      <c r="G15" s="552"/>
    </row>
    <row r="16" spans="1:7" s="202" customFormat="1" ht="15.75" customHeight="1" thickTop="1" x14ac:dyDescent="0.2">
      <c r="A16" s="2195" t="s">
        <v>1111</v>
      </c>
      <c r="B16" s="2184"/>
      <c r="C16" s="2192"/>
      <c r="D16" s="2193"/>
      <c r="E16" s="2193"/>
      <c r="F16" s="2194"/>
    </row>
    <row r="17" spans="1:11" ht="12.75" customHeight="1" thickBot="1" x14ac:dyDescent="0.25">
      <c r="A17" s="2208" t="s">
        <v>64</v>
      </c>
      <c r="B17" s="2209"/>
      <c r="C17" s="726"/>
      <c r="D17" s="585"/>
      <c r="E17" s="726"/>
      <c r="F17" s="1755">
        <f>SUM(C17+D17)-E17</f>
        <v>0</v>
      </c>
    </row>
    <row r="18" spans="1:11" ht="12.75" customHeight="1" thickTop="1" thickBot="1" x14ac:dyDescent="0.25">
      <c r="A18" s="2208" t="s">
        <v>6</v>
      </c>
      <c r="B18" s="2209"/>
      <c r="C18" s="726"/>
      <c r="D18" s="585"/>
      <c r="E18" s="726"/>
      <c r="F18" s="1755">
        <f>SUM(C18+D18)-E18</f>
        <v>0</v>
      </c>
    </row>
    <row r="19" spans="1:11" ht="12.75" customHeight="1" thickTop="1" thickBot="1" x14ac:dyDescent="0.25">
      <c r="A19" s="2208" t="s">
        <v>388</v>
      </c>
      <c r="B19" s="2209"/>
      <c r="C19" s="726"/>
      <c r="D19" s="585"/>
      <c r="E19" s="726"/>
      <c r="F19" s="1755">
        <f>SUM(C19+D19)-E19</f>
        <v>0</v>
      </c>
    </row>
    <row r="20" spans="1:11" ht="12.75" customHeight="1" thickTop="1" thickBot="1" x14ac:dyDescent="0.25">
      <c r="A20" s="2208" t="s">
        <v>448</v>
      </c>
      <c r="B20" s="2209"/>
      <c r="C20" s="726"/>
      <c r="D20" s="585"/>
      <c r="E20" s="726"/>
      <c r="F20" s="1755">
        <f>SUM(C20+D20)-E20</f>
        <v>0</v>
      </c>
    </row>
    <row r="21" spans="1:11" ht="14.25" thickTop="1" thickBot="1" x14ac:dyDescent="0.25">
      <c r="A21" s="2185" t="s">
        <v>632</v>
      </c>
      <c r="B21" s="2186"/>
      <c r="C21" s="1755">
        <f>SUM(C17:C20)</f>
        <v>0</v>
      </c>
      <c r="D21" s="1755">
        <f>SUM(D17:D20)</f>
        <v>0</v>
      </c>
      <c r="E21" s="1755">
        <f>SUM(E17:E20)</f>
        <v>0</v>
      </c>
      <c r="F21" s="1755">
        <f>SUM(F17:F20)</f>
        <v>0</v>
      </c>
      <c r="G21" s="552"/>
    </row>
    <row r="22" spans="1:11" ht="15.75" customHeight="1" thickTop="1" x14ac:dyDescent="0.2">
      <c r="A22" s="2210" t="s">
        <v>1112</v>
      </c>
      <c r="B22" s="2184"/>
      <c r="C22" s="2192"/>
      <c r="D22" s="2193"/>
      <c r="E22" s="2193"/>
      <c r="F22" s="2194"/>
    </row>
    <row r="23" spans="1:11" ht="13.5" thickBot="1" x14ac:dyDescent="0.25">
      <c r="A23" s="2198" t="s">
        <v>633</v>
      </c>
      <c r="B23" s="2199"/>
      <c r="C23" s="581"/>
      <c r="D23" s="581"/>
      <c r="E23" s="581"/>
      <c r="F23" s="1755">
        <f>SUM(C23+D23)-E23</f>
        <v>0</v>
      </c>
      <c r="G23" s="552"/>
    </row>
    <row r="24" spans="1:11" ht="15.75" customHeight="1" thickTop="1" x14ac:dyDescent="0.2">
      <c r="A24" s="2210" t="s">
        <v>1113</v>
      </c>
      <c r="B24" s="2184"/>
      <c r="C24" s="2192"/>
      <c r="D24" s="2193"/>
      <c r="E24" s="2193"/>
      <c r="F24" s="2194"/>
    </row>
    <row r="25" spans="1:11" ht="13.5" thickBot="1" x14ac:dyDescent="0.25">
      <c r="A25" s="2198" t="s">
        <v>634</v>
      </c>
      <c r="B25" s="2199"/>
      <c r="C25" s="581"/>
      <c r="D25" s="581"/>
      <c r="E25" s="581"/>
      <c r="F25" s="1755">
        <f>SUM(C25+D25)-E25</f>
        <v>0</v>
      </c>
      <c r="G25" s="552"/>
    </row>
    <row r="26" spans="1:11" ht="15.75" customHeight="1" thickTop="1" x14ac:dyDescent="0.2">
      <c r="A26" s="2183" t="s">
        <v>657</v>
      </c>
      <c r="B26" s="2184"/>
      <c r="C26" s="727"/>
      <c r="D26" s="727"/>
      <c r="E26" s="727"/>
      <c r="F26" s="728"/>
    </row>
    <row r="27" spans="1:11" ht="13.5" thickBot="1" x14ac:dyDescent="0.25">
      <c r="A27" s="2185" t="s">
        <v>1070</v>
      </c>
      <c r="B27" s="2186"/>
      <c r="C27" s="585"/>
      <c r="D27" s="585"/>
      <c r="E27" s="585"/>
      <c r="F27" s="1755">
        <f>SUM(C27+D27)-E27</f>
        <v>0</v>
      </c>
      <c r="G27" s="552"/>
    </row>
    <row r="28" spans="1:11" ht="7.5" customHeight="1" thickTop="1" x14ac:dyDescent="0.2">
      <c r="A28" s="593"/>
    </row>
    <row r="29" spans="1:11" ht="23.25" customHeight="1" x14ac:dyDescent="0.2">
      <c r="A29" s="2211" t="s">
        <v>582</v>
      </c>
      <c r="B29" s="2188"/>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2080</v>
      </c>
      <c r="B31" s="733">
        <v>37796</v>
      </c>
      <c r="C31" s="734">
        <v>1050000</v>
      </c>
      <c r="D31" s="735">
        <v>7</v>
      </c>
      <c r="E31" s="734">
        <v>1050000</v>
      </c>
      <c r="F31" s="734"/>
      <c r="G31" s="734"/>
      <c r="H31" s="734">
        <v>1050000</v>
      </c>
      <c r="I31" s="1756">
        <f>((E31+F31)-H31)+G31</f>
        <v>0</v>
      </c>
      <c r="J31" s="734"/>
      <c r="K31" s="736"/>
    </row>
    <row r="32" spans="1:11" ht="12" customHeight="1" x14ac:dyDescent="0.2">
      <c r="A32" s="732" t="s">
        <v>2083</v>
      </c>
      <c r="B32" s="733">
        <v>40701</v>
      </c>
      <c r="C32" s="734">
        <v>5665000</v>
      </c>
      <c r="D32" s="735" t="s">
        <v>2084</v>
      </c>
      <c r="E32" s="734">
        <v>2185000</v>
      </c>
      <c r="F32" s="734"/>
      <c r="G32" s="734"/>
      <c r="H32" s="734">
        <v>265000</v>
      </c>
      <c r="I32" s="1756">
        <f>((E32+F32)-H32)+G32</f>
        <v>1920000</v>
      </c>
      <c r="J32" s="734">
        <v>1284461</v>
      </c>
      <c r="K32" s="736"/>
    </row>
    <row r="33" spans="1:11" ht="12" customHeight="1" x14ac:dyDescent="0.2">
      <c r="A33" s="732" t="s">
        <v>2085</v>
      </c>
      <c r="B33" s="733">
        <v>42003</v>
      </c>
      <c r="C33" s="734">
        <v>5410000</v>
      </c>
      <c r="D33" s="735" t="s">
        <v>2086</v>
      </c>
      <c r="E33" s="734">
        <v>5070000</v>
      </c>
      <c r="F33" s="734"/>
      <c r="G33" s="734"/>
      <c r="H33" s="734">
        <v>220000</v>
      </c>
      <c r="I33" s="1756">
        <f t="shared" ref="I33:I48" si="1">((E33+F33)-H33)+G33</f>
        <v>4850000</v>
      </c>
      <c r="J33" s="734">
        <v>4850000</v>
      </c>
      <c r="K33" s="736"/>
    </row>
    <row r="34" spans="1:11" ht="12" customHeight="1" x14ac:dyDescent="0.2">
      <c r="A34" s="732" t="s">
        <v>2087</v>
      </c>
      <c r="B34" s="733">
        <v>42003</v>
      </c>
      <c r="C34" s="734">
        <v>4090000</v>
      </c>
      <c r="D34" s="735" t="s">
        <v>2086</v>
      </c>
      <c r="E34" s="734">
        <v>4090000</v>
      </c>
      <c r="F34" s="734"/>
      <c r="G34" s="734"/>
      <c r="H34" s="734"/>
      <c r="I34" s="1756">
        <f t="shared" si="1"/>
        <v>4090000</v>
      </c>
      <c r="J34" s="734">
        <v>4090000</v>
      </c>
      <c r="K34" s="737"/>
    </row>
    <row r="35" spans="1:11" ht="12" customHeight="1" x14ac:dyDescent="0.2">
      <c r="A35" s="732" t="s">
        <v>2088</v>
      </c>
      <c r="B35" s="733">
        <v>42026</v>
      </c>
      <c r="C35" s="738">
        <v>5730000</v>
      </c>
      <c r="D35" s="735">
        <v>3</v>
      </c>
      <c r="E35" s="738">
        <v>5650000</v>
      </c>
      <c r="F35" s="738"/>
      <c r="G35" s="738">
        <v>-45000</v>
      </c>
      <c r="H35" s="738">
        <v>40000</v>
      </c>
      <c r="I35" s="1756">
        <f t="shared" si="1"/>
        <v>5565000</v>
      </c>
      <c r="J35" s="738">
        <v>5565000</v>
      </c>
      <c r="K35" s="737"/>
    </row>
    <row r="36" spans="1:11" ht="12" customHeight="1" x14ac:dyDescent="0.2">
      <c r="A36" s="732" t="s">
        <v>2089</v>
      </c>
      <c r="B36" s="733">
        <v>42789</v>
      </c>
      <c r="C36" s="734">
        <v>3855000</v>
      </c>
      <c r="D36" s="735">
        <v>3</v>
      </c>
      <c r="E36" s="734">
        <v>3085000</v>
      </c>
      <c r="F36" s="734"/>
      <c r="G36" s="734"/>
      <c r="H36" s="734">
        <v>260000</v>
      </c>
      <c r="I36" s="1756">
        <f t="shared" si="1"/>
        <v>2825000</v>
      </c>
      <c r="J36" s="734">
        <v>2825000</v>
      </c>
      <c r="K36" s="739"/>
    </row>
    <row r="37" spans="1:11" ht="12" customHeight="1" x14ac:dyDescent="0.2">
      <c r="A37" s="732" t="s">
        <v>2090</v>
      </c>
      <c r="B37" s="733">
        <v>42810</v>
      </c>
      <c r="C37" s="467">
        <v>450000</v>
      </c>
      <c r="D37" s="740">
        <v>8</v>
      </c>
      <c r="E37" s="467">
        <v>380520</v>
      </c>
      <c r="F37" s="467"/>
      <c r="G37" s="467"/>
      <c r="H37" s="467">
        <v>229992</v>
      </c>
      <c r="I37" s="1756">
        <f t="shared" si="1"/>
        <v>150528</v>
      </c>
      <c r="J37" s="467">
        <v>150528</v>
      </c>
      <c r="K37" s="737"/>
    </row>
    <row r="38" spans="1:11" ht="12" customHeight="1" x14ac:dyDescent="0.2">
      <c r="A38" s="732" t="s">
        <v>2091</v>
      </c>
      <c r="B38" s="733">
        <v>43202</v>
      </c>
      <c r="C38" s="734">
        <v>519000</v>
      </c>
      <c r="D38" s="741">
        <v>3</v>
      </c>
      <c r="E38" s="742">
        <v>519000</v>
      </c>
      <c r="F38" s="742"/>
      <c r="G38" s="742"/>
      <c r="H38" s="742">
        <v>519000</v>
      </c>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26769000</v>
      </c>
      <c r="D49" s="745"/>
      <c r="E49" s="1756">
        <f t="shared" ref="E49:J49" si="2">SUM(E31:E48)</f>
        <v>22029520</v>
      </c>
      <c r="F49" s="1756">
        <f t="shared" si="2"/>
        <v>0</v>
      </c>
      <c r="G49" s="1756">
        <f t="shared" si="2"/>
        <v>-45000</v>
      </c>
      <c r="H49" s="1756">
        <f t="shared" si="2"/>
        <v>2583992</v>
      </c>
      <c r="I49" s="1756">
        <f t="shared" si="2"/>
        <v>19400528</v>
      </c>
      <c r="J49" s="1756">
        <f t="shared" si="2"/>
        <v>18764989</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2" t="s">
        <v>584</v>
      </c>
      <c r="C52" s="2203"/>
      <c r="D52" s="2203"/>
      <c r="E52" s="749" t="s">
        <v>845</v>
      </c>
      <c r="F52" s="2204" t="s">
        <v>2081</v>
      </c>
      <c r="G52" s="2205"/>
      <c r="H52" s="736"/>
      <c r="I52" s="736"/>
      <c r="J52" s="746"/>
    </row>
    <row r="53" spans="1:11" ht="11.25" customHeight="1" x14ac:dyDescent="0.2">
      <c r="A53" s="750" t="s">
        <v>913</v>
      </c>
      <c r="B53" s="751" t="s">
        <v>951</v>
      </c>
      <c r="C53" s="746"/>
      <c r="D53" s="737"/>
      <c r="E53" s="749" t="s">
        <v>497</v>
      </c>
      <c r="F53" s="2206" t="s">
        <v>2082</v>
      </c>
      <c r="G53" s="2207"/>
      <c r="H53" s="736"/>
      <c r="I53" s="736"/>
      <c r="J53" s="746"/>
    </row>
    <row r="54" spans="1:11" ht="11.25" customHeight="1" x14ac:dyDescent="0.2">
      <c r="A54" s="752" t="s">
        <v>914</v>
      </c>
      <c r="B54" s="747" t="s">
        <v>952</v>
      </c>
      <c r="C54" s="746"/>
      <c r="D54" s="737"/>
      <c r="E54" s="749" t="s">
        <v>498</v>
      </c>
      <c r="F54" s="2206"/>
      <c r="G54" s="220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0.9" bottom="0.5" header="0.5" footer="0.5"/>
  <pageSetup scale="65" firstPageNumber="24" fitToHeight="0" orientation="landscape" r:id="rId1"/>
  <headerFooter>
    <oddHeader>&amp;C&amp;"Times New Roman,Regular"ROXANA COMMUNITY UNIT SCHOOL DISTRICT NO. 1
SCHEDULE OF SHORT-TERM AND LONG-TERM DEBT
FOR THE YEAR ENDED JUNE 30, 2019</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856</v>
      </c>
      <c r="B1" s="2237"/>
      <c r="C1" s="2237"/>
      <c r="D1" s="2237"/>
      <c r="E1" s="2237"/>
      <c r="F1" s="2237"/>
      <c r="G1" s="2238"/>
      <c r="H1" s="1530"/>
      <c r="I1" s="760"/>
      <c r="J1" s="433"/>
    </row>
    <row r="2" spans="1:11" ht="26.25" x14ac:dyDescent="0.2">
      <c r="A2" s="2215" t="s">
        <v>1677</v>
      </c>
      <c r="B2" s="2216"/>
      <c r="C2" s="2216"/>
      <c r="D2" s="2216"/>
      <c r="E2" s="2217"/>
      <c r="F2" s="761" t="s">
        <v>904</v>
      </c>
      <c r="G2" s="762" t="s">
        <v>1674</v>
      </c>
      <c r="H2" s="762" t="s">
        <v>410</v>
      </c>
      <c r="I2" s="762" t="s">
        <v>1158</v>
      </c>
      <c r="J2" s="762" t="s">
        <v>1809</v>
      </c>
      <c r="K2" s="762" t="s">
        <v>138</v>
      </c>
    </row>
    <row r="3" spans="1:11" x14ac:dyDescent="0.2">
      <c r="A3" s="2218" t="s">
        <v>1961</v>
      </c>
      <c r="B3" s="2219"/>
      <c r="C3" s="2219"/>
      <c r="D3" s="2219"/>
      <c r="E3" s="2220"/>
      <c r="F3" s="763"/>
      <c r="G3" s="764"/>
      <c r="H3" s="764"/>
      <c r="I3" s="764"/>
      <c r="J3" s="765"/>
      <c r="K3" s="765"/>
    </row>
    <row r="4" spans="1:11" x14ac:dyDescent="0.2">
      <c r="A4" s="2221" t="s">
        <v>369</v>
      </c>
      <c r="B4" s="2222"/>
      <c r="C4" s="2222"/>
      <c r="D4" s="2222"/>
      <c r="E4" s="2203"/>
      <c r="F4" s="766"/>
      <c r="G4" s="767"/>
      <c r="H4" s="768"/>
      <c r="I4" s="767"/>
      <c r="J4" s="769"/>
      <c r="K4" s="769"/>
    </row>
    <row r="5" spans="1:11" x14ac:dyDescent="0.2">
      <c r="A5" s="2239" t="s">
        <v>1069</v>
      </c>
      <c r="B5" s="2212"/>
      <c r="C5" s="2212"/>
      <c r="D5" s="2212"/>
      <c r="E5" s="2240"/>
      <c r="F5" s="770" t="s">
        <v>848</v>
      </c>
      <c r="G5" s="771"/>
      <c r="H5" s="764">
        <v>193513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2800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9" t="s">
        <v>1810</v>
      </c>
      <c r="B10" s="2212"/>
      <c r="C10" s="2212"/>
      <c r="D10" s="2212"/>
      <c r="E10" s="2241"/>
      <c r="F10" s="783" t="s">
        <v>862</v>
      </c>
      <c r="G10" s="782"/>
      <c r="H10" s="784"/>
      <c r="I10" s="764"/>
      <c r="J10" s="765"/>
      <c r="K10" s="765"/>
    </row>
    <row r="11" spans="1:11" x14ac:dyDescent="0.2">
      <c r="A11" s="2239" t="s">
        <v>160</v>
      </c>
      <c r="B11" s="2212"/>
      <c r="C11" s="2212"/>
      <c r="D11" s="2212"/>
      <c r="E11" s="2240"/>
      <c r="F11" s="770" t="s">
        <v>852</v>
      </c>
      <c r="G11" s="771"/>
      <c r="H11" s="764"/>
      <c r="I11" s="764"/>
      <c r="J11" s="765"/>
      <c r="K11" s="773"/>
    </row>
    <row r="12" spans="1:11" ht="13.5" thickBot="1" x14ac:dyDescent="0.25">
      <c r="A12" s="2229" t="s">
        <v>905</v>
      </c>
      <c r="B12" s="2230"/>
      <c r="C12" s="2230"/>
      <c r="D12" s="2230"/>
      <c r="E12" s="2231"/>
      <c r="F12" s="1757"/>
      <c r="G12" s="1758">
        <f>SUM(G5:G11)</f>
        <v>0</v>
      </c>
      <c r="H12" s="1758">
        <f>SUM(H5:H11)</f>
        <v>193513</v>
      </c>
      <c r="I12" s="1758">
        <f>SUM(I5:I11)</f>
        <v>0</v>
      </c>
      <c r="J12" s="1758">
        <f>SUM(J5:J11)</f>
        <v>0</v>
      </c>
      <c r="K12" s="1758">
        <f>SUM(K5:K11)</f>
        <v>2800</v>
      </c>
    </row>
    <row r="13" spans="1:11" ht="13.5" thickTop="1" x14ac:dyDescent="0.2">
      <c r="A13" s="2223" t="s">
        <v>370</v>
      </c>
      <c r="B13" s="2224"/>
      <c r="C13" s="2224"/>
      <c r="D13" s="2224"/>
      <c r="E13" s="2225"/>
      <c r="F13" s="785"/>
      <c r="G13" s="786"/>
      <c r="H13" s="787"/>
      <c r="I13" s="788"/>
      <c r="J13" s="788"/>
      <c r="K13" s="788"/>
    </row>
    <row r="14" spans="1:11" x14ac:dyDescent="0.2">
      <c r="A14" s="2245" t="s">
        <v>456</v>
      </c>
      <c r="B14" s="2245"/>
      <c r="C14" s="2245"/>
      <c r="D14" s="2245"/>
      <c r="E14" s="2246"/>
      <c r="F14" s="789" t="s">
        <v>854</v>
      </c>
      <c r="G14" s="782"/>
      <c r="H14" s="764">
        <v>193513</v>
      </c>
      <c r="I14" s="771"/>
      <c r="J14" s="773"/>
      <c r="K14" s="765">
        <v>2800</v>
      </c>
    </row>
    <row r="15" spans="1:11" x14ac:dyDescent="0.2">
      <c r="A15" s="2212" t="s">
        <v>4</v>
      </c>
      <c r="B15" s="2212"/>
      <c r="C15" s="2212"/>
      <c r="D15" s="2212"/>
      <c r="E15" s="2240"/>
      <c r="F15" s="789" t="s">
        <v>855</v>
      </c>
      <c r="G15" s="771"/>
      <c r="H15" s="764"/>
      <c r="I15" s="764"/>
      <c r="J15" s="765"/>
      <c r="K15" s="765"/>
    </row>
    <row r="16" spans="1:11" x14ac:dyDescent="0.2">
      <c r="A16" s="2212" t="s">
        <v>298</v>
      </c>
      <c r="B16" s="2212"/>
      <c r="C16" s="2212"/>
      <c r="D16" s="2212"/>
      <c r="E16" s="2240"/>
      <c r="F16" s="789" t="s">
        <v>923</v>
      </c>
      <c r="G16" s="772"/>
      <c r="H16" s="767"/>
      <c r="I16" s="767"/>
      <c r="J16" s="769"/>
      <c r="K16" s="769"/>
    </row>
    <row r="17" spans="1:11" x14ac:dyDescent="0.2">
      <c r="A17" s="2234" t="s">
        <v>935</v>
      </c>
      <c r="B17" s="2234"/>
      <c r="C17" s="2234"/>
      <c r="D17" s="2234"/>
      <c r="E17" s="2235"/>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47" t="s">
        <v>1806</v>
      </c>
      <c r="B19" s="2247"/>
      <c r="C19" s="2247"/>
      <c r="D19" s="2247"/>
      <c r="E19" s="2248"/>
      <c r="F19" s="789" t="s">
        <v>933</v>
      </c>
      <c r="G19" s="782"/>
      <c r="H19" s="782"/>
      <c r="I19" s="782"/>
      <c r="J19" s="765"/>
      <c r="K19" s="795"/>
    </row>
    <row r="20" spans="1:11" x14ac:dyDescent="0.2">
      <c r="A20" s="2226" t="s">
        <v>1811</v>
      </c>
      <c r="B20" s="2227"/>
      <c r="C20" s="2227"/>
      <c r="D20" s="2227"/>
      <c r="E20" s="2228"/>
      <c r="F20" s="789" t="s">
        <v>934</v>
      </c>
      <c r="G20" s="782"/>
      <c r="H20" s="782"/>
      <c r="I20" s="782"/>
      <c r="J20" s="765"/>
      <c r="K20" s="795"/>
    </row>
    <row r="21" spans="1:11" ht="13.5" thickBot="1" x14ac:dyDescent="0.25">
      <c r="A21" s="2232" t="s">
        <v>638</v>
      </c>
      <c r="B21" s="2232"/>
      <c r="C21" s="2232"/>
      <c r="D21" s="2232"/>
      <c r="E21" s="2232"/>
      <c r="F21" s="1759"/>
      <c r="G21" s="792"/>
      <c r="H21" s="796"/>
      <c r="I21" s="796"/>
      <c r="J21" s="1760">
        <f>SUM(J18:J20)</f>
        <v>0</v>
      </c>
      <c r="K21" s="793"/>
    </row>
    <row r="22" spans="1:11" ht="13.5" thickTop="1" x14ac:dyDescent="0.2">
      <c r="A22" s="2212" t="s">
        <v>1812</v>
      </c>
      <c r="B22" s="2212"/>
      <c r="C22" s="2212"/>
      <c r="D22" s="2212"/>
      <c r="E22" s="2240"/>
      <c r="F22" s="789" t="s">
        <v>862</v>
      </c>
      <c r="G22" s="782"/>
      <c r="H22" s="764"/>
      <c r="I22" s="764"/>
      <c r="J22" s="797"/>
      <c r="K22" s="765"/>
    </row>
    <row r="23" spans="1:11" ht="13.5" thickBot="1" x14ac:dyDescent="0.25">
      <c r="A23" s="2233" t="s">
        <v>906</v>
      </c>
      <c r="B23" s="2232"/>
      <c r="C23" s="2232"/>
      <c r="D23" s="2232"/>
      <c r="E23" s="2232"/>
      <c r="F23" s="1761"/>
      <c r="G23" s="1758">
        <f>SUM(G14:G16,G21,G22)</f>
        <v>0</v>
      </c>
      <c r="H23" s="1758">
        <f>SUM(H14:H16,H21,H22)</f>
        <v>193513</v>
      </c>
      <c r="I23" s="1758">
        <f>SUM(I14:I16,I21,I22)</f>
        <v>0</v>
      </c>
      <c r="J23" s="1758">
        <f>SUM(J14:J16,J21,J22)</f>
        <v>0</v>
      </c>
      <c r="K23" s="1758">
        <f>SUM(K14:K16,K21,K22)</f>
        <v>2800</v>
      </c>
    </row>
    <row r="24" spans="1:11" ht="14.25" thickTop="1" thickBot="1" x14ac:dyDescent="0.25">
      <c r="A24" s="2233" t="s">
        <v>1962</v>
      </c>
      <c r="B24" s="2232"/>
      <c r="C24" s="2232"/>
      <c r="D24" s="2232"/>
      <c r="E24" s="2232"/>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2"/>
      <c r="I31" s="2243"/>
      <c r="J31" s="2243"/>
      <c r="K31" s="2243"/>
    </row>
    <row r="32" spans="1:11" x14ac:dyDescent="0.2">
      <c r="A32" s="809"/>
      <c r="B32" s="237"/>
      <c r="C32" s="237"/>
      <c r="D32" s="237"/>
      <c r="E32" s="805"/>
      <c r="F32" s="811" t="s">
        <v>540</v>
      </c>
      <c r="G32" s="764"/>
      <c r="H32" s="2244"/>
      <c r="I32" s="2243"/>
      <c r="J32" s="2243"/>
      <c r="K32" s="2243"/>
    </row>
    <row r="33" spans="1:11" ht="1.5" customHeight="1" x14ac:dyDescent="0.2">
      <c r="A33" s="812" t="s">
        <v>1169</v>
      </c>
      <c r="B33" s="364"/>
      <c r="C33" s="364"/>
      <c r="D33" s="364"/>
      <c r="E33" s="364"/>
      <c r="F33" s="364"/>
      <c r="G33" s="813"/>
      <c r="H33" s="2244"/>
      <c r="I33" s="2243"/>
      <c r="J33" s="2243"/>
      <c r="K33" s="2243"/>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2" t="s">
        <v>541</v>
      </c>
      <c r="B41" s="2213"/>
      <c r="C41" s="2213"/>
      <c r="D41" s="2213"/>
      <c r="E41" s="2213"/>
      <c r="F41" s="221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orizontalCentered="1"/>
  <pageMargins left="0.75" right="0.75" top="1.1000000000000001" bottom="0.5" header="0.5" footer="0.5"/>
  <pageSetup scale="73" firstPageNumber="25" orientation="landscape" r:id="rId1"/>
  <headerFooter>
    <oddHeader>&amp;C&amp;"Times New Roman,Regular"ROXANA COMMUNITY UNIT SCHOOL DISTRICT NO. 1
SCHEDULE OF RESTRICTED LOCAL TAX LEVIES AND SELECTED REVENUE SOURCES
SCHEDULE OF TORT IMMUNITY EXPENDITURES
FOR THE YEAR ENDED JUNE 30, 2019</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1906</v>
      </c>
      <c r="B1" s="2252"/>
      <c r="C1" s="2253"/>
      <c r="D1" s="826"/>
      <c r="E1" s="827"/>
      <c r="F1" s="827"/>
      <c r="G1" s="828"/>
      <c r="H1" s="829"/>
      <c r="I1" s="830"/>
      <c r="J1" s="2249"/>
      <c r="K1" s="2250"/>
      <c r="L1" s="2250"/>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40021</v>
      </c>
      <c r="D5" s="841"/>
      <c r="E5" s="841"/>
      <c r="F5" s="1760">
        <f>(C5+D5)-E5</f>
        <v>40021</v>
      </c>
      <c r="G5" s="837"/>
      <c r="H5" s="842"/>
      <c r="I5" s="842"/>
      <c r="J5" s="842"/>
      <c r="K5" s="793"/>
      <c r="L5" s="1769">
        <f>F5-K5</f>
        <v>40021</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52582237</v>
      </c>
      <c r="D8" s="844">
        <v>364128</v>
      </c>
      <c r="E8" s="844"/>
      <c r="F8" s="1760">
        <f>(C8+D8)-E8</f>
        <v>52946365</v>
      </c>
      <c r="G8" s="843">
        <v>50</v>
      </c>
      <c r="H8" s="765">
        <v>16837266</v>
      </c>
      <c r="I8" s="765">
        <v>948647</v>
      </c>
      <c r="J8" s="765"/>
      <c r="K8" s="1769">
        <f>(H8+I8)-J8</f>
        <v>17785913</v>
      </c>
      <c r="L8" s="1769">
        <f>F8-K8</f>
        <v>35160452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345025</v>
      </c>
      <c r="D10" s="846"/>
      <c r="E10" s="846"/>
      <c r="F10" s="1764">
        <f>(C10+D10)-E10</f>
        <v>345025</v>
      </c>
      <c r="G10" s="843">
        <v>20</v>
      </c>
      <c r="H10" s="847">
        <v>345021</v>
      </c>
      <c r="I10" s="847"/>
      <c r="J10" s="847"/>
      <c r="K10" s="1769">
        <f>(H10+I10)-J10</f>
        <v>345021</v>
      </c>
      <c r="L10" s="1769">
        <f>F10-K10</f>
        <v>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6409933</v>
      </c>
      <c r="D12" s="844">
        <v>229383</v>
      </c>
      <c r="E12" s="844">
        <v>495389</v>
      </c>
      <c r="F12" s="1760">
        <f>(C12+D12)-E12</f>
        <v>6143927</v>
      </c>
      <c r="G12" s="843">
        <v>10</v>
      </c>
      <c r="H12" s="765">
        <v>2916376</v>
      </c>
      <c r="I12" s="765">
        <v>573355</v>
      </c>
      <c r="J12" s="765">
        <v>495389</v>
      </c>
      <c r="K12" s="1769">
        <f>(H12+I12)-J12</f>
        <v>2994342</v>
      </c>
      <c r="L12" s="1769">
        <f>F12-K12</f>
        <v>3149585</v>
      </c>
    </row>
    <row r="13" spans="1:14" ht="14.25" thickTop="1" thickBot="1" x14ac:dyDescent="0.25">
      <c r="A13" s="848" t="s">
        <v>1122</v>
      </c>
      <c r="B13" s="840">
        <v>252</v>
      </c>
      <c r="C13" s="844">
        <v>2763950</v>
      </c>
      <c r="D13" s="844">
        <v>221910</v>
      </c>
      <c r="E13" s="844"/>
      <c r="F13" s="1760">
        <f>(C13+D13)-E13</f>
        <v>2985860</v>
      </c>
      <c r="G13" s="843">
        <v>5</v>
      </c>
      <c r="H13" s="765">
        <v>2745623</v>
      </c>
      <c r="I13" s="765">
        <v>202416</v>
      </c>
      <c r="J13" s="765"/>
      <c r="K13" s="1769">
        <f>(H13+I13)-J13</f>
        <v>2948039</v>
      </c>
      <c r="L13" s="1769">
        <f>F13-K13</f>
        <v>37821</v>
      </c>
    </row>
    <row r="14" spans="1:14" ht="14.25" thickTop="1" thickBot="1" x14ac:dyDescent="0.25">
      <c r="A14" s="848" t="s">
        <v>1123</v>
      </c>
      <c r="B14" s="840">
        <v>253</v>
      </c>
      <c r="C14" s="765">
        <v>33368</v>
      </c>
      <c r="D14" s="765"/>
      <c r="E14" s="765"/>
      <c r="F14" s="1760">
        <f>(C14+D14)-E14</f>
        <v>33368</v>
      </c>
      <c r="G14" s="843">
        <v>3</v>
      </c>
      <c r="H14" s="765">
        <v>33368</v>
      </c>
      <c r="I14" s="765"/>
      <c r="J14" s="765"/>
      <c r="K14" s="1769">
        <f>(H14+I14)-J14</f>
        <v>33368</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62174534</v>
      </c>
      <c r="D16" s="1760">
        <f>SUM(D3,D5:D6,D8:D10,D12:D15)</f>
        <v>815421</v>
      </c>
      <c r="E16" s="1760">
        <f>SUM(E3,E5:E6,E8:E10,E12:E15)</f>
        <v>495389</v>
      </c>
      <c r="F16" s="1760">
        <f>SUM(F3,F5:F6,F8:F10,F12:F15)</f>
        <v>62494566</v>
      </c>
      <c r="G16" s="843"/>
      <c r="H16" s="1760">
        <f>SUM(H3,H6,H8:H10,H12:H14,)</f>
        <v>22877654</v>
      </c>
      <c r="I16" s="1760">
        <f>SUM(I3,I6,I8:I10,I12:I14,)</f>
        <v>1724418</v>
      </c>
      <c r="J16" s="1760">
        <f>SUM(J3,J6,J8:J10,J12:J14,)</f>
        <v>495389</v>
      </c>
      <c r="K16" s="1760">
        <f>(H16+I16)-J16</f>
        <v>24106683</v>
      </c>
      <c r="L16" s="1760">
        <f>F16-K16</f>
        <v>38387883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1724418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orizontalCentered="1"/>
  <pageMargins left="0.75" right="0.75" top="1.5" bottom="0.5" header="0.5" footer="0.5"/>
  <pageSetup scale="74" firstPageNumber="26" orientation="landscape" r:id="rId1"/>
  <headerFooter>
    <oddHeader>&amp;C&amp;"Times New Roman,Regular"ROXANA COMMUNITY UNIT SCHOOL DISTRICT NO. 1
SCHEDULE OF CAPITAL OUTLAY AND DEPRECIATION
FOR THE YEAR ENDED JUNE 30, 2019</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V29" sqref="V29"/>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1972</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17767724</v>
      </c>
      <c r="G8" s="865"/>
    </row>
    <row r="9" spans="1:7" x14ac:dyDescent="0.2">
      <c r="A9" s="869" t="s">
        <v>460</v>
      </c>
      <c r="B9" s="870" t="s">
        <v>1874</v>
      </c>
      <c r="C9" s="871"/>
      <c r="D9" s="869" t="s">
        <v>501</v>
      </c>
      <c r="E9" s="868"/>
      <c r="F9" s="1909">
        <f>'Expenditures 15-22'!K151</f>
        <v>2618838</v>
      </c>
      <c r="G9" s="872"/>
    </row>
    <row r="10" spans="1:7" x14ac:dyDescent="0.2">
      <c r="A10" s="869" t="s">
        <v>499</v>
      </c>
      <c r="B10" s="870" t="s">
        <v>1875</v>
      </c>
      <c r="C10" s="871"/>
      <c r="D10" s="869" t="s">
        <v>501</v>
      </c>
      <c r="E10" s="868"/>
      <c r="F10" s="1909">
        <f>'Expenditures 15-22'!K174</f>
        <v>3354606</v>
      </c>
      <c r="G10" s="872"/>
    </row>
    <row r="11" spans="1:7" x14ac:dyDescent="0.2">
      <c r="A11" s="869" t="s">
        <v>461</v>
      </c>
      <c r="B11" s="870" t="s">
        <v>1876</v>
      </c>
      <c r="C11" s="871"/>
      <c r="D11" s="869" t="s">
        <v>501</v>
      </c>
      <c r="E11" s="868"/>
      <c r="F11" s="1909">
        <f>'Expenditures 15-22'!K210</f>
        <v>1184296</v>
      </c>
      <c r="G11" s="872"/>
    </row>
    <row r="12" spans="1:7" x14ac:dyDescent="0.2">
      <c r="A12" s="869" t="s">
        <v>462</v>
      </c>
      <c r="B12" s="870" t="s">
        <v>1877</v>
      </c>
      <c r="C12" s="871"/>
      <c r="D12" s="869" t="s">
        <v>501</v>
      </c>
      <c r="E12" s="868"/>
      <c r="F12" s="1909">
        <f>'Expenditures 15-22'!K295</f>
        <v>973156</v>
      </c>
      <c r="G12" s="872"/>
    </row>
    <row r="13" spans="1:7" x14ac:dyDescent="0.2">
      <c r="A13" s="869" t="s">
        <v>106</v>
      </c>
      <c r="B13" s="870" t="s">
        <v>1878</v>
      </c>
      <c r="C13" s="871"/>
      <c r="D13" s="869" t="s">
        <v>501</v>
      </c>
      <c r="E13" s="868"/>
      <c r="F13" s="1909">
        <f>'Expenditures 15-22'!K342</f>
        <v>425711</v>
      </c>
      <c r="G13" s="873"/>
    </row>
    <row r="14" spans="1:7" ht="12" customHeight="1" thickBot="1" x14ac:dyDescent="0.25">
      <c r="A14" s="1770"/>
      <c r="B14" s="1771"/>
      <c r="C14" s="1772"/>
      <c r="D14" s="1773" t="s">
        <v>501</v>
      </c>
      <c r="E14" s="1774" t="s">
        <v>958</v>
      </c>
      <c r="F14" s="1775">
        <f>SUM(F8:F13)</f>
        <v>26324331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1626</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312829</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107870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6857</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332263</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32280</v>
      </c>
      <c r="G52" s="865"/>
    </row>
    <row r="53" spans="1:7" x14ac:dyDescent="0.2">
      <c r="A53" s="869" t="s">
        <v>459</v>
      </c>
      <c r="B53" s="869" t="s">
        <v>1475</v>
      </c>
      <c r="C53" s="889">
        <f>'Expenditures 15-22'!B102</f>
        <v>4000</v>
      </c>
      <c r="D53" s="888" t="str">
        <f>'Expenditures 15-22'!A102</f>
        <v>Total Payments to Other Govt Units</v>
      </c>
      <c r="E53" s="868"/>
      <c r="F53" s="1913">
        <f>'Expenditures 15-22'!K102</f>
        <v>18777</v>
      </c>
      <c r="G53" s="865"/>
    </row>
    <row r="54" spans="1:7" x14ac:dyDescent="0.2">
      <c r="A54" s="869" t="s">
        <v>459</v>
      </c>
      <c r="B54" s="869" t="s">
        <v>1476</v>
      </c>
      <c r="C54" s="889" t="s">
        <v>982</v>
      </c>
      <c r="D54" s="885" t="s">
        <v>1095</v>
      </c>
      <c r="E54" s="868"/>
      <c r="F54" s="1913">
        <f>'Expenditures 15-22'!G114</f>
        <v>228571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22563</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2583992</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221910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43707</v>
      </c>
      <c r="G67" s="865"/>
    </row>
    <row r="68" spans="1:8" x14ac:dyDescent="0.2">
      <c r="A68" s="869" t="s">
        <v>462</v>
      </c>
      <c r="B68" s="869" t="s">
        <v>1479</v>
      </c>
      <c r="C68" s="886" t="str">
        <f>'Expenditures 15-22'!B218</f>
        <v>1225</v>
      </c>
      <c r="D68" s="892" t="str">
        <f>'Expenditures 15-22'!A218</f>
        <v>Special Education Programs - Pre-K</v>
      </c>
      <c r="E68" s="868"/>
      <c r="F68" s="1913">
        <f>'Expenditures 15-22'!K218</f>
        <v>5260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88</v>
      </c>
      <c r="G71" s="865"/>
    </row>
    <row r="72" spans="1:8" x14ac:dyDescent="0.2">
      <c r="A72" s="869" t="s">
        <v>462</v>
      </c>
      <c r="B72" s="869" t="s">
        <v>1893</v>
      </c>
      <c r="C72" s="886">
        <f>'Expenditures 15-22'!B280</f>
        <v>3000</v>
      </c>
      <c r="D72" s="876" t="s">
        <v>449</v>
      </c>
      <c r="E72" s="868"/>
      <c r="F72" s="1913">
        <f>'Expenditures 15-22'!K280</f>
        <v>6296</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3924889</v>
      </c>
      <c r="G76" s="865"/>
    </row>
    <row r="77" spans="1:8" s="893" customFormat="1" ht="12" customHeight="1" thickTop="1" thickBot="1" x14ac:dyDescent="0.25">
      <c r="A77" s="1779"/>
      <c r="B77" s="1776"/>
      <c r="C77" s="1772"/>
      <c r="D77" s="1777" t="s">
        <v>1897</v>
      </c>
      <c r="E77" s="1774"/>
      <c r="F77" s="1780">
        <f>(F14-F76)</f>
        <v>22399442</v>
      </c>
      <c r="G77" s="869"/>
    </row>
    <row r="78" spans="1:8" s="893" customFormat="1" ht="12" customHeight="1" thickTop="1" x14ac:dyDescent="0.2">
      <c r="A78" s="1781"/>
      <c r="B78" s="1776"/>
      <c r="C78" s="1772"/>
      <c r="D78" s="1777" t="s">
        <v>2059</v>
      </c>
      <c r="E78" s="1774"/>
      <c r="F78" s="898">
        <v>1787.78</v>
      </c>
      <c r="G78" s="899"/>
      <c r="H78" s="869"/>
    </row>
    <row r="79" spans="1:8" s="893" customFormat="1" ht="12" customHeight="1" thickBot="1" x14ac:dyDescent="0.25">
      <c r="A79" s="1782"/>
      <c r="B79" s="1776"/>
      <c r="C79" s="1772"/>
      <c r="D79" s="1777" t="s">
        <v>1898</v>
      </c>
      <c r="E79" s="1774" t="s">
        <v>958</v>
      </c>
      <c r="F79" s="1783">
        <f>IF(F78&gt;0,F77/F78," Complete Line 78")</f>
        <v>12529.193748671538</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230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117466</v>
      </c>
      <c r="G94" s="912"/>
    </row>
    <row r="95" spans="1:7" x14ac:dyDescent="0.2">
      <c r="A95" s="908" t="s">
        <v>140</v>
      </c>
      <c r="B95" s="908" t="s">
        <v>175</v>
      </c>
      <c r="C95" s="910">
        <v>1700</v>
      </c>
      <c r="D95" s="918" t="str">
        <f>'Revenues 9-14'!A82</f>
        <v>Total District/School Activity Income</v>
      </c>
      <c r="E95" s="906"/>
      <c r="F95" s="1789">
        <f>SUM('Revenues 9-14'!C82,'Revenues 9-14'!D82)</f>
        <v>78501</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2922</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105001</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69267</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14916</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24211</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207866</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17915</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871823</v>
      </c>
      <c r="G125" s="930"/>
    </row>
    <row r="126" spans="1:7" x14ac:dyDescent="0.2">
      <c r="A126" s="927" t="s">
        <v>668</v>
      </c>
      <c r="B126" s="927" t="s">
        <v>2021</v>
      </c>
      <c r="C126" s="932">
        <v>4300</v>
      </c>
      <c r="D126" s="933" t="str">
        <f>'Revenues 9-14'!A204</f>
        <v>Total Title I</v>
      </c>
      <c r="E126" s="906"/>
      <c r="F126" s="1789">
        <f>SUM('Revenues 9-14'!C204,'Revenues 9-14'!D204,'Revenues 9-14'!F204,'Revenues 9-14'!G204)</f>
        <v>500728</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34789</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492582</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21719</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83317</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32979</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98964</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42487</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2817683</v>
      </c>
    </row>
    <row r="175" spans="1:7" ht="12" customHeight="1" x14ac:dyDescent="0.2">
      <c r="A175" s="1770"/>
      <c r="B175" s="1784"/>
      <c r="C175" s="1785"/>
      <c r="D175" s="1786" t="s">
        <v>2054</v>
      </c>
      <c r="E175" s="1787"/>
      <c r="F175" s="1789">
        <f>'PCTC-OEPP 27-28'!F77-F174</f>
        <v>19581759</v>
      </c>
    </row>
    <row r="176" spans="1:7" ht="12" customHeight="1" x14ac:dyDescent="0.2">
      <c r="A176" s="1770"/>
      <c r="B176" s="1784"/>
      <c r="C176" s="1785"/>
      <c r="D176" s="1786" t="s">
        <v>1814</v>
      </c>
      <c r="E176" s="1787"/>
      <c r="F176" s="1789">
        <f>'Cap Outlay Deprec 26'!I18</f>
        <v>1724418</v>
      </c>
    </row>
    <row r="177" spans="1:7" ht="12" customHeight="1" x14ac:dyDescent="0.2">
      <c r="A177" s="1770"/>
      <c r="B177" s="1784"/>
      <c r="C177" s="1785"/>
      <c r="D177" s="1786" t="s">
        <v>2055</v>
      </c>
      <c r="E177" s="1787"/>
      <c r="F177" s="1789">
        <f>F175+F176</f>
        <v>21306177</v>
      </c>
    </row>
    <row r="178" spans="1:7" ht="12" customHeight="1" x14ac:dyDescent="0.2">
      <c r="A178" s="1770"/>
      <c r="B178" s="1790"/>
      <c r="C178" s="1785"/>
      <c r="D178" s="1786" t="str">
        <f>D78</f>
        <v>9 Month ADA from District Average Daily Attendance/Prior General State Aid Inquiry 2018-2019</v>
      </c>
      <c r="E178" s="1787"/>
      <c r="F178" s="1791">
        <f>'PCTC-OEPP 27-28'!F78</f>
        <v>1787.78</v>
      </c>
      <c r="G178" s="930"/>
    </row>
    <row r="179" spans="1:7" ht="12" customHeight="1" thickBot="1" x14ac:dyDescent="0.25">
      <c r="A179" s="1770"/>
      <c r="B179" s="1790"/>
      <c r="C179" s="1785"/>
      <c r="D179" s="1786" t="s">
        <v>2056</v>
      </c>
      <c r="E179" s="1787" t="s">
        <v>1545</v>
      </c>
      <c r="F179" s="1792">
        <f>F177/F178</f>
        <v>11917.67275615568</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orizontalCentered="1"/>
  <pageMargins left="0.75" right="0.75" top="1" bottom="0.5" header="0.5" footer="0.5"/>
  <pageSetup scale="65" firstPageNumber="27" orientation="portrait" r:id="rId2"/>
  <headerFooter>
    <oddHeader>&amp;C&amp;"Times New Roman,Regular"ROXANA COMMUNITY UNIT SCHOOL DISTRICT NO. 1
ESTIMATED OPERATING EXPENSE PER PUPIL/PER CAPITA TUITION CHARGE COMPUTATIONS
FOR THE YEAR ENDED JUNE 30, 2019</oddHeader>
    <oddFooter>&amp;C&amp;"Times New Roman,Regular"See Independent Auditor's Reports
&amp;P</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zoomScaleNormal="100" workbookViewId="0">
      <selection activeCell="B21" sqref="B2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1815</v>
      </c>
      <c r="B4" s="2269"/>
      <c r="C4" s="2269"/>
      <c r="D4" s="2269"/>
      <c r="E4" s="2269"/>
      <c r="F4" s="2269"/>
      <c r="G4" s="2270"/>
    </row>
    <row r="5" spans="1:7" x14ac:dyDescent="0.25">
      <c r="A5" s="2271"/>
      <c r="B5" s="2272"/>
      <c r="C5" s="2272"/>
      <c r="D5" s="2272"/>
      <c r="E5" s="2272"/>
      <c r="F5" s="2272"/>
      <c r="G5" s="2273"/>
    </row>
    <row r="6" spans="1:7" ht="18.75" x14ac:dyDescent="0.25">
      <c r="A6" s="1534" t="s">
        <v>1816</v>
      </c>
      <c r="B6" s="1535"/>
      <c r="C6" s="1535"/>
      <c r="D6" s="1535"/>
      <c r="E6" s="1535"/>
      <c r="F6" s="1535"/>
      <c r="G6" s="1536"/>
    </row>
    <row r="7" spans="1:7" ht="30.75" customHeight="1" x14ac:dyDescent="0.25">
      <c r="A7" s="2274" t="s">
        <v>1929</v>
      </c>
      <c r="B7" s="2275"/>
      <c r="C7" s="2275"/>
      <c r="D7" s="2275"/>
      <c r="E7" s="2275"/>
      <c r="F7" s="2275"/>
      <c r="G7" s="2276"/>
    </row>
    <row r="8" spans="1:7" ht="15.75" customHeight="1" x14ac:dyDescent="0.25">
      <c r="A8" s="2277" t="s">
        <v>1904</v>
      </c>
      <c r="B8" s="2278"/>
      <c r="C8" s="2278"/>
      <c r="D8" s="2278"/>
      <c r="E8" s="2278"/>
      <c r="F8" s="2278"/>
      <c r="G8" s="2279"/>
    </row>
    <row r="9" spans="1:7" ht="35.25" customHeight="1" x14ac:dyDescent="0.25">
      <c r="A9" s="2274" t="s">
        <v>1932</v>
      </c>
      <c r="B9" s="2275"/>
      <c r="C9" s="2275"/>
      <c r="D9" s="2275"/>
      <c r="E9" s="2275"/>
      <c r="F9" s="2275"/>
      <c r="G9" s="2276"/>
    </row>
    <row r="10" spans="1:7" ht="15" customHeight="1" x14ac:dyDescent="0.25">
      <c r="A10" s="1537" t="s">
        <v>1817</v>
      </c>
      <c r="B10" s="1538"/>
      <c r="C10" s="1538"/>
      <c r="D10" s="1538"/>
      <c r="E10" s="1538"/>
      <c r="F10" s="1538"/>
      <c r="G10" s="1539"/>
    </row>
    <row r="11" spans="1:7" ht="17.25" customHeight="1" x14ac:dyDescent="0.25">
      <c r="A11" s="2274" t="s">
        <v>1931</v>
      </c>
      <c r="B11" s="2275"/>
      <c r="C11" s="2275"/>
      <c r="D11" s="2275"/>
      <c r="E11" s="2275"/>
      <c r="F11" s="2275"/>
      <c r="G11" s="2276"/>
    </row>
    <row r="12" spans="1:7" ht="15" customHeight="1" x14ac:dyDescent="0.25">
      <c r="A12" s="1537" t="s">
        <v>1822</v>
      </c>
      <c r="B12" s="1538"/>
      <c r="C12" s="1538"/>
      <c r="D12" s="1538"/>
      <c r="E12" s="1538"/>
      <c r="F12" s="1538"/>
      <c r="G12" s="1539"/>
    </row>
    <row r="13" spans="1:7" ht="32.25" customHeight="1" x14ac:dyDescent="0.25">
      <c r="A13" s="2265" t="s">
        <v>1973</v>
      </c>
      <c r="B13" s="2266"/>
      <c r="C13" s="2266"/>
      <c r="D13" s="2266"/>
      <c r="E13" s="2266"/>
      <c r="F13" s="2266"/>
      <c r="G13" s="2267"/>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2092</v>
      </c>
      <c r="B17" s="1934" t="s">
        <v>2093</v>
      </c>
      <c r="C17" s="1938" t="s">
        <v>2094</v>
      </c>
      <c r="D17" s="1844">
        <v>37759</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12759</v>
      </c>
      <c r="H17" s="1647"/>
    </row>
    <row r="18" spans="1:8" x14ac:dyDescent="0.25">
      <c r="A18" s="1937" t="s">
        <v>2095</v>
      </c>
      <c r="B18" s="1934" t="s">
        <v>2096</v>
      </c>
      <c r="C18" s="1938" t="s">
        <v>2097</v>
      </c>
      <c r="D18" s="1844">
        <v>43882</v>
      </c>
      <c r="E18" s="1540">
        <f t="shared" ref="E18:E140" si="2">IF(D18&lt;=25000,D18,IF(D18&gt;25000,25000,0))</f>
        <v>25000</v>
      </c>
      <c r="F18" s="1932">
        <f t="shared" si="1"/>
        <v>25000</v>
      </c>
      <c r="G18" s="1793">
        <f t="shared" ref="G18:G140" si="3">IF(F18=0,0,D18-F18)</f>
        <v>18882</v>
      </c>
    </row>
    <row r="19" spans="1:8" x14ac:dyDescent="0.25">
      <c r="A19" s="1937" t="s">
        <v>2092</v>
      </c>
      <c r="B19" s="1934" t="s">
        <v>2093</v>
      </c>
      <c r="C19" s="1938" t="s">
        <v>2098</v>
      </c>
      <c r="D19" s="1844">
        <v>9880</v>
      </c>
      <c r="E19" s="1540">
        <f t="shared" si="2"/>
        <v>9880</v>
      </c>
      <c r="F19" s="1932">
        <f t="shared" si="1"/>
        <v>9880</v>
      </c>
      <c r="G19" s="1793">
        <f t="shared" si="3"/>
        <v>0</v>
      </c>
    </row>
    <row r="20" spans="1:8" x14ac:dyDescent="0.25">
      <c r="A20" s="1937" t="s">
        <v>2099</v>
      </c>
      <c r="B20" s="1934" t="s">
        <v>2165</v>
      </c>
      <c r="C20" s="1938" t="s">
        <v>2100</v>
      </c>
      <c r="D20" s="1844">
        <v>11463</v>
      </c>
      <c r="E20" s="1540">
        <f t="shared" si="2"/>
        <v>11463</v>
      </c>
      <c r="F20" s="1932">
        <f t="shared" si="1"/>
        <v>11463</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102984</v>
      </c>
      <c r="E141" s="1541">
        <f t="shared" si="0"/>
        <v>25000</v>
      </c>
      <c r="F141" s="1933">
        <f>SUM(F17:F140)</f>
        <v>71343</v>
      </c>
      <c r="G141" s="1795">
        <f>SUM(G17:G140)</f>
        <v>31641</v>
      </c>
    </row>
  </sheetData>
  <sheetProtection password="F60E" sheet="1" selectLockedCells="1"/>
  <mergeCells count="6">
    <mergeCell ref="A13:G13"/>
    <mergeCell ref="A4:G5"/>
    <mergeCell ref="A11:G11"/>
    <mergeCell ref="A7:G7"/>
    <mergeCell ref="A8:G8"/>
    <mergeCell ref="A9:G9"/>
  </mergeCells>
  <printOptions horizontalCentered="1"/>
  <pageMargins left="0.75" right="0.75" top="1" bottom="0.5" header="0.5" footer="0.5"/>
  <pageSetup scale="50" firstPageNumber="30" fitToHeight="0" orientation="portrait" r:id="rId1"/>
  <headerFooter>
    <oddHeader>&amp;C&amp;"Times New Roman,Regular"ROXANA COMMUNITY UNIT SCHOOL DISTRICT NO. 1
CURRENT YEAR PAYMENT ON CONTRACTS FOR INDIRECT COST RATE COMPUTATION
FOR THE YEAR ENDED JUNE 30, 2019</oddHeader>
    <oddFooter>&amp;C&amp;"Times New Roman,Regular"See Independent Auditor's Reports
&amp;P</oddFooter>
  </headerFooter>
  <rowBreaks count="1" manualBreakCount="1">
    <brk id="8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427805</v>
      </c>
      <c r="F10" s="974"/>
      <c r="G10" s="975"/>
      <c r="H10" s="162"/>
      <c r="I10" s="162"/>
    </row>
    <row r="11" spans="1:9" s="668" customFormat="1" ht="22.5" customHeight="1" x14ac:dyDescent="0.2">
      <c r="A11" s="2285" t="s">
        <v>1974</v>
      </c>
      <c r="B11" s="2286"/>
      <c r="C11" s="2286"/>
      <c r="D11" s="2287"/>
      <c r="E11" s="977">
        <v>82664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12549144</v>
      </c>
      <c r="F19" s="1799"/>
      <c r="G19" s="1801">
        <f>'Expenditures 15-22'!K33-SUM('Expenditures 15-22'!G33,'Expenditures 15-22'!I33)+'Expenditures 15-22'!D229</f>
        <v>12549144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1245660</v>
      </c>
      <c r="F21" s="1802"/>
      <c r="G21" s="1805">
        <f>'Expenditures 15-22'!K42-SUM('Expenditures 15-22'!G42,'Expenditures 15-22'!I42)+'Expenditures 15-22'!K120-SUM('Expenditures 15-22'!G120,'Expenditures 15-22'!I120)+'Expenditures 15-22'!K180-SUM('Expenditures 15-22'!G180,'Expenditures 15-22'!I180)+'Expenditures 15-22'!D238</f>
        <v>1245660</v>
      </c>
      <c r="H21" s="987"/>
      <c r="I21" s="162"/>
    </row>
    <row r="22" spans="1:9" s="668" customFormat="1" ht="12" customHeight="1" x14ac:dyDescent="0.2">
      <c r="A22" s="994" t="s">
        <v>564</v>
      </c>
      <c r="B22" s="995"/>
      <c r="C22" s="993">
        <v>2200</v>
      </c>
      <c r="D22" s="1802"/>
      <c r="E22" s="1804">
        <f>'Expenditures 15-22'!K47-SUM('Expenditures 15-22'!G47,'Expenditures 15-22'!I47)+'Expenditures 15-22'!D243</f>
        <v>741322</v>
      </c>
      <c r="F22" s="1802"/>
      <c r="G22" s="1805">
        <f>'Expenditures 15-22'!K47-SUM('Expenditures 15-22'!G47,'Expenditures 15-22'!I47)+'Expenditures 15-22'!D243</f>
        <v>741322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1044693</v>
      </c>
      <c r="F23" s="1802"/>
      <c r="G23" s="1804">
        <f>'Expenditures 15-22'!K53-SUM('Expenditures 15-22'!G53,'Expenditures 15-22'!I53)+'Expenditures 15-22'!D257+'Expenditures 15-22'!K330-SUM('Expenditures 15-22'!G330,'Expenditures 15-22'!I330)</f>
        <v>1044693</v>
      </c>
      <c r="H23" s="987"/>
      <c r="I23" s="162"/>
    </row>
    <row r="24" spans="1:9" s="668" customFormat="1" ht="12" customHeight="1" x14ac:dyDescent="0.2">
      <c r="A24" s="994" t="s">
        <v>566</v>
      </c>
      <c r="B24" s="995"/>
      <c r="C24" s="993">
        <v>2400</v>
      </c>
      <c r="D24" s="1802"/>
      <c r="E24" s="1804">
        <f>'Expenditures 15-22'!K57-SUM('Expenditures 15-22'!G57,'Expenditures 15-22'!I57)+'Expenditures 15-22'!D261</f>
        <v>1062859</v>
      </c>
      <c r="F24" s="1802"/>
      <c r="G24" s="1805">
        <f>'Expenditures 15-22'!K57-SUM('Expenditures 15-22'!G57,'Expenditures 15-22'!I57)+'Expenditures 15-22'!D261</f>
        <v>1062859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340702</v>
      </c>
      <c r="E27" s="1804">
        <f>E8</f>
        <v>0</v>
      </c>
      <c r="F27" s="1804">
        <f>'Expenditures 15-22'!K60-SUM('Expenditures 15-22'!G60,'Expenditures 15-22'!I60)+'Expenditures 15-22'!D264-E8</f>
        <v>340702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2812138</v>
      </c>
      <c r="F28" s="1806">
        <f>'Expenditures 15-22'!K61-SUM('Expenditures 15-22'!G61,'Expenditures 15-22'!I61)+'Expenditures 15-22'!K124-SUM('Expenditures 15-22'!G124,'Expenditures 15-22'!I124)+'Expenditures 15-22'!D266-E9</f>
        <v>2812138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1105385</v>
      </c>
      <c r="F29" s="1802"/>
      <c r="G29" s="1805">
        <f>'Expenditures 15-22'!K62-SUM('Expenditures 15-22'!G62,'Expenditures 15-22'!I62)+'Expenditures 15-22'!K125-SUM('Expenditures 15-22'!G125,'Expenditures 15-22'!I125)+'Expenditures 15-22'!K182-SUM('Expenditures 15-22'!G182,'Expenditures 15-22'!I182)+'Expenditures 15-22'!D267</f>
        <v>1105385</v>
      </c>
      <c r="H29" s="985"/>
    </row>
    <row r="30" spans="1:9" ht="12" customHeight="1" x14ac:dyDescent="0.2">
      <c r="A30" s="994" t="s">
        <v>100</v>
      </c>
      <c r="B30" s="997"/>
      <c r="C30" s="993">
        <v>2560</v>
      </c>
      <c r="D30" s="1802"/>
      <c r="E30" s="1804">
        <f>'Expenditures 15-22'!K63-SUM('Expenditures 15-22'!G63,'Expenditures 15-22'!I63)+'Expenditures 15-22'!D268-E10</f>
        <v>636594</v>
      </c>
      <c r="F30" s="1802"/>
      <c r="G30" s="1804">
        <f>'Expenditures 15-22'!K63-SUM('Expenditures 15-22'!G63,'Expenditures 15-22'!I63)+'Expenditures 15-22'!D268-E10</f>
        <v>636594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471978</v>
      </c>
      <c r="E37" s="1804">
        <f>E14</f>
        <v>0</v>
      </c>
      <c r="F37" s="1804">
        <f>'Expenditures 15-22'!K71-SUM('Expenditures 15-22'!G71,'Expenditures 15-22'!I71)+'Expenditures 15-22'!D276-E14</f>
        <v>471978</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238</v>
      </c>
      <c r="F38" s="1802"/>
      <c r="G38" s="1804">
        <f>'Expenditures 15-22'!K73-SUM('Expenditures 15-22'!G73,'Expenditures 15-22'!I73)+'Expenditures 15-22'!K128-SUM('Expenditures 15-22'!G128,'Expenditures 15-22'!I128)+'Expenditures 15-22'!K183-SUM('Expenditures 15-22'!G183,'Expenditures 15-22'!I183)+'Expenditures 15-22'!D278</f>
        <v>238</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38576</v>
      </c>
      <c r="F39" s="1802"/>
      <c r="G39" s="1804">
        <f>'Expenditures 15-22'!K75-SUM('Expenditures 15-22'!G75,'Expenditures 15-22'!I75)+'Expenditures 15-22'!K130-SUM('Expenditures 15-22'!G130,'Expenditures 15-22'!I130)+'Expenditures 15-22'!K185-SUM('Expenditures 15-22'!G185,'Expenditures 15-22'!I185)+'Expenditures 15-22'!D280</f>
        <v>38576</v>
      </c>
    </row>
    <row r="40" spans="1:7" ht="12" customHeight="1" x14ac:dyDescent="0.2">
      <c r="A40" s="990" t="s">
        <v>1820</v>
      </c>
      <c r="B40" s="991"/>
      <c r="C40" s="993"/>
      <c r="D40" s="1802"/>
      <c r="E40" s="1806">
        <f>-'Contracts Paid in CY 29'!G141</f>
        <v>-31641</v>
      </c>
      <c r="F40" s="1802"/>
      <c r="G40" s="1806">
        <f>-'Contracts Paid in CY 29'!G141</f>
        <v>-31641</v>
      </c>
    </row>
    <row r="41" spans="1:7" ht="12" customHeight="1" x14ac:dyDescent="0.2">
      <c r="A41" s="998" t="s">
        <v>156</v>
      </c>
      <c r="B41" s="999"/>
      <c r="C41" s="1000"/>
      <c r="D41" s="1806">
        <f>SUM(D19:D39)</f>
        <v>812680</v>
      </c>
      <c r="E41" s="1806">
        <f>SUM(E19:E40)</f>
        <v>21204968</v>
      </c>
      <c r="F41" s="1806">
        <f>SUM(F19:F39)</f>
        <v>3624818</v>
      </c>
      <c r="G41" s="1806">
        <f>SUM(G19:G40)</f>
        <v>18392830</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812680</v>
      </c>
      <c r="F43" s="1807" t="s">
        <v>473</v>
      </c>
      <c r="G43" s="1808">
        <f>F41</f>
        <v>3624818</v>
      </c>
    </row>
    <row r="44" spans="1:7" ht="12" customHeight="1" x14ac:dyDescent="0.2">
      <c r="A44" s="987"/>
      <c r="B44" s="162"/>
      <c r="C44" s="1001"/>
      <c r="D44" s="1807" t="s">
        <v>474</v>
      </c>
      <c r="E44" s="1808">
        <f>E41</f>
        <v>21204968</v>
      </c>
      <c r="F44" s="1807" t="s">
        <v>474</v>
      </c>
      <c r="G44" s="1808">
        <f>G41</f>
        <v>18392830</v>
      </c>
    </row>
    <row r="45" spans="1:7" ht="12" customHeight="1" x14ac:dyDescent="0.2">
      <c r="A45" s="987"/>
      <c r="B45" s="162"/>
      <c r="C45" s="162"/>
      <c r="D45" s="1809" t="s">
        <v>1006</v>
      </c>
      <c r="E45" s="1810">
        <f>(E43/E44)</f>
        <v>3.8324981202518205E-2</v>
      </c>
      <c r="F45" s="1809" t="s">
        <v>1006</v>
      </c>
      <c r="G45" s="1810">
        <f>(G43/G44)</f>
        <v>0.19707777432836601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pageMargins left="0.75" right="0.75" top="1" bottom="0.5" header="0.5" footer="0.5"/>
  <pageSetup scale="75" firstPageNumber="30" orientation="landscape" r:id="rId1"/>
  <headerFooter>
    <oddHeader>&amp;C&amp;"Times New Roman,Regular"ROXANA COMMUNITY UNIT SCHOOL DISTRICT NO. 1
ESTIMATED INDIRECT COST RATE DATA
FOR THE YEAR ENDED JUNE 30, 2019</oddHeader>
    <oddFooter>&amp;C&amp;"Times New Roman,Regular"See Independent Auditor's Reports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V29" sqref="V29"/>
      <selection pane="bottomLeft" activeCell="F30" sqref="F3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1" t="s">
        <v>1379</v>
      </c>
      <c r="B1" s="2291"/>
      <c r="C1" s="2291"/>
      <c r="D1" s="2291"/>
      <c r="E1" s="2291"/>
      <c r="F1" s="2291"/>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292" t="s">
        <v>1546</v>
      </c>
      <c r="B5" s="2293"/>
      <c r="C5" s="2294"/>
      <c r="D5" s="2294"/>
      <c r="E5" s="2294"/>
      <c r="F5" s="2294"/>
    </row>
    <row r="6" spans="1:10" ht="12" customHeight="1" x14ac:dyDescent="0.25">
      <c r="A6" s="1850"/>
      <c r="B6" s="1851"/>
      <c r="C6" s="2295" t="str">
        <f>COVER!A17</f>
        <v>Roxana CUSD 1</v>
      </c>
      <c r="D6" s="2295"/>
      <c r="E6" s="2295"/>
      <c r="F6" s="1852"/>
    </row>
    <row r="7" spans="1:10" ht="11.25" customHeight="1" thickBot="1" x14ac:dyDescent="0.3">
      <c r="A7" s="1850"/>
      <c r="B7" s="1851"/>
      <c r="C7" s="2296">
        <f>COVER!A13</f>
        <v>41057001026</v>
      </c>
      <c r="D7" s="2296"/>
      <c r="E7" s="2296"/>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t="s">
        <v>2061</v>
      </c>
      <c r="D15" s="1865" t="s">
        <v>2061</v>
      </c>
      <c r="E15" s="1868" t="s">
        <v>2061</v>
      </c>
      <c r="F15" s="1867" t="s">
        <v>2101</v>
      </c>
      <c r="H15" s="1878">
        <f t="shared" si="0"/>
        <v>5</v>
      </c>
      <c r="I15" s="1878">
        <f t="shared" si="1"/>
        <v>5</v>
      </c>
      <c r="J15" s="1878">
        <f t="shared" si="2"/>
        <v>5</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2061</v>
      </c>
      <c r="D19" s="1865" t="s">
        <v>2061</v>
      </c>
      <c r="E19" s="1868" t="s">
        <v>2061</v>
      </c>
      <c r="F19" s="1867" t="s">
        <v>2102</v>
      </c>
      <c r="H19" s="1878">
        <f t="shared" si="0"/>
        <v>5</v>
      </c>
      <c r="I19" s="1878">
        <f t="shared" si="1"/>
        <v>5</v>
      </c>
      <c r="J19" s="1878">
        <f t="shared" si="2"/>
        <v>5</v>
      </c>
    </row>
    <row r="20" spans="1:12" ht="12" customHeight="1" x14ac:dyDescent="0.2">
      <c r="A20" s="1863" t="s">
        <v>1528</v>
      </c>
      <c r="B20" s="1864"/>
      <c r="C20" s="1865" t="s">
        <v>2061</v>
      </c>
      <c r="D20" s="1865" t="s">
        <v>2061</v>
      </c>
      <c r="E20" s="1868" t="s">
        <v>2061</v>
      </c>
      <c r="F20" s="1867" t="s">
        <v>2103</v>
      </c>
      <c r="H20" s="1878">
        <f t="shared" si="0"/>
        <v>5</v>
      </c>
      <c r="I20" s="1878">
        <f t="shared" si="1"/>
        <v>5</v>
      </c>
      <c r="J20" s="1878">
        <f t="shared" si="2"/>
        <v>5</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2061</v>
      </c>
      <c r="D28" s="1865" t="s">
        <v>2061</v>
      </c>
      <c r="E28" s="1868" t="s">
        <v>2061</v>
      </c>
      <c r="F28" s="1867" t="s">
        <v>2104</v>
      </c>
      <c r="H28" s="1878">
        <f t="shared" si="0"/>
        <v>5</v>
      </c>
      <c r="I28" s="1878">
        <f t="shared" si="1"/>
        <v>5</v>
      </c>
      <c r="J28" s="1878">
        <f t="shared" si="2"/>
        <v>5</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2061</v>
      </c>
      <c r="D30" s="1865" t="s">
        <v>2061</v>
      </c>
      <c r="E30" s="1868" t="s">
        <v>2061</v>
      </c>
      <c r="F30" s="1867" t="s">
        <v>2105</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1392</v>
      </c>
      <c r="B35" s="1872"/>
      <c r="C35" s="2297"/>
      <c r="D35" s="2297"/>
      <c r="E35" s="2297"/>
      <c r="F35" s="2298"/>
    </row>
    <row r="36" spans="1:11" ht="12" customHeight="1" x14ac:dyDescent="0.2">
      <c r="A36" s="2288"/>
      <c r="B36" s="2289"/>
      <c r="C36" s="2289"/>
      <c r="D36" s="2289"/>
      <c r="E36" s="2289"/>
      <c r="F36" s="2290"/>
    </row>
    <row r="37" spans="1:11" ht="12" customHeight="1" x14ac:dyDescent="0.2">
      <c r="A37" s="2288"/>
      <c r="B37" s="2289"/>
      <c r="C37" s="2289"/>
      <c r="D37" s="2289"/>
      <c r="E37" s="2289"/>
      <c r="F37" s="2290"/>
    </row>
    <row r="38" spans="1:11" ht="12" customHeight="1" x14ac:dyDescent="0.2">
      <c r="A38" s="2302"/>
      <c r="B38" s="2303"/>
      <c r="C38" s="2303"/>
      <c r="D38" s="2303"/>
      <c r="E38" s="2303"/>
      <c r="F38" s="2304"/>
    </row>
    <row r="39" spans="1:11" ht="4.5" hidden="1" customHeight="1" x14ac:dyDescent="0.2">
      <c r="A39" s="1873"/>
      <c r="B39" s="1873"/>
      <c r="C39" s="1873"/>
      <c r="D39" s="1873"/>
      <c r="E39" s="1873"/>
      <c r="F39" s="1873"/>
    </row>
    <row r="40" spans="1:11" s="1870" customFormat="1" ht="12" customHeight="1" x14ac:dyDescent="0.25">
      <c r="A40" s="1874" t="s">
        <v>1391</v>
      </c>
      <c r="B40" s="1875"/>
      <c r="C40" s="2305"/>
      <c r="D40" s="2305"/>
      <c r="E40" s="2305"/>
      <c r="F40" s="2306"/>
      <c r="H40" s="1879"/>
      <c r="I40" s="1879"/>
      <c r="J40" s="1879"/>
      <c r="K40" s="1879"/>
    </row>
    <row r="41" spans="1:11" s="1870" customFormat="1" ht="12" customHeight="1" x14ac:dyDescent="0.25">
      <c r="A41" s="2307"/>
      <c r="B41" s="2308"/>
      <c r="C41" s="2308"/>
      <c r="D41" s="2308"/>
      <c r="E41" s="2308"/>
      <c r="F41" s="2309"/>
      <c r="H41" s="1879"/>
      <c r="I41" s="1879"/>
      <c r="J41" s="1879"/>
      <c r="K41" s="1879"/>
    </row>
    <row r="42" spans="1:11" s="1870" customFormat="1" ht="12" customHeight="1" x14ac:dyDescent="0.25">
      <c r="A42" s="2307"/>
      <c r="B42" s="2308"/>
      <c r="C42" s="2308"/>
      <c r="D42" s="2308"/>
      <c r="E42" s="2308"/>
      <c r="F42" s="2309"/>
      <c r="H42" s="1879"/>
      <c r="I42" s="1879"/>
      <c r="J42" s="1879"/>
      <c r="K42" s="1879"/>
    </row>
    <row r="43" spans="1:11" s="1870" customFormat="1" ht="15" x14ac:dyDescent="0.25">
      <c r="A43" s="2299"/>
      <c r="B43" s="2300"/>
      <c r="C43" s="2300"/>
      <c r="D43" s="2300"/>
      <c r="E43" s="2300"/>
      <c r="F43" s="2301"/>
      <c r="H43" s="1879"/>
      <c r="I43" s="1879"/>
      <c r="J43" s="1879"/>
      <c r="K43" s="1879"/>
    </row>
    <row r="44" spans="1:11" s="1870" customFormat="1" ht="12" hidden="1" customHeight="1" x14ac:dyDescent="0.25">
      <c r="A44" s="2299"/>
      <c r="B44" s="2300"/>
      <c r="C44" s="2300"/>
      <c r="D44" s="2300"/>
      <c r="E44" s="2300"/>
      <c r="F44" s="230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 bottom="0.5" header="0.5" footer="0.5"/>
  <pageSetup scale="75" orientation="landscape" r:id="rId1"/>
  <headerFooter>
    <oddHeader>&amp;C&amp;"Times New Roman,Regular"ROXANA COMMUNITY UNIT SCHOOL DISTRICT NO. 1</oddHeader>
    <oddFooter>&amp;C&amp;"Times New Roman,Regular"See Independent Auditor's Reports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Roxana CUSD 1</v>
      </c>
      <c r="J6" s="2316"/>
      <c r="Q6" s="1664"/>
    </row>
    <row r="7" spans="1:17" x14ac:dyDescent="0.2">
      <c r="A7" s="2317" t="s">
        <v>869</v>
      </c>
      <c r="B7" s="2318"/>
      <c r="C7" s="2318"/>
      <c r="D7" s="2318"/>
      <c r="E7" s="2319"/>
      <c r="F7" s="1017"/>
      <c r="G7" s="1009"/>
      <c r="H7" s="1016" t="s">
        <v>372</v>
      </c>
      <c r="I7" s="2320">
        <f>COVER!A13</f>
        <v>41057001026</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408262</v>
      </c>
      <c r="F12" s="1039"/>
      <c r="G12" s="1811">
        <f t="shared" ref="G12:G18" si="0">SUM(E12:F12)</f>
        <v>408262</v>
      </c>
      <c r="H12" s="1040">
        <v>428225</v>
      </c>
      <c r="I12" s="1039"/>
      <c r="J12" s="1811">
        <f t="shared" ref="J12:J18" si="1">SUM(H12:I12)</f>
        <v>428225</v>
      </c>
    </row>
    <row r="13" spans="1:17" ht="15" customHeight="1" x14ac:dyDescent="0.2">
      <c r="A13" s="1035">
        <v>2</v>
      </c>
      <c r="B13" s="1036" t="s">
        <v>42</v>
      </c>
      <c r="C13" s="1037"/>
      <c r="D13" s="1038">
        <v>2330</v>
      </c>
      <c r="E13" s="1811">
        <f>'Expenditures 15-22'!K51</f>
        <v>164940</v>
      </c>
      <c r="F13" s="1039"/>
      <c r="G13" s="1811">
        <f t="shared" si="0"/>
        <v>164940</v>
      </c>
      <c r="H13" s="1040">
        <v>148125</v>
      </c>
      <c r="I13" s="1039"/>
      <c r="J13" s="1811">
        <f t="shared" si="1"/>
        <v>148125</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4" t="s">
        <v>7</v>
      </c>
      <c r="C18" s="2325"/>
      <c r="D18" s="232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573202</v>
      </c>
      <c r="F19" s="1813">
        <f t="shared" si="2"/>
        <v>0</v>
      </c>
      <c r="G19" s="1813">
        <f t="shared" si="2"/>
        <v>573202</v>
      </c>
      <c r="H19" s="1813">
        <f t="shared" si="2"/>
        <v>576350</v>
      </c>
      <c r="I19" s="1813">
        <f t="shared" si="2"/>
        <v>0</v>
      </c>
      <c r="J19" s="1813">
        <f t="shared" si="2"/>
        <v>576350</v>
      </c>
    </row>
    <row r="20" spans="1:10" ht="13.5" thickTop="1" x14ac:dyDescent="0.2">
      <c r="A20" s="1035">
        <v>9</v>
      </c>
      <c r="B20" s="2327" t="s">
        <v>1978</v>
      </c>
      <c r="C20" s="2327"/>
      <c r="D20" s="2328"/>
      <c r="E20" s="1046"/>
      <c r="F20" s="1046"/>
      <c r="G20" s="1046"/>
      <c r="H20" s="1046"/>
      <c r="I20" s="1046"/>
      <c r="J20" s="1814">
        <f>IF(AND(G19&gt;0,J19&gt;0),(((J19-G19)/G19)),"Enter Budget Data")</f>
        <v>5.4919557154371407E-3</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1980</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31" orientation="landscape" r:id="rId1"/>
  <headerFooter>
    <oddHeader>&amp;C&amp;"Times New Roman,Regular"ROXANA COMMUNITY UNIT SCHOOL DISTRICT NO. 1
LIMITATION OF ADMINISTRATIVE COSTS WORKSHEET
FOR THE YEAR ENDED JUNE 30, 2019</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8" sqref="B1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2172</v>
      </c>
    </row>
    <row r="6" spans="1:2" x14ac:dyDescent="0.2">
      <c r="A6" s="1068">
        <v>2</v>
      </c>
      <c r="B6" s="329" t="s">
        <v>2173</v>
      </c>
    </row>
    <row r="7" spans="1:2" x14ac:dyDescent="0.2">
      <c r="A7" s="1068">
        <v>3</v>
      </c>
      <c r="B7" s="329" t="s">
        <v>2174</v>
      </c>
    </row>
    <row r="8" spans="1:2" x14ac:dyDescent="0.2">
      <c r="A8" s="1068">
        <v>4</v>
      </c>
      <c r="B8" s="329" t="s">
        <v>2175</v>
      </c>
    </row>
    <row r="9" spans="1:2" x14ac:dyDescent="0.2">
      <c r="A9" s="1069">
        <v>5</v>
      </c>
      <c r="B9" s="329" t="s">
        <v>2176</v>
      </c>
    </row>
    <row r="10" spans="1:2" x14ac:dyDescent="0.2">
      <c r="A10" s="1069">
        <v>6</v>
      </c>
      <c r="B10" s="329" t="s">
        <v>2177</v>
      </c>
    </row>
    <row r="11" spans="1:2" x14ac:dyDescent="0.2">
      <c r="A11" s="1069">
        <v>7</v>
      </c>
      <c r="B11" s="329" t="s">
        <v>2178</v>
      </c>
    </row>
    <row r="12" spans="1:2" x14ac:dyDescent="0.2">
      <c r="A12" s="1069">
        <v>8</v>
      </c>
      <c r="B12" s="329" t="s">
        <v>2179</v>
      </c>
    </row>
    <row r="13" spans="1:2" x14ac:dyDescent="0.2">
      <c r="A13" s="1069">
        <v>9</v>
      </c>
      <c r="B13" s="329" t="s">
        <v>2180</v>
      </c>
    </row>
    <row r="14" spans="1:2" x14ac:dyDescent="0.2">
      <c r="A14" s="1069">
        <v>10</v>
      </c>
      <c r="B14" s="329" t="s">
        <v>2181</v>
      </c>
    </row>
    <row r="15" spans="1:2" x14ac:dyDescent="0.2">
      <c r="A15" s="1069">
        <v>11</v>
      </c>
      <c r="B15" s="329" t="s">
        <v>2182</v>
      </c>
    </row>
    <row r="16" spans="1:2" x14ac:dyDescent="0.2">
      <c r="A16" s="1069">
        <v>12</v>
      </c>
      <c r="B16" s="329" t="s">
        <v>2183</v>
      </c>
    </row>
    <row r="17" spans="1:2" x14ac:dyDescent="0.2">
      <c r="A17" s="1069">
        <v>13</v>
      </c>
      <c r="B17" s="329" t="s">
        <v>2184</v>
      </c>
    </row>
    <row r="18" spans="1:2" x14ac:dyDescent="0.2">
      <c r="A18" s="1069">
        <v>14</v>
      </c>
    </row>
    <row r="19" spans="1:2" x14ac:dyDescent="0.2">
      <c r="A19" s="1069">
        <v>15</v>
      </c>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Roxana CUSD 1</v>
      </c>
    </row>
    <row r="65" spans="2:2" x14ac:dyDescent="0.2">
      <c r="B65" s="1070">
        <f>COVER!A13</f>
        <v>41057001026</v>
      </c>
    </row>
  </sheetData>
  <phoneticPr fontId="13" type="noConversion"/>
  <printOptions horizontalCentered="1"/>
  <pageMargins left="0.5" right="0.75" top="1" bottom="0.5" header="0.5" footer="0.5"/>
  <pageSetup scale="80" firstPageNumber="32" orientation="portrait" r:id="rId1"/>
  <headerFooter>
    <oddHeader>&amp;C&amp;"Times New Roman,Regular"ROXANA COMMUNITY UNIT SCHOOL DISTRICT NO. 1
ITEMIZATION SCHEDULE
FOR THE YEAR ENDED JUNE 30, 2019</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view="pageBreakPreview" zoomScale="60" zoomScaleNormal="110" workbookViewId="0">
      <selection activeCell="AD25" sqref="AD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5" right="0.75" top="1" bottom="0.5" header="0.5" footer="0.5"/>
  <pageSetup scale="70" fitToHeight="0" orientation="portrait" r:id="rId4"/>
  <headerFooter>
    <oddHeader>&amp;C&amp;"Times New Roman,Regular"ROXANA COMMUNITY UNIT SCHOOL DISTRICT NO. 1</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G12" sqref="G1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rintOptions horizontalCentered="1"/>
  <pageMargins left="0.75" right="0.75" top="1" bottom="0.5" header="0.5" footer="0.5"/>
  <pageSetup scale="90" firstPageNumber="33" orientation="landscape" r:id="rId1"/>
  <headerFooter>
    <oddHeader xml:space="preserve">&amp;C&amp;"Times New Roman,Regular"Name
FOR THE YEAR ENDED JUNE 30, 2019
</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3" type="noConversion"/>
  <printOptions horizontalCentered="1"/>
  <pageMargins left="0.75" right="0.75" top="1" bottom="0.5" header="0.5" footer="0.5"/>
  <pageSetup scale="90" firstPageNumber="34" orientation="landscape" r:id="rId1"/>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V29" sqref="V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1984</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1985</v>
      </c>
      <c r="B4" s="2355"/>
      <c r="C4" s="2355"/>
      <c r="D4" s="2355"/>
      <c r="E4" s="2355"/>
      <c r="F4" s="2356"/>
      <c r="G4" s="1074"/>
      <c r="H4" s="1074"/>
    </row>
    <row r="5" spans="1:8" ht="14.25" customHeight="1" x14ac:dyDescent="0.2">
      <c r="A5" s="2357" t="s">
        <v>1981</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18863449</v>
      </c>
      <c r="C8" s="1815">
        <f>'Acct Summary 7-8'!D8</f>
        <v>2854156</v>
      </c>
      <c r="D8" s="1815">
        <f>'Acct Summary 7-8'!F8</f>
        <v>1213442</v>
      </c>
      <c r="E8" s="1815">
        <f>'Acct Summary 7-8'!I8</f>
        <v>53087</v>
      </c>
      <c r="F8" s="1815">
        <f>SUM(B8:E8)</f>
        <v>22984134</v>
      </c>
    </row>
    <row r="9" spans="1:8" s="1079" customFormat="1" ht="14.25" customHeight="1" thickBot="1" x14ac:dyDescent="0.25">
      <c r="A9" s="1078" t="s">
        <v>1369</v>
      </c>
      <c r="B9" s="1816">
        <f>'Acct Summary 7-8'!C17</f>
        <v>17767724</v>
      </c>
      <c r="C9" s="1816">
        <f>'Acct Summary 7-8'!D17</f>
        <v>2618838</v>
      </c>
      <c r="D9" s="1816">
        <f>'Acct Summary 7-8'!F17</f>
        <v>1184296</v>
      </c>
      <c r="E9" s="1815"/>
      <c r="F9" s="1815">
        <f>SUM(B9:E9)</f>
        <v>21570858</v>
      </c>
    </row>
    <row r="10" spans="1:8" s="1079" customFormat="1" ht="14.25" thickTop="1" thickBot="1" x14ac:dyDescent="0.25">
      <c r="A10" s="1080" t="s">
        <v>1370</v>
      </c>
      <c r="B10" s="1817">
        <f>(B8-B9)</f>
        <v>1095725</v>
      </c>
      <c r="C10" s="1817">
        <f>(C8-C9)</f>
        <v>235318</v>
      </c>
      <c r="D10" s="1817">
        <f>(D8-D9)</f>
        <v>29146</v>
      </c>
      <c r="E10" s="1816">
        <f>(E8-E9)</f>
        <v>53087</v>
      </c>
      <c r="F10" s="1818">
        <f>SUM(F8-F9)</f>
        <v>1413276</v>
      </c>
    </row>
    <row r="11" spans="1:8" s="1079" customFormat="1" ht="14.25" thickTop="1" thickBot="1" x14ac:dyDescent="0.25">
      <c r="A11" s="1081" t="s">
        <v>1982</v>
      </c>
      <c r="B11" s="1819">
        <f>'Acct Summary 7-8'!C81</f>
        <v>12912158</v>
      </c>
      <c r="C11" s="1819">
        <f>'Acct Summary 7-8'!D81</f>
        <v>2088553</v>
      </c>
      <c r="D11" s="1819">
        <f>'Acct Summary 7-8'!F81</f>
        <v>1168571</v>
      </c>
      <c r="E11" s="1819">
        <f>'Acct Summary 7-8'!I81</f>
        <v>2344687</v>
      </c>
      <c r="F11" s="1820">
        <f>SUM(B11:E11)</f>
        <v>18513969</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pageMargins left="0.75" right="0.75" top="1.5" bottom="0.5" header="0.5" footer="0.5"/>
  <pageSetup firstPageNumber="19" fitToHeight="0" orientation="landscape" r:id="rId1"/>
  <headerFooter>
    <oddHeader>&amp;C&amp;"Times New Roman,Regular"ROXANA COMMUNITY UNIT SCHOOL DISTRICT NO. 1
DEFICIT ANNUAL FINANCIAL REPORT (AFR) SUMMARY INFORMATION
FOR THE YEAR ENDED JUNE 30, 2019</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1" colorId="8" zoomScale="110" zoomScaleNormal="110" workbookViewId="0">
      <selection activeCell="G20" sqref="G2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rintOptions horizontalCentered="1"/>
  <pageMargins left="0.75" right="0.75" top="1" bottom="0.5" header="0.5" footer="0.5"/>
  <pageSetup scale="75" firstPageNumber="32" orientation="landscape" r:id="rId1"/>
  <headerFooter>
    <oddHeader xml:space="preserve">&amp;C&amp;"Times New Roman,Regular"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41057001026</v>
      </c>
    </row>
    <row r="3" spans="1:2" x14ac:dyDescent="0.2">
      <c r="A3" t="s">
        <v>956</v>
      </c>
      <c r="B3" s="138" t="str">
        <f>COVER!A15</f>
        <v>MADISON</v>
      </c>
    </row>
    <row r="4" spans="1:2" x14ac:dyDescent="0.2">
      <c r="A4" t="s">
        <v>1007</v>
      </c>
      <c r="B4" s="138" t="str">
        <f>COVER!A17</f>
        <v>Roxana CUSD 1</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066-005060</v>
      </c>
    </row>
    <row r="16" spans="1:2" x14ac:dyDescent="0.2">
      <c r="A16" t="s">
        <v>422</v>
      </c>
      <c r="B16" s="138" t="str">
        <f>COVER!T13</f>
        <v>DENNIS ROSE &amp; ASSOCIATES, P.C.</v>
      </c>
    </row>
    <row r="17" spans="1:2" x14ac:dyDescent="0.2">
      <c r="A17" t="s">
        <v>884</v>
      </c>
      <c r="B17" s="138" t="str">
        <f>COVER!T15</f>
        <v>DENNIS ROSE</v>
      </c>
    </row>
    <row r="18" spans="1:2" x14ac:dyDescent="0.2">
      <c r="A18" t="s">
        <v>1150</v>
      </c>
      <c r="B18" s="138" t="str">
        <f>COVER!T17</f>
        <v>1904 STATE STREET</v>
      </c>
    </row>
    <row r="19" spans="1:2" x14ac:dyDescent="0.2">
      <c r="A19" t="s">
        <v>886</v>
      </c>
      <c r="B19" s="138" t="str">
        <f>COVER!T25</f>
        <v>DROSECPA@DRA-CPA.COM</v>
      </c>
    </row>
    <row r="20" spans="1:2" x14ac:dyDescent="0.2">
      <c r="A20" t="s">
        <v>887</v>
      </c>
      <c r="B20" s="138" t="str">
        <f>COVER!T19</f>
        <v>ALTON</v>
      </c>
    </row>
    <row r="21" spans="1:2" x14ac:dyDescent="0.2">
      <c r="A21" t="s">
        <v>479</v>
      </c>
      <c r="B21" s="138" t="str">
        <f>COVER!X19</f>
        <v>IL</v>
      </c>
    </row>
    <row r="22" spans="1:2" x14ac:dyDescent="0.2">
      <c r="A22" t="s">
        <v>888</v>
      </c>
      <c r="B22" s="138">
        <f>COVER!Z19</f>
        <v>62002</v>
      </c>
    </row>
    <row r="23" spans="1:2" x14ac:dyDescent="0.2">
      <c r="A23" t="s">
        <v>1152</v>
      </c>
      <c r="B23" s="138" t="str">
        <f>COVER!T21</f>
        <v>618-465-4999</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12912158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12912158</v>
      </c>
      <c r="D92" s="2" t="str">
        <f t="shared" si="0"/>
        <v>Error?</v>
      </c>
    </row>
    <row r="93" spans="1:4" x14ac:dyDescent="0.2">
      <c r="A93" s="5">
        <v>32</v>
      </c>
      <c r="B93" s="138">
        <f>'Assets-Liab 5-6'!C41</f>
        <v>12912158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2088578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25</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25</v>
      </c>
      <c r="C122" s="2" t="s">
        <v>573</v>
      </c>
      <c r="D122" s="2" t="str">
        <f t="shared" si="0"/>
        <v>Error?</v>
      </c>
    </row>
    <row r="123" spans="1:4" x14ac:dyDescent="0.2">
      <c r="A123" s="5">
        <v>62</v>
      </c>
      <c r="B123" s="138">
        <f>'Assets-Liab 5-6'!D39</f>
        <v>2088553</v>
      </c>
      <c r="D123" s="2" t="str">
        <f t="shared" si="0"/>
        <v>Error?</v>
      </c>
    </row>
    <row r="124" spans="1:4" x14ac:dyDescent="0.2">
      <c r="A124" s="5">
        <v>63</v>
      </c>
      <c r="B124" s="138">
        <f>'Assets-Liab 5-6'!D41</f>
        <v>2088578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466414</v>
      </c>
      <c r="D129" s="2" t="str">
        <f t="shared" si="1"/>
        <v>Error?</v>
      </c>
    </row>
    <row r="130" spans="1:4" x14ac:dyDescent="0.2">
      <c r="A130" s="5">
        <v>69</v>
      </c>
      <c r="B130" s="138">
        <f>'Assets-Liab 5-6'!E12</f>
        <v>0</v>
      </c>
      <c r="D130" s="2" t="str">
        <f t="shared" si="1"/>
        <v>Error?</v>
      </c>
    </row>
    <row r="131" spans="1:4" x14ac:dyDescent="0.2">
      <c r="A131" s="5">
        <v>70</v>
      </c>
      <c r="B131" s="138">
        <f>'Assets-Liab 5-6'!E13</f>
        <v>635539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635539</v>
      </c>
      <c r="D140" s="2" t="str">
        <f t="shared" si="1"/>
        <v>Error?</v>
      </c>
    </row>
    <row r="141" spans="1:4" x14ac:dyDescent="0.2">
      <c r="A141" s="5">
        <v>80</v>
      </c>
      <c r="B141" s="138">
        <f>'Assets-Liab 5-6'!E41</f>
        <v>635539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1168609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38</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38</v>
      </c>
      <c r="C169" s="2" t="s">
        <v>573</v>
      </c>
      <c r="D169" s="2" t="str">
        <f t="shared" si="1"/>
        <v>Error?</v>
      </c>
    </row>
    <row r="170" spans="1:4" x14ac:dyDescent="0.2">
      <c r="A170" s="5">
        <v>109</v>
      </c>
      <c r="B170" s="138">
        <f>'Assets-Liab 5-6'!F39</f>
        <v>1168571</v>
      </c>
      <c r="D170" s="2" t="str">
        <f t="shared" si="1"/>
        <v>Error?</v>
      </c>
    </row>
    <row r="171" spans="1:4" x14ac:dyDescent="0.2">
      <c r="A171" s="5">
        <v>110</v>
      </c>
      <c r="B171" s="138">
        <f>'Assets-Liab 5-6'!F41</f>
        <v>1168609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835578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508900</v>
      </c>
      <c r="D189" s="2" t="str">
        <f t="shared" si="1"/>
        <v>Error?</v>
      </c>
    </row>
    <row r="190" spans="1:4" x14ac:dyDescent="0.2">
      <c r="A190" s="5">
        <v>129</v>
      </c>
      <c r="B190" s="138">
        <f>'Assets-Liab 5-6'!G41</f>
        <v>835578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525117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525117</v>
      </c>
      <c r="D212" s="2" t="str">
        <f t="shared" si="2"/>
        <v>Error?</v>
      </c>
    </row>
    <row r="213" spans="1:4" x14ac:dyDescent="0.2">
      <c r="A213" s="12">
        <v>152</v>
      </c>
      <c r="B213" s="138">
        <f>'Assets-Liab 5-6'!H41</f>
        <v>525117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40021</v>
      </c>
      <c r="D273" s="2" t="str">
        <f t="shared" si="3"/>
        <v>Error?</v>
      </c>
    </row>
    <row r="274" spans="1:4" x14ac:dyDescent="0.2">
      <c r="A274" s="5">
        <v>213</v>
      </c>
      <c r="B274" s="138">
        <f>'Assets-Liab 5-6'!M17</f>
        <v>52946365</v>
      </c>
      <c r="D274" s="2" t="str">
        <f t="shared" si="3"/>
        <v>Error?</v>
      </c>
    </row>
    <row r="275" spans="1:4" x14ac:dyDescent="0.2">
      <c r="A275" s="5">
        <v>214</v>
      </c>
      <c r="B275" s="138">
        <f>'Assets-Liab 5-6'!M18</f>
        <v>345025</v>
      </c>
      <c r="D275" s="2" t="str">
        <f t="shared" si="3"/>
        <v>Error?</v>
      </c>
    </row>
    <row r="276" spans="1:4" x14ac:dyDescent="0.2">
      <c r="A276" s="5">
        <v>215</v>
      </c>
      <c r="B276" s="138">
        <f>'Assets-Liab 5-6'!M19</f>
        <v>9163155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62494566</v>
      </c>
      <c r="C279" s="2" t="s">
        <v>573</v>
      </c>
      <c r="D279" s="2" t="str">
        <f t="shared" si="3"/>
        <v>Error?</v>
      </c>
    </row>
    <row r="280" spans="1:4" x14ac:dyDescent="0.2">
      <c r="A280" s="5">
        <v>219</v>
      </c>
      <c r="B280" s="138">
        <f>'Assets-Liab 5-6'!M40</f>
        <v>62494566</v>
      </c>
      <c r="D280" s="2" t="str">
        <f t="shared" si="3"/>
        <v>Error?</v>
      </c>
    </row>
    <row r="281" spans="1:4" x14ac:dyDescent="0.2">
      <c r="A281" s="5">
        <v>220</v>
      </c>
      <c r="B281" s="138">
        <f>'Assets-Liab 5-6'!M41</f>
        <v>62494566</v>
      </c>
      <c r="C281" s="2" t="s">
        <v>573</v>
      </c>
      <c r="D281" s="2" t="str">
        <f t="shared" si="3"/>
        <v>Error?</v>
      </c>
    </row>
    <row r="282" spans="1:4" x14ac:dyDescent="0.2">
      <c r="A282" s="5">
        <v>221</v>
      </c>
      <c r="B282" s="138">
        <f>'Assets-Liab 5-6'!N21</f>
        <v>635539</v>
      </c>
      <c r="D282" s="2" t="str">
        <f t="shared" si="3"/>
        <v>Error?</v>
      </c>
    </row>
    <row r="283" spans="1:4" x14ac:dyDescent="0.2">
      <c r="A283" s="5">
        <v>222</v>
      </c>
      <c r="B283" s="138">
        <f>'Assets-Liab 5-6'!N22</f>
        <v>18764989</v>
      </c>
      <c r="D283" s="2" t="str">
        <f t="shared" si="3"/>
        <v>Error?</v>
      </c>
    </row>
    <row r="284" spans="1:4" x14ac:dyDescent="0.2">
      <c r="A284" s="5">
        <v>223</v>
      </c>
      <c r="B284" s="138">
        <f>'Assets-Liab 5-6'!N23</f>
        <v>19400528</v>
      </c>
      <c r="C284" s="2" t="s">
        <v>573</v>
      </c>
      <c r="D284" s="2" t="str">
        <f t="shared" si="3"/>
        <v>Error?</v>
      </c>
    </row>
    <row r="285" spans="1:4" x14ac:dyDescent="0.2">
      <c r="A285" s="5">
        <v>224</v>
      </c>
      <c r="B285" s="138">
        <f>'Assets-Liab 5-6'!N36</f>
        <v>19400528</v>
      </c>
      <c r="D285" s="2" t="str">
        <f t="shared" si="3"/>
        <v>Error?</v>
      </c>
    </row>
    <row r="286" spans="1:4" x14ac:dyDescent="0.2">
      <c r="A286" s="10">
        <v>225</v>
      </c>
      <c r="D286" s="2" t="str">
        <f t="shared" si="3"/>
        <v>OK</v>
      </c>
    </row>
    <row r="287" spans="1:4" x14ac:dyDescent="0.2">
      <c r="A287" s="5">
        <v>226</v>
      </c>
      <c r="B287" s="138">
        <f>'Assets-Liab 5-6'!N37</f>
        <v>19400528</v>
      </c>
      <c r="C287" s="2" t="s">
        <v>573</v>
      </c>
      <c r="D287" s="2" t="str">
        <f t="shared" si="3"/>
        <v>Error?</v>
      </c>
    </row>
    <row r="288" spans="1:4" x14ac:dyDescent="0.2">
      <c r="A288" s="5">
        <v>227</v>
      </c>
      <c r="B288" s="138">
        <f>'Assets-Liab 5-6'!N41</f>
        <v>19400528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50025</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6469356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501052</v>
      </c>
      <c r="D717" s="2" t="str">
        <f t="shared" si="10"/>
        <v>Error?</v>
      </c>
    </row>
    <row r="718" spans="1:4" x14ac:dyDescent="0.2">
      <c r="A718" s="5">
        <v>657</v>
      </c>
      <c r="B718" s="138">
        <f>'Expenditures 15-22'!C14</f>
        <v>233186</v>
      </c>
      <c r="D718" s="2" t="str">
        <f t="shared" si="10"/>
        <v>Error?</v>
      </c>
    </row>
    <row r="719" spans="1:4" x14ac:dyDescent="0.2">
      <c r="A719" s="5">
        <v>658</v>
      </c>
      <c r="B719" s="138">
        <f>'Expenditures 15-22'!C15</f>
        <v>6100</v>
      </c>
      <c r="D719" s="2" t="str">
        <f t="shared" si="10"/>
        <v>Error?</v>
      </c>
    </row>
    <row r="720" spans="1:4" x14ac:dyDescent="0.2">
      <c r="A720" s="5">
        <v>659</v>
      </c>
      <c r="B720" s="138">
        <f>'Expenditures 15-22'!C33</f>
        <v>9390135</v>
      </c>
      <c r="C720" s="2" t="s">
        <v>573</v>
      </c>
      <c r="D720" s="2" t="str">
        <f t="shared" si="10"/>
        <v>Error?</v>
      </c>
    </row>
    <row r="721" spans="1:4" x14ac:dyDescent="0.2">
      <c r="A721" s="5">
        <v>660</v>
      </c>
      <c r="B721" s="138">
        <f>'Expenditures 15-22'!C36</f>
        <v>302669</v>
      </c>
      <c r="D721" s="2" t="str">
        <f t="shared" si="10"/>
        <v>Error?</v>
      </c>
    </row>
    <row r="722" spans="1:4" x14ac:dyDescent="0.2">
      <c r="A722" s="5">
        <v>661</v>
      </c>
      <c r="B722" s="138">
        <f>'Expenditures 15-22'!C37</f>
        <v>148007</v>
      </c>
      <c r="D722" s="2" t="str">
        <f t="shared" si="10"/>
        <v>Error?</v>
      </c>
    </row>
    <row r="723" spans="1:4" x14ac:dyDescent="0.2">
      <c r="A723" s="5">
        <v>662</v>
      </c>
      <c r="B723" s="138">
        <f>'Expenditures 15-22'!C38</f>
        <v>136934</v>
      </c>
      <c r="D723" s="2" t="str">
        <f t="shared" si="10"/>
        <v>Error?</v>
      </c>
    </row>
    <row r="724" spans="1:4" x14ac:dyDescent="0.2">
      <c r="A724" s="5">
        <v>663</v>
      </c>
      <c r="B724" s="138">
        <f>'Expenditures 15-22'!C39</f>
        <v>81341</v>
      </c>
      <c r="D724" s="2" t="str">
        <f t="shared" si="10"/>
        <v>Error?</v>
      </c>
    </row>
    <row r="725" spans="1:4" x14ac:dyDescent="0.2">
      <c r="A725" s="5">
        <v>664</v>
      </c>
      <c r="B725" s="138">
        <f>'Expenditures 15-22'!C40</f>
        <v>238094</v>
      </c>
      <c r="D725" s="2" t="str">
        <f t="shared" si="10"/>
        <v>Error?</v>
      </c>
    </row>
    <row r="726" spans="1:4" x14ac:dyDescent="0.2">
      <c r="A726" s="5">
        <v>665</v>
      </c>
      <c r="B726" s="138">
        <f>'Expenditures 15-22'!C41</f>
        <v>105915</v>
      </c>
      <c r="D726" s="2" t="str">
        <f t="shared" si="10"/>
        <v>Error?</v>
      </c>
    </row>
    <row r="727" spans="1:4" x14ac:dyDescent="0.2">
      <c r="A727" s="5">
        <v>666</v>
      </c>
      <c r="B727" s="138">
        <f>'Expenditures 15-22'!C42</f>
        <v>1012960</v>
      </c>
      <c r="C727" s="2" t="s">
        <v>573</v>
      </c>
      <c r="D727" s="2" t="str">
        <f t="shared" si="10"/>
        <v>Error?</v>
      </c>
    </row>
    <row r="728" spans="1:4" x14ac:dyDescent="0.2">
      <c r="A728" s="5">
        <v>667</v>
      </c>
      <c r="B728" s="138">
        <f>'Expenditures 15-22'!C44</f>
        <v>231320</v>
      </c>
      <c r="D728" s="2" t="str">
        <f t="shared" si="10"/>
        <v>Error?</v>
      </c>
    </row>
    <row r="729" spans="1:4" x14ac:dyDescent="0.2">
      <c r="A729" s="5">
        <v>668</v>
      </c>
      <c r="B729" s="138">
        <f>'Expenditures 15-22'!C45</f>
        <v>181675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412995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208254</v>
      </c>
      <c r="D733" s="2" t="str">
        <f t="shared" si="10"/>
        <v>Error?</v>
      </c>
    </row>
    <row r="734" spans="1:4" x14ac:dyDescent="0.2">
      <c r="A734" s="5">
        <v>673</v>
      </c>
      <c r="B734" s="138">
        <f>'Expenditures 15-22'!C53</f>
        <v>346191</v>
      </c>
      <c r="C734" s="2" t="s">
        <v>573</v>
      </c>
      <c r="D734" s="2" t="str">
        <f t="shared" si="10"/>
        <v>Error?</v>
      </c>
    </row>
    <row r="735" spans="1:4" x14ac:dyDescent="0.2">
      <c r="A735" s="5">
        <v>674</v>
      </c>
      <c r="B735" s="138">
        <f>'Expenditures 15-22'!C55</f>
        <v>815401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815401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245939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502715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748654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270311</v>
      </c>
      <c r="D751" s="2" t="str">
        <f t="shared" si="10"/>
        <v>Error?</v>
      </c>
    </row>
    <row r="752" spans="1:4" x14ac:dyDescent="0.2">
      <c r="A752" s="10">
        <v>691</v>
      </c>
      <c r="D752" s="2" t="str">
        <f t="shared" si="10"/>
        <v>OK</v>
      </c>
    </row>
    <row r="753" spans="1:4" x14ac:dyDescent="0.2">
      <c r="A753" s="5">
        <v>692</v>
      </c>
      <c r="B753" s="138">
        <f>'Expenditures 15-22'!C72</f>
        <v>270311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3606512</v>
      </c>
      <c r="C755" s="2" t="s">
        <v>573</v>
      </c>
      <c r="D755" s="2" t="str">
        <f t="shared" si="10"/>
        <v>Error?</v>
      </c>
    </row>
    <row r="756" spans="1:4" x14ac:dyDescent="0.2">
      <c r="A756" s="5">
        <v>695</v>
      </c>
      <c r="B756" s="138">
        <f>'Expenditures 15-22'!C75</f>
        <v>28103</v>
      </c>
      <c r="D756" s="2" t="str">
        <f t="shared" si="10"/>
        <v>Error?</v>
      </c>
    </row>
    <row r="757" spans="1:4" x14ac:dyDescent="0.2">
      <c r="A757" s="5">
        <v>696</v>
      </c>
      <c r="B757" s="138">
        <f>'Expenditures 15-22'!C114</f>
        <v>13024750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1369515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126772</v>
      </c>
      <c r="D775" s="2" t="str">
        <f t="shared" si="11"/>
        <v>Error?</v>
      </c>
    </row>
    <row r="776" spans="1:4" x14ac:dyDescent="0.2">
      <c r="A776" s="5">
        <v>715</v>
      </c>
      <c r="B776" s="138">
        <f>'Expenditures 15-22'!D14</f>
        <v>19487</v>
      </c>
      <c r="D776" s="2" t="str">
        <f t="shared" si="11"/>
        <v>Error?</v>
      </c>
    </row>
    <row r="777" spans="1:4" x14ac:dyDescent="0.2">
      <c r="A777" s="5">
        <v>716</v>
      </c>
      <c r="B777" s="138">
        <f>'Expenditures 15-22'!D15</f>
        <v>704</v>
      </c>
      <c r="D777" s="2" t="str">
        <f t="shared" si="11"/>
        <v>Error?</v>
      </c>
    </row>
    <row r="778" spans="1:4" x14ac:dyDescent="0.2">
      <c r="A778" s="5">
        <v>717</v>
      </c>
      <c r="B778" s="138">
        <f>'Expenditures 15-22'!D33</f>
        <v>1929476</v>
      </c>
      <c r="C778" s="2" t="s">
        <v>573</v>
      </c>
      <c r="D778" s="2" t="str">
        <f t="shared" si="11"/>
        <v>Error?</v>
      </c>
    </row>
    <row r="779" spans="1:4" x14ac:dyDescent="0.2">
      <c r="A779" s="5">
        <v>718</v>
      </c>
      <c r="B779" s="138">
        <f>'Expenditures 15-22'!D36</f>
        <v>53711</v>
      </c>
      <c r="D779" s="2" t="str">
        <f t="shared" si="11"/>
        <v>Error?</v>
      </c>
    </row>
    <row r="780" spans="1:4" x14ac:dyDescent="0.2">
      <c r="A780" s="5">
        <v>719</v>
      </c>
      <c r="B780" s="138">
        <f>'Expenditures 15-22'!D37</f>
        <v>34271</v>
      </c>
      <c r="D780" s="2" t="str">
        <f t="shared" si="11"/>
        <v>Error?</v>
      </c>
    </row>
    <row r="781" spans="1:4" x14ac:dyDescent="0.2">
      <c r="A781" s="5">
        <v>720</v>
      </c>
      <c r="B781" s="138">
        <f>'Expenditures 15-22'!D38</f>
        <v>31674</v>
      </c>
      <c r="D781" s="2" t="str">
        <f t="shared" si="11"/>
        <v>Error?</v>
      </c>
    </row>
    <row r="782" spans="1:4" x14ac:dyDescent="0.2">
      <c r="A782" s="5">
        <v>721</v>
      </c>
      <c r="B782" s="138">
        <f>'Expenditures 15-22'!D39</f>
        <v>17233</v>
      </c>
      <c r="D782" s="2" t="str">
        <f t="shared" si="11"/>
        <v>Error?</v>
      </c>
    </row>
    <row r="783" spans="1:4" x14ac:dyDescent="0.2">
      <c r="A783" s="5">
        <v>722</v>
      </c>
      <c r="B783" s="138">
        <f>'Expenditures 15-22'!D40</f>
        <v>49253</v>
      </c>
      <c r="D783" s="2" t="str">
        <f t="shared" si="11"/>
        <v>Error?</v>
      </c>
    </row>
    <row r="784" spans="1:4" x14ac:dyDescent="0.2">
      <c r="A784" s="5">
        <v>723</v>
      </c>
      <c r="B784" s="138">
        <f>'Expenditures 15-22'!D41</f>
        <v>12100</v>
      </c>
      <c r="D784" s="2" t="str">
        <f t="shared" si="11"/>
        <v>Error?</v>
      </c>
    </row>
    <row r="785" spans="1:4" x14ac:dyDescent="0.2">
      <c r="A785" s="5">
        <v>724</v>
      </c>
      <c r="B785" s="138">
        <f>'Expenditures 15-22'!D42</f>
        <v>198242</v>
      </c>
      <c r="C785" s="2" t="s">
        <v>573</v>
      </c>
      <c r="D785" s="2" t="str">
        <f t="shared" si="11"/>
        <v>Error?</v>
      </c>
    </row>
    <row r="786" spans="1:4" x14ac:dyDescent="0.2">
      <c r="A786" s="5">
        <v>725</v>
      </c>
      <c r="B786" s="138">
        <f>'Expenditures 15-22'!D44</f>
        <v>43204</v>
      </c>
      <c r="D786" s="2" t="str">
        <f t="shared" si="11"/>
        <v>Error?</v>
      </c>
    </row>
    <row r="787" spans="1:4" x14ac:dyDescent="0.2">
      <c r="A787" s="5">
        <v>726</v>
      </c>
      <c r="B787" s="138">
        <f>'Expenditures 15-22'!D45</f>
        <v>27546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70750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40612</v>
      </c>
      <c r="D791" s="2" t="str">
        <f t="shared" si="11"/>
        <v>Error?</v>
      </c>
    </row>
    <row r="792" spans="1:4" x14ac:dyDescent="0.2">
      <c r="A792" s="5">
        <v>731</v>
      </c>
      <c r="B792" s="138">
        <f>'Expenditures 15-22'!D53</f>
        <v>65303</v>
      </c>
      <c r="C792" s="2" t="s">
        <v>573</v>
      </c>
      <c r="D792" s="2" t="str">
        <f t="shared" si="11"/>
        <v>Error?</v>
      </c>
    </row>
    <row r="793" spans="1:4" x14ac:dyDescent="0.2">
      <c r="A793" s="5">
        <v>732</v>
      </c>
      <c r="B793" s="138">
        <f>'Expenditures 15-22'!D55</f>
        <v>151682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151682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41066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29091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70157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29010</v>
      </c>
      <c r="D809" s="2" t="str">
        <f t="shared" si="11"/>
        <v>Error?</v>
      </c>
    </row>
    <row r="810" spans="1:4" x14ac:dyDescent="0.2">
      <c r="A810" s="10">
        <v>749</v>
      </c>
      <c r="D810" s="2" t="str">
        <f t="shared" si="11"/>
        <v>OK</v>
      </c>
    </row>
    <row r="811" spans="1:4" x14ac:dyDescent="0.2">
      <c r="A811" s="5">
        <v>750</v>
      </c>
      <c r="B811" s="138">
        <f>'Expenditures 15-22'!D72</f>
        <v>29010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585144</v>
      </c>
      <c r="C813" s="2" t="s">
        <v>573</v>
      </c>
      <c r="D813" s="2" t="str">
        <f t="shared" si="11"/>
        <v>Error?</v>
      </c>
    </row>
    <row r="814" spans="1:4" x14ac:dyDescent="0.2">
      <c r="A814" s="5">
        <v>753</v>
      </c>
      <c r="B814" s="138">
        <f>'Expenditures 15-22'!D75</f>
        <v>1599</v>
      </c>
      <c r="D814" s="2" t="str">
        <f t="shared" si="11"/>
        <v>Error?</v>
      </c>
    </row>
    <row r="815" spans="1:4" x14ac:dyDescent="0.2">
      <c r="A815" s="5">
        <v>754</v>
      </c>
      <c r="B815" s="138">
        <f>'Expenditures 15-22'!D114</f>
        <v>2516219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22338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1056</v>
      </c>
      <c r="D833" s="2" t="str">
        <f t="shared" si="12"/>
        <v>Error?</v>
      </c>
    </row>
    <row r="834" spans="1:4" x14ac:dyDescent="0.2">
      <c r="A834" s="5">
        <v>773</v>
      </c>
      <c r="B834" s="138">
        <f>'Expenditures 15-22'!E14</f>
        <v>66979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198858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1073</v>
      </c>
      <c r="D838" s="2" t="str">
        <f t="shared" si="12"/>
        <v>Error?</v>
      </c>
    </row>
    <row r="839" spans="1:4" x14ac:dyDescent="0.2">
      <c r="A839" s="5">
        <v>778</v>
      </c>
      <c r="B839" s="138">
        <f>'Expenditures 15-22'!E38</f>
        <v>145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1170</v>
      </c>
      <c r="D842" s="2" t="str">
        <f t="shared" si="12"/>
        <v>Error?</v>
      </c>
    </row>
    <row r="843" spans="1:4" x14ac:dyDescent="0.2">
      <c r="A843" s="5">
        <v>782</v>
      </c>
      <c r="B843" s="138">
        <f>'Expenditures 15-22'!E42</f>
        <v>2388</v>
      </c>
      <c r="C843" s="2" t="s">
        <v>573</v>
      </c>
      <c r="D843" s="2" t="str">
        <f t="shared" si="12"/>
        <v>Error?</v>
      </c>
    </row>
    <row r="844" spans="1:4" x14ac:dyDescent="0.2">
      <c r="A844" s="5">
        <v>783</v>
      </c>
      <c r="B844" s="138">
        <f>'Expenditures 15-22'!E44</f>
        <v>142843</v>
      </c>
      <c r="D844" s="2" t="str">
        <f t="shared" si="12"/>
        <v>Error?</v>
      </c>
    </row>
    <row r="845" spans="1:4" x14ac:dyDescent="0.2">
      <c r="A845" s="5">
        <v>784</v>
      </c>
      <c r="B845" s="138">
        <f>'Expenditures 15-22'!E45</f>
        <v>259</v>
      </c>
      <c r="D845" s="2" t="str">
        <f t="shared" si="12"/>
        <v>Error?</v>
      </c>
    </row>
    <row r="846" spans="1:4" x14ac:dyDescent="0.2">
      <c r="A846" s="5">
        <v>785</v>
      </c>
      <c r="B846" s="138">
        <f>'Expenditures 15-22'!E46</f>
        <v>26367</v>
      </c>
      <c r="D846" s="2" t="str">
        <f t="shared" si="12"/>
        <v>Error?</v>
      </c>
    </row>
    <row r="847" spans="1:4" x14ac:dyDescent="0.2">
      <c r="A847" s="5">
        <v>786</v>
      </c>
      <c r="B847" s="138">
        <f>'Expenditures 15-22'!E47</f>
        <v>169469</v>
      </c>
      <c r="C847" s="2" t="s">
        <v>573</v>
      </c>
      <c r="D847" s="2" t="str">
        <f t="shared" si="12"/>
        <v>Error?</v>
      </c>
    </row>
    <row r="848" spans="1:4" x14ac:dyDescent="0.2">
      <c r="A848" s="5">
        <v>787</v>
      </c>
      <c r="B848" s="138">
        <f>'Expenditures 15-22'!E49</f>
        <v>28380</v>
      </c>
      <c r="D848" s="2" t="str">
        <f t="shared" si="12"/>
        <v>Error?</v>
      </c>
    </row>
    <row r="849" spans="1:4" x14ac:dyDescent="0.2">
      <c r="A849" s="5">
        <v>788</v>
      </c>
      <c r="B849" s="138">
        <f>'Expenditures 15-22'!E50</f>
        <v>61918</v>
      </c>
      <c r="D849" s="2" t="str">
        <f t="shared" si="12"/>
        <v>Error?</v>
      </c>
    </row>
    <row r="850" spans="1:4" x14ac:dyDescent="0.2">
      <c r="A850" s="5">
        <v>789</v>
      </c>
      <c r="B850" s="138">
        <f>'Expenditures 15-22'!E53</f>
        <v>91245</v>
      </c>
      <c r="C850" s="2" t="s">
        <v>573</v>
      </c>
      <c r="D850" s="2" t="str">
        <f t="shared" si="12"/>
        <v>Error?</v>
      </c>
    </row>
    <row r="851" spans="1:4" x14ac:dyDescent="0.2">
      <c r="A851" s="5">
        <v>790</v>
      </c>
      <c r="B851" s="138">
        <f>'Expenditures 15-22'!E55</f>
        <v>26529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26529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18622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11341</v>
      </c>
      <c r="D857" s="2" t="str">
        <f t="shared" si="12"/>
        <v>Error?</v>
      </c>
    </row>
    <row r="858" spans="1:4" x14ac:dyDescent="0.2">
      <c r="A858" s="5">
        <v>797</v>
      </c>
      <c r="B858" s="138">
        <f>'Expenditures 15-22'!E63</f>
        <v>5749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35712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39689</v>
      </c>
      <c r="D867" s="2" t="str">
        <f t="shared" si="12"/>
        <v>Error?</v>
      </c>
    </row>
    <row r="868" spans="1:4" x14ac:dyDescent="0.2">
      <c r="A868" s="10">
        <v>807</v>
      </c>
      <c r="D868" s="2" t="str">
        <f t="shared" si="12"/>
        <v>OK</v>
      </c>
    </row>
    <row r="869" spans="1:4" x14ac:dyDescent="0.2">
      <c r="A869" s="5">
        <v>808</v>
      </c>
      <c r="B869" s="138">
        <f>'Expenditures 15-22'!E72</f>
        <v>39689</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365032</v>
      </c>
      <c r="C871" s="2" t="s">
        <v>573</v>
      </c>
      <c r="D871" s="2" t="str">
        <f t="shared" si="12"/>
        <v>Error?</v>
      </c>
    </row>
    <row r="872" spans="1:4" x14ac:dyDescent="0.2">
      <c r="A872" s="5">
        <v>811</v>
      </c>
      <c r="B872" s="138">
        <f>'Expenditures 15-22'!E75</f>
        <v>452</v>
      </c>
      <c r="D872" s="2" t="str">
        <f t="shared" si="12"/>
        <v>Error?</v>
      </c>
    </row>
    <row r="873" spans="1:4" x14ac:dyDescent="0.2">
      <c r="A873" s="5">
        <v>812</v>
      </c>
      <c r="B873" s="138">
        <f>'Expenditures 15-22'!E114</f>
        <v>564342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290146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42166</v>
      </c>
      <c r="D891" s="2" t="str">
        <f t="shared" si="12"/>
        <v>Error?</v>
      </c>
    </row>
    <row r="892" spans="1:4" x14ac:dyDescent="0.2">
      <c r="A892" s="5">
        <v>831</v>
      </c>
      <c r="B892" s="138">
        <f>'Expenditures 15-22'!F14</f>
        <v>30044</v>
      </c>
      <c r="D892" s="2" t="str">
        <f t="shared" si="12"/>
        <v>Error?</v>
      </c>
    </row>
    <row r="893" spans="1:4" x14ac:dyDescent="0.2">
      <c r="A893" s="5">
        <v>832</v>
      </c>
      <c r="B893" s="138">
        <f>'Expenditures 15-22'!F15</f>
        <v>53</v>
      </c>
      <c r="D893" s="2" t="str">
        <f t="shared" si="12"/>
        <v>Error?</v>
      </c>
    </row>
    <row r="894" spans="1:4" x14ac:dyDescent="0.2">
      <c r="A894" s="5">
        <v>833</v>
      </c>
      <c r="B894" s="138">
        <f>'Expenditures 15-22'!F33</f>
        <v>425098</v>
      </c>
      <c r="C894" s="2" t="s">
        <v>573</v>
      </c>
      <c r="D894" s="2" t="str">
        <f t="shared" si="12"/>
        <v>Error?</v>
      </c>
    </row>
    <row r="895" spans="1:4" x14ac:dyDescent="0.2">
      <c r="A895" s="5">
        <v>834</v>
      </c>
      <c r="B895" s="138">
        <f>'Expenditures 15-22'!F36</f>
        <v>340</v>
      </c>
      <c r="D895" s="2" t="str">
        <f t="shared" ref="D895:D958" si="13">IF(ISBLANK(B895),"OK",IF(A895-B895=0,"OK","Error?"))</f>
        <v>Error?</v>
      </c>
    </row>
    <row r="896" spans="1:4" x14ac:dyDescent="0.2">
      <c r="A896" s="5">
        <v>835</v>
      </c>
      <c r="B896" s="138">
        <f>'Expenditures 15-22'!F37</f>
        <v>982</v>
      </c>
      <c r="D896" s="2" t="str">
        <f t="shared" si="13"/>
        <v>Error?</v>
      </c>
    </row>
    <row r="897" spans="1:4" x14ac:dyDescent="0.2">
      <c r="A897" s="5">
        <v>836</v>
      </c>
      <c r="B897" s="138">
        <f>'Expenditures 15-22'!F38</f>
        <v>2797</v>
      </c>
      <c r="D897" s="2" t="str">
        <f t="shared" si="13"/>
        <v>Error?</v>
      </c>
    </row>
    <row r="898" spans="1:4" x14ac:dyDescent="0.2">
      <c r="A898" s="5">
        <v>837</v>
      </c>
      <c r="B898" s="138">
        <f>'Expenditures 15-22'!F39</f>
        <v>225</v>
      </c>
      <c r="D898" s="2" t="str">
        <f t="shared" si="13"/>
        <v>Error?</v>
      </c>
    </row>
    <row r="899" spans="1:4" x14ac:dyDescent="0.2">
      <c r="A899" s="5">
        <v>838</v>
      </c>
      <c r="B899" s="138">
        <f>'Expenditures 15-22'!F40</f>
        <v>1485</v>
      </c>
      <c r="D899" s="2" t="str">
        <f t="shared" si="13"/>
        <v>Error?</v>
      </c>
    </row>
    <row r="900" spans="1:4" x14ac:dyDescent="0.2">
      <c r="A900" s="5">
        <v>839</v>
      </c>
      <c r="B900" s="138">
        <f>'Expenditures 15-22'!F41</f>
        <v>89</v>
      </c>
      <c r="D900" s="2" t="str">
        <f t="shared" si="13"/>
        <v>Error?</v>
      </c>
    </row>
    <row r="901" spans="1:4" x14ac:dyDescent="0.2">
      <c r="A901" s="5">
        <v>840</v>
      </c>
      <c r="B901" s="138">
        <f>'Expenditures 15-22'!F42</f>
        <v>5918</v>
      </c>
      <c r="C901" s="2" t="s">
        <v>573</v>
      </c>
      <c r="D901" s="2" t="str">
        <f t="shared" si="13"/>
        <v>Error?</v>
      </c>
    </row>
    <row r="902" spans="1:4" x14ac:dyDescent="0.2">
      <c r="A902" s="5">
        <v>841</v>
      </c>
      <c r="B902" s="138">
        <f>'Expenditures 15-22'!F44</f>
        <v>20262</v>
      </c>
      <c r="D902" s="2" t="str">
        <f t="shared" si="13"/>
        <v>Error?</v>
      </c>
    </row>
    <row r="903" spans="1:4" x14ac:dyDescent="0.2">
      <c r="A903" s="5">
        <v>842</v>
      </c>
      <c r="B903" s="138">
        <f>'Expenditures 15-22'!F45</f>
        <v>8092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28354</v>
      </c>
      <c r="C905" s="2" t="s">
        <v>573</v>
      </c>
      <c r="D905" s="2" t="str">
        <f t="shared" si="13"/>
        <v>Error?</v>
      </c>
    </row>
    <row r="906" spans="1:4" x14ac:dyDescent="0.2">
      <c r="A906" s="5">
        <v>845</v>
      </c>
      <c r="B906" s="138">
        <f>'Expenditures 15-22'!F49</f>
        <v>17</v>
      </c>
      <c r="D906" s="2" t="str">
        <f t="shared" si="13"/>
        <v>Error?</v>
      </c>
    </row>
    <row r="907" spans="1:4" x14ac:dyDescent="0.2">
      <c r="A907" s="5">
        <v>846</v>
      </c>
      <c r="B907" s="138">
        <f>'Expenditures 15-22'!F50</f>
        <v>61496</v>
      </c>
      <c r="D907" s="2" t="str">
        <f t="shared" si="13"/>
        <v>Error?</v>
      </c>
    </row>
    <row r="908" spans="1:4" x14ac:dyDescent="0.2">
      <c r="A908" s="5">
        <v>847</v>
      </c>
      <c r="B908" s="138">
        <f>'Expenditures 15-22'!F53</f>
        <v>62878</v>
      </c>
      <c r="C908" s="2" t="s">
        <v>573</v>
      </c>
      <c r="D908" s="2" t="str">
        <f t="shared" si="13"/>
        <v>Error?</v>
      </c>
    </row>
    <row r="909" spans="1:4" x14ac:dyDescent="0.2">
      <c r="A909" s="5">
        <v>848</v>
      </c>
      <c r="B909" s="138">
        <f>'Expenditures 15-22'!F55</f>
        <v>3623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3623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2608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422056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424664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69751</v>
      </c>
      <c r="D925" s="2" t="str">
        <f t="shared" si="13"/>
        <v>Error?</v>
      </c>
    </row>
    <row r="926" spans="1:4" x14ac:dyDescent="0.2">
      <c r="A926" s="10">
        <v>865</v>
      </c>
      <c r="D926" s="2" t="str">
        <f t="shared" si="13"/>
        <v>OK</v>
      </c>
    </row>
    <row r="927" spans="1:4" x14ac:dyDescent="0.2">
      <c r="A927" s="5">
        <v>866</v>
      </c>
      <c r="B927" s="138">
        <f>'Expenditures 15-22'!F72</f>
        <v>69751</v>
      </c>
      <c r="C927" s="2" t="s">
        <v>573</v>
      </c>
      <c r="D927" s="2" t="str">
        <f t="shared" si="13"/>
        <v>Error?</v>
      </c>
    </row>
    <row r="928" spans="1:4" x14ac:dyDescent="0.2">
      <c r="A928" s="5">
        <v>867</v>
      </c>
      <c r="B928" s="138">
        <f>'Expenditures 15-22'!F73</f>
        <v>238</v>
      </c>
      <c r="D928" s="2" t="str">
        <f t="shared" si="13"/>
        <v>Error?</v>
      </c>
    </row>
    <row r="929" spans="1:4" x14ac:dyDescent="0.2">
      <c r="A929" s="5">
        <v>868</v>
      </c>
      <c r="B929" s="138">
        <f>'Expenditures 15-22'!F74</f>
        <v>595426</v>
      </c>
      <c r="C929" s="2" t="s">
        <v>573</v>
      </c>
      <c r="D929" s="2" t="str">
        <f t="shared" si="13"/>
        <v>Error?</v>
      </c>
    </row>
    <row r="930" spans="1:4" x14ac:dyDescent="0.2">
      <c r="A930" s="5">
        <v>869</v>
      </c>
      <c r="B930" s="138">
        <f>'Expenditures 15-22'!F75</f>
        <v>2126</v>
      </c>
      <c r="D930" s="2" t="str">
        <f t="shared" si="13"/>
        <v>Error?</v>
      </c>
    </row>
    <row r="931" spans="1:4" x14ac:dyDescent="0.2">
      <c r="A931" s="5">
        <v>870</v>
      </c>
      <c r="B931" s="138">
        <f>'Expenditures 15-22'!F114</f>
        <v>1022650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25827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45935</v>
      </c>
      <c r="D949" s="2" t="str">
        <f t="shared" si="13"/>
        <v>Error?</v>
      </c>
    </row>
    <row r="950" spans="1:4" x14ac:dyDescent="0.2">
      <c r="A950" s="5">
        <v>889</v>
      </c>
      <c r="B950" s="138">
        <f>'Expenditures 15-22'!G14</f>
        <v>680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88685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31562</v>
      </c>
      <c r="D965" s="2" t="str">
        <f t="shared" si="14"/>
        <v>Error?</v>
      </c>
    </row>
    <row r="966" spans="1:4" x14ac:dyDescent="0.2">
      <c r="A966" s="5">
        <v>905</v>
      </c>
      <c r="B966" s="138">
        <f>'Expenditures 15-22'!G53</f>
        <v>31562</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27975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27975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80349</v>
      </c>
      <c r="D983" s="2" t="str">
        <f t="shared" si="14"/>
        <v>Error?</v>
      </c>
    </row>
    <row r="984" spans="1:4" x14ac:dyDescent="0.2">
      <c r="A984" s="10">
        <v>923</v>
      </c>
      <c r="D984" s="2" t="str">
        <f t="shared" si="14"/>
        <v>OK</v>
      </c>
    </row>
    <row r="985" spans="1:4" x14ac:dyDescent="0.2">
      <c r="A985" s="5">
        <v>924</v>
      </c>
      <c r="B985" s="138">
        <f>'Expenditures 15-22'!G72</f>
        <v>80349</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139886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228571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11331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349045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675</v>
      </c>
      <c r="D1015" s="2" t="str">
        <f t="shared" si="14"/>
        <v>Error?</v>
      </c>
    </row>
    <row r="1016" spans="1:4" x14ac:dyDescent="0.2">
      <c r="A1016" s="5">
        <v>955</v>
      </c>
      <c r="B1016" s="138">
        <f>'Expenditures 15-22'!H41</f>
        <v>2195</v>
      </c>
      <c r="D1016" s="2" t="str">
        <f t="shared" si="14"/>
        <v>Error?</v>
      </c>
    </row>
    <row r="1017" spans="1:4" x14ac:dyDescent="0.2">
      <c r="A1017" s="5">
        <v>956</v>
      </c>
      <c r="B1017" s="138">
        <f>'Expenditures 15-22'!H42</f>
        <v>2870</v>
      </c>
      <c r="C1017" s="2" t="s">
        <v>573</v>
      </c>
      <c r="D1017" s="2" t="str">
        <f t="shared" si="14"/>
        <v>Error?</v>
      </c>
    </row>
    <row r="1018" spans="1:4" x14ac:dyDescent="0.2">
      <c r="A1018" s="5">
        <v>957</v>
      </c>
      <c r="B1018" s="138">
        <f>'Expenditures 15-22'!H44</f>
        <v>2126</v>
      </c>
      <c r="D1018" s="2" t="str">
        <f t="shared" si="14"/>
        <v>Error?</v>
      </c>
    </row>
    <row r="1019" spans="1:4" x14ac:dyDescent="0.2">
      <c r="A1019" s="5">
        <v>958</v>
      </c>
      <c r="B1019" s="138">
        <f>'Expenditures 15-22'!H45</f>
        <v>13200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15326</v>
      </c>
      <c r="C1021" s="2" t="s">
        <v>573</v>
      </c>
      <c r="D1021" s="2" t="str">
        <f t="shared" si="14"/>
        <v>Error?</v>
      </c>
    </row>
    <row r="1022" spans="1:4" x14ac:dyDescent="0.2">
      <c r="A1022" s="5">
        <v>961</v>
      </c>
      <c r="B1022" s="138">
        <f>'Expenditures 15-22'!H49</f>
        <v>6347</v>
      </c>
      <c r="D1022" s="2" t="str">
        <f t="shared" si="14"/>
        <v>Error?</v>
      </c>
    </row>
    <row r="1023" spans="1:4" x14ac:dyDescent="0.2">
      <c r="A1023" s="5">
        <v>962</v>
      </c>
      <c r="B1023" s="138">
        <f>'Expenditures 15-22'!H50</f>
        <v>4420</v>
      </c>
      <c r="D1023" s="2" t="str">
        <f t="shared" ref="D1023:D1086" si="15">IF(ISBLANK(B1023),"OK",IF(A1023-B1023=0,"OK","Error?"))</f>
        <v>Error?</v>
      </c>
    </row>
    <row r="1024" spans="1:4" x14ac:dyDescent="0.2">
      <c r="A1024" s="5">
        <v>963</v>
      </c>
      <c r="B1024" s="138">
        <f>'Expenditures 15-22'!H53</f>
        <v>10767</v>
      </c>
      <c r="C1024" s="2" t="s">
        <v>573</v>
      </c>
      <c r="D1024" s="2" t="str">
        <f t="shared" si="15"/>
        <v>Error?</v>
      </c>
    </row>
    <row r="1025" spans="1:4" x14ac:dyDescent="0.2">
      <c r="A1025" s="5">
        <v>964</v>
      </c>
      <c r="B1025" s="138">
        <f>'Expenditures 15-22'!H55</f>
        <v>2530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2530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1489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148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1637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33130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18777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400952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8177741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716981</v>
      </c>
      <c r="C1105" s="2" t="s">
        <v>573</v>
      </c>
      <c r="D1105" s="2" t="str">
        <f t="shared" si="16"/>
        <v>Error?</v>
      </c>
    </row>
    <row r="1106" spans="1:4" x14ac:dyDescent="0.2">
      <c r="A1106" s="5">
        <v>1045</v>
      </c>
      <c r="B1106" s="138">
        <f>'Expenditures 15-22'!K14</f>
        <v>361707</v>
      </c>
      <c r="C1106" s="2" t="s">
        <v>573</v>
      </c>
      <c r="D1106" s="2" t="str">
        <f t="shared" si="16"/>
        <v>Error?</v>
      </c>
    </row>
    <row r="1107" spans="1:4" x14ac:dyDescent="0.2">
      <c r="A1107" s="5">
        <v>1046</v>
      </c>
      <c r="B1107" s="138">
        <f>'Expenditures 15-22'!K15</f>
        <v>6857</v>
      </c>
      <c r="C1107" s="2" t="s">
        <v>573</v>
      </c>
      <c r="D1107" s="2" t="str">
        <f t="shared" si="16"/>
        <v>Error?</v>
      </c>
    </row>
    <row r="1108" spans="1:4" x14ac:dyDescent="0.2">
      <c r="A1108" s="5">
        <v>1047</v>
      </c>
      <c r="B1108" s="138">
        <f>'Expenditures 15-22'!K33</f>
        <v>12382144</v>
      </c>
      <c r="C1108" s="2" t="s">
        <v>573</v>
      </c>
      <c r="D1108" s="2" t="str">
        <f t="shared" si="16"/>
        <v>Error?</v>
      </c>
    </row>
    <row r="1109" spans="1:4" x14ac:dyDescent="0.2">
      <c r="A1109" s="5">
        <v>1048</v>
      </c>
      <c r="B1109" s="138">
        <f>'Expenditures 15-22'!K36</f>
        <v>356720</v>
      </c>
      <c r="C1109" s="2" t="s">
        <v>573</v>
      </c>
      <c r="D1109" s="2" t="str">
        <f t="shared" si="16"/>
        <v>Error?</v>
      </c>
    </row>
    <row r="1110" spans="1:4" x14ac:dyDescent="0.2">
      <c r="A1110" s="5">
        <v>1049</v>
      </c>
      <c r="B1110" s="138">
        <f>'Expenditures 15-22'!K37</f>
        <v>184333</v>
      </c>
      <c r="C1110" s="2" t="s">
        <v>573</v>
      </c>
      <c r="D1110" s="2" t="str">
        <f t="shared" si="16"/>
        <v>Error?</v>
      </c>
    </row>
    <row r="1111" spans="1:4" x14ac:dyDescent="0.2">
      <c r="A1111" s="5">
        <v>1050</v>
      </c>
      <c r="B1111" s="138">
        <f>'Expenditures 15-22'!K38</f>
        <v>171550</v>
      </c>
      <c r="C1111" s="2" t="s">
        <v>573</v>
      </c>
      <c r="D1111" s="2" t="str">
        <f t="shared" si="16"/>
        <v>Error?</v>
      </c>
    </row>
    <row r="1112" spans="1:4" x14ac:dyDescent="0.2">
      <c r="A1112" s="5">
        <v>1051</v>
      </c>
      <c r="B1112" s="138">
        <f>'Expenditures 15-22'!K39</f>
        <v>98799</v>
      </c>
      <c r="C1112" s="2" t="s">
        <v>573</v>
      </c>
      <c r="D1112" s="2" t="str">
        <f t="shared" si="16"/>
        <v>Error?</v>
      </c>
    </row>
    <row r="1113" spans="1:4" x14ac:dyDescent="0.2">
      <c r="A1113" s="5">
        <v>1052</v>
      </c>
      <c r="B1113" s="138">
        <f>'Expenditures 15-22'!K40</f>
        <v>289507</v>
      </c>
      <c r="C1113" s="2" t="s">
        <v>573</v>
      </c>
      <c r="D1113" s="2" t="str">
        <f t="shared" si="16"/>
        <v>Error?</v>
      </c>
    </row>
    <row r="1114" spans="1:4" x14ac:dyDescent="0.2">
      <c r="A1114" s="5">
        <v>1053</v>
      </c>
      <c r="B1114" s="138">
        <f>'Expenditures 15-22'!K41</f>
        <v>121469</v>
      </c>
      <c r="C1114" s="2" t="s">
        <v>573</v>
      </c>
      <c r="D1114" s="2" t="str">
        <f t="shared" si="16"/>
        <v>Error?</v>
      </c>
    </row>
    <row r="1115" spans="1:4" x14ac:dyDescent="0.2">
      <c r="A1115" s="5">
        <v>1054</v>
      </c>
      <c r="B1115" s="138">
        <f>'Expenditures 15-22'!K42</f>
        <v>1222378</v>
      </c>
      <c r="C1115" s="2" t="s">
        <v>573</v>
      </c>
      <c r="D1115" s="2" t="str">
        <f t="shared" si="16"/>
        <v>Error?</v>
      </c>
    </row>
    <row r="1116" spans="1:4" x14ac:dyDescent="0.2">
      <c r="A1116" s="5">
        <v>1055</v>
      </c>
      <c r="B1116" s="138">
        <f>'Expenditures 15-22'!K44</f>
        <v>439755</v>
      </c>
      <c r="C1116" s="2" t="s">
        <v>573</v>
      </c>
      <c r="D1116" s="2" t="str">
        <f t="shared" si="16"/>
        <v>Error?</v>
      </c>
    </row>
    <row r="1117" spans="1:4" x14ac:dyDescent="0.2">
      <c r="A1117" s="5">
        <v>1056</v>
      </c>
      <c r="B1117" s="138">
        <f>'Expenditures 15-22'!K45</f>
        <v>230772</v>
      </c>
      <c r="C1117" s="2" t="s">
        <v>573</v>
      </c>
      <c r="D1117" s="2" t="str">
        <f t="shared" si="16"/>
        <v>Error?</v>
      </c>
    </row>
    <row r="1118" spans="1:4" x14ac:dyDescent="0.2">
      <c r="A1118" s="5">
        <v>1057</v>
      </c>
      <c r="B1118" s="138">
        <f>'Expenditures 15-22'!K46</f>
        <v>26367</v>
      </c>
      <c r="C1118" s="2" t="s">
        <v>573</v>
      </c>
      <c r="D1118" s="2" t="str">
        <f t="shared" si="16"/>
        <v>Error?</v>
      </c>
    </row>
    <row r="1119" spans="1:4" x14ac:dyDescent="0.2">
      <c r="A1119" s="5">
        <v>1058</v>
      </c>
      <c r="B1119" s="138">
        <f>'Expenditures 15-22'!K47</f>
        <v>696894</v>
      </c>
      <c r="C1119" s="2" t="s">
        <v>573</v>
      </c>
      <c r="D1119" s="2" t="str">
        <f t="shared" si="16"/>
        <v>Error?</v>
      </c>
    </row>
    <row r="1120" spans="1:4" x14ac:dyDescent="0.2">
      <c r="A1120" s="5">
        <v>1059</v>
      </c>
      <c r="B1120" s="138">
        <f>'Expenditures 15-22'!K49</f>
        <v>34744</v>
      </c>
      <c r="C1120" s="2" t="s">
        <v>573</v>
      </c>
      <c r="D1120" s="2" t="str">
        <f t="shared" si="16"/>
        <v>Error?</v>
      </c>
    </row>
    <row r="1121" spans="1:4" x14ac:dyDescent="0.2">
      <c r="A1121" s="5">
        <v>1060</v>
      </c>
      <c r="B1121" s="138">
        <f>'Expenditures 15-22'!K50</f>
        <v>408262</v>
      </c>
      <c r="C1121" s="2" t="s">
        <v>573</v>
      </c>
      <c r="D1121" s="2" t="str">
        <f t="shared" si="16"/>
        <v>Error?</v>
      </c>
    </row>
    <row r="1122" spans="1:4" x14ac:dyDescent="0.2">
      <c r="A1122" s="5">
        <v>1061</v>
      </c>
      <c r="B1122" s="138">
        <f>'Expenditures 15-22'!K53</f>
        <v>607946</v>
      </c>
      <c r="C1122" s="2" t="s">
        <v>573</v>
      </c>
      <c r="D1122" s="2" t="str">
        <f t="shared" si="16"/>
        <v>Error?</v>
      </c>
    </row>
    <row r="1123" spans="1:4" x14ac:dyDescent="0.2">
      <c r="A1123" s="5">
        <v>1062</v>
      </c>
      <c r="B1123" s="138">
        <f>'Expenditures 15-22'!K55</f>
        <v>1008899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1008899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309724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11341</v>
      </c>
      <c r="C1129" s="2" t="s">
        <v>573</v>
      </c>
      <c r="D1129" s="2" t="str">
        <f t="shared" si="16"/>
        <v>Error?</v>
      </c>
    </row>
    <row r="1130" spans="1:4" x14ac:dyDescent="0.2">
      <c r="A1130" s="5">
        <v>1069</v>
      </c>
      <c r="B1130" s="138">
        <f>'Expenditures 15-22'!K63</f>
        <v>987993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1309058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489110</v>
      </c>
      <c r="C1139" s="2" t="s">
        <v>573</v>
      </c>
      <c r="D1139" s="2" t="str">
        <f t="shared" si="16"/>
        <v>Error?</v>
      </c>
    </row>
    <row r="1140" spans="1:4" x14ac:dyDescent="0.2">
      <c r="A1140" s="10">
        <v>1079</v>
      </c>
      <c r="D1140" s="2" t="str">
        <f t="shared" si="16"/>
        <v>OK</v>
      </c>
    </row>
    <row r="1141" spans="1:4" x14ac:dyDescent="0.2">
      <c r="A1141" s="5">
        <v>1080</v>
      </c>
      <c r="B1141" s="138">
        <f>'Expenditures 15-22'!K72</f>
        <v>489110</v>
      </c>
      <c r="C1141" s="2" t="s">
        <v>573</v>
      </c>
      <c r="D1141" s="2" t="str">
        <f t="shared" si="16"/>
        <v>Error?</v>
      </c>
    </row>
    <row r="1142" spans="1:4" x14ac:dyDescent="0.2">
      <c r="A1142" s="5">
        <v>1081</v>
      </c>
      <c r="B1142" s="138">
        <f>'Expenditures 15-22'!K73</f>
        <v>238</v>
      </c>
      <c r="C1142" s="2" t="s">
        <v>573</v>
      </c>
      <c r="D1142" s="2" t="str">
        <f t="shared" si="16"/>
        <v>Error?</v>
      </c>
    </row>
    <row r="1143" spans="1:4" x14ac:dyDescent="0.2">
      <c r="A1143" s="5">
        <v>1082</v>
      </c>
      <c r="B1143" s="138">
        <f>'Expenditures 15-22'!K74</f>
        <v>5334523</v>
      </c>
      <c r="C1143" s="2" t="s">
        <v>573</v>
      </c>
      <c r="D1143" s="2" t="str">
        <f t="shared" si="16"/>
        <v>Error?</v>
      </c>
    </row>
    <row r="1144" spans="1:4" x14ac:dyDescent="0.2">
      <c r="A1144" s="5">
        <v>1083</v>
      </c>
      <c r="B1144" s="138">
        <f>'Expenditures 15-22'!K75</f>
        <v>32280</v>
      </c>
      <c r="C1144" s="2" t="s">
        <v>573</v>
      </c>
      <c r="D1144" s="2" t="str">
        <f t="shared" si="16"/>
        <v>Error?</v>
      </c>
    </row>
    <row r="1145" spans="1:4" x14ac:dyDescent="0.2">
      <c r="A1145" s="5">
        <v>1084</v>
      </c>
      <c r="B1145" s="138">
        <f>'Expenditures 15-22'!K102</f>
        <v>18777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17767724</v>
      </c>
      <c r="C1152" s="2" t="s">
        <v>573</v>
      </c>
      <c r="D1152" s="2" t="str">
        <f t="shared" si="17"/>
        <v>Error?</v>
      </c>
    </row>
    <row r="1153" spans="1:4" x14ac:dyDescent="0.2">
      <c r="A1153" s="5">
        <v>1092</v>
      </c>
      <c r="B1153" s="138">
        <f>'Expenditures 15-22'!K115</f>
        <v>1095725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878744</v>
      </c>
      <c r="D1221" s="2" t="str">
        <f t="shared" si="18"/>
        <v>Error?</v>
      </c>
    </row>
    <row r="1222" spans="1:4" x14ac:dyDescent="0.2">
      <c r="A1222" s="10">
        <v>1161</v>
      </c>
      <c r="D1222" s="2" t="str">
        <f t="shared" si="18"/>
        <v>OK</v>
      </c>
    </row>
    <row r="1223" spans="1:4" x14ac:dyDescent="0.2">
      <c r="A1223" s="5">
        <v>1162</v>
      </c>
      <c r="B1223" s="138">
        <f>'Expenditures 15-22'!C127</f>
        <v>878744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878744</v>
      </c>
      <c r="C1225" s="2" t="s">
        <v>573</v>
      </c>
      <c r="D1225" s="2" t="str">
        <f t="shared" si="18"/>
        <v>Error?</v>
      </c>
    </row>
    <row r="1226" spans="1:4" x14ac:dyDescent="0.2">
      <c r="A1226" s="5">
        <v>1165</v>
      </c>
      <c r="B1226" s="138">
        <f>'Expenditures 15-22'!C151</f>
        <v>878744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111257</v>
      </c>
      <c r="D1229" s="2" t="str">
        <f t="shared" si="18"/>
        <v>Error?</v>
      </c>
    </row>
    <row r="1230" spans="1:4" x14ac:dyDescent="0.2">
      <c r="A1230" s="10">
        <v>1169</v>
      </c>
      <c r="D1230" s="2" t="str">
        <f t="shared" si="18"/>
        <v>OK</v>
      </c>
    </row>
    <row r="1231" spans="1:4" x14ac:dyDescent="0.2">
      <c r="A1231" s="5">
        <v>1170</v>
      </c>
      <c r="B1231" s="138">
        <f>'Expenditures 15-22'!D127</f>
        <v>111257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111257</v>
      </c>
      <c r="C1233" s="2" t="s">
        <v>573</v>
      </c>
      <c r="D1233" s="2" t="str">
        <f t="shared" si="18"/>
        <v>Error?</v>
      </c>
    </row>
    <row r="1234" spans="1:4" x14ac:dyDescent="0.2">
      <c r="A1234" s="5">
        <v>1173</v>
      </c>
      <c r="B1234" s="138">
        <f>'Expenditures 15-22'!D151</f>
        <v>111257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259843</v>
      </c>
      <c r="D1237" s="2" t="str">
        <f t="shared" si="18"/>
        <v>Error?</v>
      </c>
    </row>
    <row r="1238" spans="1:4" x14ac:dyDescent="0.2">
      <c r="A1238" s="10">
        <v>1177</v>
      </c>
      <c r="D1238" s="2" t="str">
        <f t="shared" si="18"/>
        <v>OK</v>
      </c>
    </row>
    <row r="1239" spans="1:4" x14ac:dyDescent="0.2">
      <c r="A1239" s="5">
        <v>1178</v>
      </c>
      <c r="B1239" s="138">
        <f>'Expenditures 15-22'!E127</f>
        <v>259843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259843</v>
      </c>
      <c r="C1241" s="2" t="s">
        <v>573</v>
      </c>
      <c r="D1241" s="2" t="str">
        <f t="shared" si="18"/>
        <v>Error?</v>
      </c>
    </row>
    <row r="1242" spans="1:4" x14ac:dyDescent="0.2">
      <c r="A1242" s="5">
        <v>1181</v>
      </c>
      <c r="B1242" s="138">
        <f>'Expenditures 15-22'!E151</f>
        <v>259843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625210</v>
      </c>
      <c r="D1245" s="2" t="str">
        <f t="shared" si="18"/>
        <v>Error?</v>
      </c>
    </row>
    <row r="1246" spans="1:4" x14ac:dyDescent="0.2">
      <c r="A1246" s="10">
        <v>1185</v>
      </c>
      <c r="D1246" s="2" t="str">
        <f t="shared" si="18"/>
        <v>OK</v>
      </c>
    </row>
    <row r="1247" spans="1:4" x14ac:dyDescent="0.2">
      <c r="A1247" s="5">
        <v>1186</v>
      </c>
      <c r="B1247" s="138">
        <f>'Expenditures 15-22'!F127</f>
        <v>625210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625210</v>
      </c>
      <c r="C1249" s="2" t="s">
        <v>573</v>
      </c>
      <c r="D1249" s="2" t="str">
        <f t="shared" si="18"/>
        <v>Error?</v>
      </c>
    </row>
    <row r="1250" spans="1:4" x14ac:dyDescent="0.2">
      <c r="A1250" s="5">
        <v>1189</v>
      </c>
      <c r="B1250" s="138">
        <f>'Expenditures 15-22'!F151</f>
        <v>625210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22563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22563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22563</v>
      </c>
      <c r="C1258" s="2" t="s">
        <v>573</v>
      </c>
      <c r="D1258" s="2" t="str">
        <f t="shared" si="18"/>
        <v>Error?</v>
      </c>
    </row>
    <row r="1259" spans="1:4" x14ac:dyDescent="0.2">
      <c r="A1259" s="5">
        <v>1198</v>
      </c>
      <c r="B1259" s="138">
        <f>'Expenditures 15-22'!G151</f>
        <v>22563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721221</v>
      </c>
      <c r="D1262" s="2" t="str">
        <f t="shared" si="18"/>
        <v>Error?</v>
      </c>
    </row>
    <row r="1263" spans="1:4" x14ac:dyDescent="0.2">
      <c r="A1263" s="10">
        <v>1202</v>
      </c>
      <c r="D1263" s="2" t="str">
        <f t="shared" si="18"/>
        <v>OK</v>
      </c>
    </row>
    <row r="1264" spans="1:4" x14ac:dyDescent="0.2">
      <c r="A1264" s="5">
        <v>1203</v>
      </c>
      <c r="B1264" s="138">
        <f>'Expenditures 15-22'!H127</f>
        <v>721221</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721221</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721221</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2618838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2618838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2618838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2618838</v>
      </c>
      <c r="C1288" s="2" t="s">
        <v>573</v>
      </c>
      <c r="D1288" s="2" t="str">
        <f t="shared" si="19"/>
        <v>Error?</v>
      </c>
    </row>
    <row r="1289" spans="1:4" x14ac:dyDescent="0.2">
      <c r="A1289" s="5">
        <v>1228</v>
      </c>
      <c r="B1289" s="138">
        <f>'Expenditures 15-22'!K152</f>
        <v>235318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766514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2583992</v>
      </c>
      <c r="D1315" s="2" t="str">
        <f t="shared" si="19"/>
        <v>Error?</v>
      </c>
    </row>
    <row r="1316" spans="1:4" x14ac:dyDescent="0.2">
      <c r="A1316" s="5">
        <v>1255</v>
      </c>
      <c r="B1316" s="138">
        <f>'Expenditures 15-22'!H171</f>
        <v>4100</v>
      </c>
      <c r="D1316" s="2" t="str">
        <f t="shared" si="19"/>
        <v>Error?</v>
      </c>
    </row>
    <row r="1317" spans="1:4" x14ac:dyDescent="0.2">
      <c r="A1317" s="5">
        <v>1256</v>
      </c>
      <c r="B1317" s="138">
        <f>'Expenditures 15-22'!H172</f>
        <v>3354606</v>
      </c>
      <c r="C1317" s="2" t="s">
        <v>573</v>
      </c>
      <c r="D1317" s="2" t="str">
        <f t="shared" si="19"/>
        <v>Error?</v>
      </c>
    </row>
    <row r="1318" spans="1:4" x14ac:dyDescent="0.2">
      <c r="A1318" s="5">
        <v>1257</v>
      </c>
      <c r="B1318" s="138">
        <f>'Expenditures 15-22'!H174</f>
        <v>3354606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766514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2583992</v>
      </c>
      <c r="C1329" s="2" t="s">
        <v>573</v>
      </c>
      <c r="D1329" s="2" t="str">
        <f t="shared" si="19"/>
        <v>Error?</v>
      </c>
    </row>
    <row r="1330" spans="1:4" x14ac:dyDescent="0.2">
      <c r="A1330" s="5">
        <v>1269</v>
      </c>
      <c r="B1330" s="138">
        <f>'Expenditures 15-22'!K171</f>
        <v>4100</v>
      </c>
      <c r="C1330" s="2" t="s">
        <v>573</v>
      </c>
      <c r="D1330" s="2" t="str">
        <f t="shared" si="19"/>
        <v>Error?</v>
      </c>
    </row>
    <row r="1331" spans="1:4" x14ac:dyDescent="0.2">
      <c r="A1331" s="5">
        <v>1270</v>
      </c>
      <c r="B1331" s="138">
        <f>'Expenditures 15-22'!K172</f>
        <v>3354606</v>
      </c>
      <c r="C1331" s="2" t="s">
        <v>573</v>
      </c>
      <c r="D1331" s="2" t="str">
        <f t="shared" si="19"/>
        <v>Error?</v>
      </c>
    </row>
    <row r="1332" spans="1:4" x14ac:dyDescent="0.2">
      <c r="A1332" s="5">
        <v>1271</v>
      </c>
      <c r="B1332" s="138">
        <f>'Expenditures 15-22'!K174</f>
        <v>3354606</v>
      </c>
      <c r="C1332" s="2" t="s">
        <v>573</v>
      </c>
      <c r="D1332" s="2" t="str">
        <f t="shared" si="19"/>
        <v>Error?</v>
      </c>
    </row>
    <row r="1333" spans="1:4" x14ac:dyDescent="0.2">
      <c r="A1333" s="5">
        <v>1272</v>
      </c>
      <c r="B1333" s="138">
        <f>'Expenditures 15-22'!K175</f>
        <v>-1246878</v>
      </c>
      <c r="C1333" s="2" t="s">
        <v>573</v>
      </c>
      <c r="D1333" s="2" t="str">
        <f t="shared" si="19"/>
        <v>Error?</v>
      </c>
    </row>
    <row r="1334" spans="1:4" x14ac:dyDescent="0.2">
      <c r="A1334" s="10">
        <v>1273</v>
      </c>
      <c r="D1334" s="2" t="str">
        <f t="shared" si="19"/>
        <v>OK</v>
      </c>
    </row>
    <row r="1335" spans="1:4" x14ac:dyDescent="0.2">
      <c r="A1335" s="5">
        <v>1274</v>
      </c>
      <c r="B1335" s="138">
        <f>'Expenditures 15-22'!C182</f>
        <v>520530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520530</v>
      </c>
      <c r="C1339" s="2" t="s">
        <v>573</v>
      </c>
      <c r="D1339" s="2" t="str">
        <f t="shared" si="19"/>
        <v>Error?</v>
      </c>
    </row>
    <row r="1340" spans="1:4" x14ac:dyDescent="0.2">
      <c r="A1340" s="5">
        <v>1279</v>
      </c>
      <c r="B1340" s="138">
        <f>'Expenditures 15-22'!C210</f>
        <v>520530</v>
      </c>
      <c r="C1340" s="2" t="s">
        <v>573</v>
      </c>
      <c r="D1340" s="2" t="str">
        <f t="shared" si="19"/>
        <v>Error?</v>
      </c>
    </row>
    <row r="1341" spans="1:4" x14ac:dyDescent="0.2">
      <c r="A1341" s="5">
        <v>1280</v>
      </c>
      <c r="B1341" s="138">
        <f>'Expenditures 15-22'!D182</f>
        <v>31891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31891</v>
      </c>
      <c r="C1345" s="2" t="s">
        <v>573</v>
      </c>
      <c r="D1345" s="2" t="str">
        <f t="shared" si="20"/>
        <v>Error?</v>
      </c>
    </row>
    <row r="1346" spans="1:4" x14ac:dyDescent="0.2">
      <c r="A1346" s="5">
        <v>1285</v>
      </c>
      <c r="B1346" s="138">
        <f>'Expenditures 15-22'!D210</f>
        <v>31891</v>
      </c>
      <c r="C1346" s="2" t="s">
        <v>573</v>
      </c>
      <c r="D1346" s="2" t="str">
        <f t="shared" si="20"/>
        <v>Error?</v>
      </c>
    </row>
    <row r="1347" spans="1:4" x14ac:dyDescent="0.2">
      <c r="A1347" s="5">
        <v>1286</v>
      </c>
      <c r="B1347" s="138">
        <f>'Expenditures 15-22'!E182</f>
        <v>40960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40960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40960</v>
      </c>
      <c r="C1353" s="2" t="s">
        <v>573</v>
      </c>
      <c r="D1353" s="2" t="str">
        <f t="shared" si="20"/>
        <v>Error?</v>
      </c>
    </row>
    <row r="1354" spans="1:4" x14ac:dyDescent="0.2">
      <c r="A1354" s="5">
        <v>1293</v>
      </c>
      <c r="B1354" s="138">
        <f>'Expenditures 15-22'!F182</f>
        <v>99203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99203</v>
      </c>
      <c r="C1358" s="2" t="s">
        <v>573</v>
      </c>
      <c r="D1358" s="2" t="str">
        <f t="shared" si="20"/>
        <v>Error?</v>
      </c>
    </row>
    <row r="1359" spans="1:4" x14ac:dyDescent="0.2">
      <c r="A1359" s="5">
        <v>1298</v>
      </c>
      <c r="B1359" s="138">
        <f>'Expenditures 15-22'!F210</f>
        <v>99203</v>
      </c>
      <c r="C1359" s="2" t="s">
        <v>573</v>
      </c>
      <c r="D1359" s="2" t="str">
        <f t="shared" si="20"/>
        <v>Error?</v>
      </c>
    </row>
    <row r="1360" spans="1:4" x14ac:dyDescent="0.2">
      <c r="A1360" s="5">
        <v>1299</v>
      </c>
      <c r="B1360" s="138">
        <f>'Expenditures 15-22'!G182</f>
        <v>221910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221910</v>
      </c>
      <c r="C1364" s="2" t="s">
        <v>573</v>
      </c>
      <c r="D1364" s="2" t="str">
        <f t="shared" si="20"/>
        <v>Error?</v>
      </c>
    </row>
    <row r="1365" spans="1:4" x14ac:dyDescent="0.2">
      <c r="A1365" s="5">
        <v>1304</v>
      </c>
      <c r="B1365" s="138">
        <f>'Expenditures 15-22'!G210</f>
        <v>221910</v>
      </c>
      <c r="C1365" s="2" t="s">
        <v>573</v>
      </c>
      <c r="D1365" s="2" t="str">
        <f t="shared" si="20"/>
        <v>Error?</v>
      </c>
    </row>
    <row r="1366" spans="1:4" x14ac:dyDescent="0.2">
      <c r="A1366" s="5">
        <v>1305</v>
      </c>
      <c r="B1366" s="138">
        <f>'Expenditures 15-22'!H182</f>
        <v>269440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269440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269440</v>
      </c>
      <c r="C1376" s="2" t="s">
        <v>573</v>
      </c>
      <c r="D1376" s="2" t="str">
        <f t="shared" si="20"/>
        <v>Error?</v>
      </c>
    </row>
    <row r="1377" spans="1:4" x14ac:dyDescent="0.2">
      <c r="A1377" s="5">
        <v>1316</v>
      </c>
      <c r="B1377" s="138">
        <f>'Expenditures 15-22'!K182</f>
        <v>1184296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1184296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1184296</v>
      </c>
      <c r="C1388" s="2" t="s">
        <v>573</v>
      </c>
      <c r="D1388" s="2" t="str">
        <f t="shared" si="20"/>
        <v>Error?</v>
      </c>
    </row>
    <row r="1389" spans="1:4" x14ac:dyDescent="0.2">
      <c r="A1389" s="5">
        <v>1328</v>
      </c>
      <c r="B1389" s="138">
        <f>'Expenditures 15-22'!K211</f>
        <v>29146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6793</v>
      </c>
      <c r="D1407" s="2" t="str">
        <f t="shared" ref="D1407:D1470" si="21">IF(ISBLANK(B1407),"OK",IF(A1407-B1407=0,"OK","Error?"))</f>
        <v>Error?</v>
      </c>
    </row>
    <row r="1408" spans="1:4" x14ac:dyDescent="0.2">
      <c r="A1408" s="5">
        <v>1347</v>
      </c>
      <c r="B1408" s="138">
        <f>'Expenditures 15-22'!D223</f>
        <v>9544</v>
      </c>
      <c r="D1408" s="2" t="str">
        <f t="shared" si="21"/>
        <v>Error?</v>
      </c>
    </row>
    <row r="1409" spans="1:4" x14ac:dyDescent="0.2">
      <c r="A1409" s="5">
        <v>1348</v>
      </c>
      <c r="B1409" s="138">
        <f>'Expenditures 15-22'!D224</f>
        <v>88</v>
      </c>
      <c r="D1409" s="2" t="str">
        <f t="shared" si="21"/>
        <v>Error?</v>
      </c>
    </row>
    <row r="1410" spans="1:4" x14ac:dyDescent="0.2">
      <c r="A1410" s="5">
        <v>1349</v>
      </c>
      <c r="B1410" s="138">
        <f>'Expenditures 15-22'!D229</f>
        <v>255685</v>
      </c>
      <c r="C1410" s="2" t="s">
        <v>573</v>
      </c>
      <c r="D1410" s="2" t="str">
        <f t="shared" si="21"/>
        <v>Error?</v>
      </c>
    </row>
    <row r="1411" spans="1:4" x14ac:dyDescent="0.2">
      <c r="A1411" s="5">
        <v>1350</v>
      </c>
      <c r="B1411" s="138">
        <f>'Expenditures 15-22'!D232</f>
        <v>4396</v>
      </c>
      <c r="D1411" s="2" t="str">
        <f t="shared" si="21"/>
        <v>Error?</v>
      </c>
    </row>
    <row r="1412" spans="1:4" x14ac:dyDescent="0.2">
      <c r="A1412" s="5">
        <v>1351</v>
      </c>
      <c r="B1412" s="138">
        <f>'Expenditures 15-22'!D233</f>
        <v>2028</v>
      </c>
      <c r="D1412" s="2" t="str">
        <f t="shared" si="21"/>
        <v>Error?</v>
      </c>
    </row>
    <row r="1413" spans="1:4" x14ac:dyDescent="0.2">
      <c r="A1413" s="5">
        <v>1352</v>
      </c>
      <c r="B1413" s="138">
        <f>'Expenditures 15-22'!D234</f>
        <v>10754</v>
      </c>
      <c r="D1413" s="2" t="str">
        <f t="shared" si="21"/>
        <v>Error?</v>
      </c>
    </row>
    <row r="1414" spans="1:4" x14ac:dyDescent="0.2">
      <c r="A1414" s="5">
        <v>1353</v>
      </c>
      <c r="B1414" s="138">
        <f>'Expenditures 15-22'!D235</f>
        <v>1143</v>
      </c>
      <c r="D1414" s="2" t="str">
        <f t="shared" si="21"/>
        <v>Error?</v>
      </c>
    </row>
    <row r="1415" spans="1:4" x14ac:dyDescent="0.2">
      <c r="A1415" s="5">
        <v>1354</v>
      </c>
      <c r="B1415" s="138">
        <f>'Expenditures 15-22'!D236</f>
        <v>3281</v>
      </c>
      <c r="D1415" s="2" t="str">
        <f t="shared" si="21"/>
        <v>Error?</v>
      </c>
    </row>
    <row r="1416" spans="1:4" x14ac:dyDescent="0.2">
      <c r="A1416" s="5">
        <v>1355</v>
      </c>
      <c r="B1416" s="138">
        <f>'Expenditures 15-22'!D237</f>
        <v>1680</v>
      </c>
      <c r="D1416" s="2" t="str">
        <f t="shared" si="21"/>
        <v>Error?</v>
      </c>
    </row>
    <row r="1417" spans="1:4" x14ac:dyDescent="0.2">
      <c r="A1417" s="5">
        <v>1356</v>
      </c>
      <c r="B1417" s="138">
        <f>'Expenditures 15-22'!D238</f>
        <v>23282</v>
      </c>
      <c r="C1417" s="2" t="s">
        <v>573</v>
      </c>
      <c r="D1417" s="2" t="str">
        <f t="shared" si="21"/>
        <v>Error?</v>
      </c>
    </row>
    <row r="1418" spans="1:4" x14ac:dyDescent="0.2">
      <c r="A1418" s="5">
        <v>1357</v>
      </c>
      <c r="B1418" s="138">
        <f>'Expenditures 15-22'!D240</f>
        <v>18941</v>
      </c>
      <c r="D1418" s="2" t="str">
        <f t="shared" si="21"/>
        <v>Error?</v>
      </c>
    </row>
    <row r="1419" spans="1:4" x14ac:dyDescent="0.2">
      <c r="A1419" s="5">
        <v>1358</v>
      </c>
      <c r="B1419" s="138">
        <f>'Expenditures 15-22'!D241</f>
        <v>25487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44428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14965</v>
      </c>
      <c r="D1423" s="2" t="str">
        <f t="shared" si="21"/>
        <v>Error?</v>
      </c>
    </row>
    <row r="1424" spans="1:4" x14ac:dyDescent="0.2">
      <c r="A1424" s="5">
        <v>1363</v>
      </c>
      <c r="B1424" s="138">
        <f>'Expenditures 15-22'!D257</f>
        <v>43408</v>
      </c>
      <c r="C1424" s="2" t="s">
        <v>573</v>
      </c>
      <c r="D1424" s="2" t="str">
        <f t="shared" si="21"/>
        <v>Error?</v>
      </c>
    </row>
    <row r="1425" spans="1:4" x14ac:dyDescent="0.2">
      <c r="A1425" s="5">
        <v>1364</v>
      </c>
      <c r="B1425" s="138">
        <f>'Expenditures 15-22'!D259</f>
        <v>53960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53960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30978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215863</v>
      </c>
      <c r="D1431" s="2" t="str">
        <f t="shared" si="21"/>
        <v>Error?</v>
      </c>
    </row>
    <row r="1432" spans="1:4" x14ac:dyDescent="0.2">
      <c r="A1432" s="5">
        <v>1371</v>
      </c>
      <c r="B1432" s="138">
        <f>'Expenditures 15-22'!D267</f>
        <v>131658</v>
      </c>
      <c r="D1432" s="2" t="str">
        <f t="shared" si="21"/>
        <v>Error?</v>
      </c>
    </row>
    <row r="1433" spans="1:4" x14ac:dyDescent="0.2">
      <c r="A1433" s="5">
        <v>1372</v>
      </c>
      <c r="B1433" s="138">
        <f>'Expenditures 15-22'!D268</f>
        <v>104381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482880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63217</v>
      </c>
      <c r="D1442" s="2" t="str">
        <f t="shared" si="21"/>
        <v>Error?</v>
      </c>
    </row>
    <row r="1443" spans="1:4" x14ac:dyDescent="0.2">
      <c r="A1443" s="10">
        <v>1382</v>
      </c>
      <c r="D1443" s="2" t="str">
        <f t="shared" si="21"/>
        <v>OK</v>
      </c>
    </row>
    <row r="1444" spans="1:4" x14ac:dyDescent="0.2">
      <c r="A1444" s="5">
        <v>1383</v>
      </c>
      <c r="B1444" s="138">
        <f>'Expenditures 15-22'!D277</f>
        <v>63217</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711175</v>
      </c>
      <c r="C1446" s="2" t="s">
        <v>573</v>
      </c>
      <c r="D1446" s="2" t="str">
        <f t="shared" si="21"/>
        <v>Error?</v>
      </c>
    </row>
    <row r="1447" spans="1:4" x14ac:dyDescent="0.2">
      <c r="A1447" s="5">
        <v>1386</v>
      </c>
      <c r="B1447" s="138">
        <f>'Expenditures 15-22'!D280</f>
        <v>6296</v>
      </c>
      <c r="D1447" s="2" t="str">
        <f t="shared" si="21"/>
        <v>Error?</v>
      </c>
    </row>
    <row r="1448" spans="1:4" x14ac:dyDescent="0.2">
      <c r="A1448" s="5">
        <v>1387</v>
      </c>
      <c r="B1448" s="138">
        <f>'Expenditures 15-22'!D295</f>
        <v>973156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6793</v>
      </c>
      <c r="C1471" s="2" t="s">
        <v>573</v>
      </c>
      <c r="D1471" s="2" t="str">
        <f t="shared" ref="D1471:D1534" si="22">IF(ISBLANK(B1471),"OK",IF(A1471-B1471=0,"OK","Error?"))</f>
        <v>Error?</v>
      </c>
    </row>
    <row r="1472" spans="1:4" x14ac:dyDescent="0.2">
      <c r="A1472" s="5">
        <v>1411</v>
      </c>
      <c r="B1472" s="138">
        <f>'Expenditures 15-22'!K223</f>
        <v>9544</v>
      </c>
      <c r="C1472" s="2" t="s">
        <v>573</v>
      </c>
      <c r="D1472" s="2" t="str">
        <f t="shared" si="22"/>
        <v>Error?</v>
      </c>
    </row>
    <row r="1473" spans="1:4" x14ac:dyDescent="0.2">
      <c r="A1473" s="5">
        <v>1412</v>
      </c>
      <c r="B1473" s="138">
        <f>'Expenditures 15-22'!K224</f>
        <v>88</v>
      </c>
      <c r="C1473" s="2" t="s">
        <v>573</v>
      </c>
      <c r="D1473" s="2" t="str">
        <f t="shared" si="22"/>
        <v>Error?</v>
      </c>
    </row>
    <row r="1474" spans="1:4" x14ac:dyDescent="0.2">
      <c r="A1474" s="5">
        <v>1413</v>
      </c>
      <c r="B1474" s="138">
        <f>'Expenditures 15-22'!K229</f>
        <v>255685</v>
      </c>
      <c r="C1474" s="2" t="s">
        <v>573</v>
      </c>
      <c r="D1474" s="2" t="str">
        <f t="shared" si="22"/>
        <v>Error?</v>
      </c>
    </row>
    <row r="1475" spans="1:4" x14ac:dyDescent="0.2">
      <c r="A1475" s="5">
        <v>1414</v>
      </c>
      <c r="B1475" s="138">
        <f>'Expenditures 15-22'!K232</f>
        <v>4396</v>
      </c>
      <c r="C1475" s="2" t="s">
        <v>573</v>
      </c>
      <c r="D1475" s="2" t="str">
        <f t="shared" si="22"/>
        <v>Error?</v>
      </c>
    </row>
    <row r="1476" spans="1:4" x14ac:dyDescent="0.2">
      <c r="A1476" s="5">
        <v>1415</v>
      </c>
      <c r="B1476" s="138">
        <f>'Expenditures 15-22'!K233</f>
        <v>2028</v>
      </c>
      <c r="C1476" s="2" t="s">
        <v>573</v>
      </c>
      <c r="D1476" s="2" t="str">
        <f t="shared" si="22"/>
        <v>Error?</v>
      </c>
    </row>
    <row r="1477" spans="1:4" x14ac:dyDescent="0.2">
      <c r="A1477" s="5">
        <v>1416</v>
      </c>
      <c r="B1477" s="138">
        <f>'Expenditures 15-22'!K234</f>
        <v>10754</v>
      </c>
      <c r="C1477" s="2" t="s">
        <v>573</v>
      </c>
      <c r="D1477" s="2" t="str">
        <f t="shared" si="22"/>
        <v>Error?</v>
      </c>
    </row>
    <row r="1478" spans="1:4" x14ac:dyDescent="0.2">
      <c r="A1478" s="5">
        <v>1417</v>
      </c>
      <c r="B1478" s="138">
        <f>'Expenditures 15-22'!K235</f>
        <v>1143</v>
      </c>
      <c r="C1478" s="2" t="s">
        <v>573</v>
      </c>
      <c r="D1478" s="2" t="str">
        <f t="shared" si="22"/>
        <v>Error?</v>
      </c>
    </row>
    <row r="1479" spans="1:4" x14ac:dyDescent="0.2">
      <c r="A1479" s="5">
        <v>1418</v>
      </c>
      <c r="B1479" s="138">
        <f>'Expenditures 15-22'!K236</f>
        <v>3281</v>
      </c>
      <c r="C1479" s="2" t="s">
        <v>573</v>
      </c>
      <c r="D1479" s="2" t="str">
        <f t="shared" si="22"/>
        <v>Error?</v>
      </c>
    </row>
    <row r="1480" spans="1:4" x14ac:dyDescent="0.2">
      <c r="A1480" s="5">
        <v>1419</v>
      </c>
      <c r="B1480" s="138">
        <f>'Expenditures 15-22'!K237</f>
        <v>1680</v>
      </c>
      <c r="C1480" s="2" t="s">
        <v>573</v>
      </c>
      <c r="D1480" s="2" t="str">
        <f t="shared" si="22"/>
        <v>Error?</v>
      </c>
    </row>
    <row r="1481" spans="1:4" x14ac:dyDescent="0.2">
      <c r="A1481" s="5">
        <v>1420</v>
      </c>
      <c r="B1481" s="138">
        <f>'Expenditures 15-22'!K238</f>
        <v>23282</v>
      </c>
      <c r="C1481" s="2" t="s">
        <v>573</v>
      </c>
      <c r="D1481" s="2" t="str">
        <f t="shared" si="22"/>
        <v>Error?</v>
      </c>
    </row>
    <row r="1482" spans="1:4" x14ac:dyDescent="0.2">
      <c r="A1482" s="5">
        <v>1421</v>
      </c>
      <c r="B1482" s="138">
        <f>'Expenditures 15-22'!K240</f>
        <v>18941</v>
      </c>
      <c r="C1482" s="2" t="s">
        <v>573</v>
      </c>
      <c r="D1482" s="2" t="str">
        <f t="shared" si="22"/>
        <v>Error?</v>
      </c>
    </row>
    <row r="1483" spans="1:4" x14ac:dyDescent="0.2">
      <c r="A1483" s="5">
        <v>1422</v>
      </c>
      <c r="B1483" s="138">
        <f>'Expenditures 15-22'!K241</f>
        <v>25487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44428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14965</v>
      </c>
      <c r="C1487" s="2" t="s">
        <v>573</v>
      </c>
      <c r="D1487" s="2" t="str">
        <f t="shared" si="22"/>
        <v>Error?</v>
      </c>
    </row>
    <row r="1488" spans="1:4" x14ac:dyDescent="0.2">
      <c r="A1488" s="5">
        <v>1427</v>
      </c>
      <c r="B1488" s="138">
        <f>'Expenditures 15-22'!K257</f>
        <v>43408</v>
      </c>
      <c r="C1488" s="2" t="s">
        <v>573</v>
      </c>
      <c r="D1488" s="2" t="str">
        <f t="shared" si="22"/>
        <v>Error?</v>
      </c>
    </row>
    <row r="1489" spans="1:4" x14ac:dyDescent="0.2">
      <c r="A1489" s="5">
        <v>1428</v>
      </c>
      <c r="B1489" s="138">
        <f>'Expenditures 15-22'!K259</f>
        <v>53960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53960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30978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215863</v>
      </c>
      <c r="C1495" s="2" t="s">
        <v>573</v>
      </c>
      <c r="D1495" s="2" t="str">
        <f t="shared" si="22"/>
        <v>Error?</v>
      </c>
    </row>
    <row r="1496" spans="1:4" x14ac:dyDescent="0.2">
      <c r="A1496" s="5">
        <v>1435</v>
      </c>
      <c r="B1496" s="138">
        <f>'Expenditures 15-22'!K267</f>
        <v>131658</v>
      </c>
      <c r="C1496" s="2" t="s">
        <v>573</v>
      </c>
      <c r="D1496" s="2" t="str">
        <f t="shared" si="22"/>
        <v>Error?</v>
      </c>
    </row>
    <row r="1497" spans="1:4" x14ac:dyDescent="0.2">
      <c r="A1497" s="5">
        <v>1436</v>
      </c>
      <c r="B1497" s="138">
        <f>'Expenditures 15-22'!K268</f>
        <v>104381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482880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63217</v>
      </c>
      <c r="C1506" s="2" t="s">
        <v>573</v>
      </c>
      <c r="D1506" s="2" t="str">
        <f t="shared" si="22"/>
        <v>Error?</v>
      </c>
    </row>
    <row r="1507" spans="1:4" x14ac:dyDescent="0.2">
      <c r="A1507" s="10">
        <v>1446</v>
      </c>
      <c r="D1507" s="2" t="str">
        <f t="shared" si="22"/>
        <v>OK</v>
      </c>
    </row>
    <row r="1508" spans="1:4" x14ac:dyDescent="0.2">
      <c r="A1508" s="5">
        <v>1447</v>
      </c>
      <c r="B1508" s="138">
        <f>'Expenditures 15-22'!K277</f>
        <v>63217</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711175</v>
      </c>
      <c r="C1510" s="2" t="s">
        <v>573</v>
      </c>
      <c r="D1510" s="2" t="str">
        <f t="shared" si="22"/>
        <v>Error?</v>
      </c>
    </row>
    <row r="1511" spans="1:4" x14ac:dyDescent="0.2">
      <c r="A1511" s="5">
        <v>1450</v>
      </c>
      <c r="B1511" s="138">
        <f>'Expenditures 15-22'!K280</f>
        <v>6296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973156</v>
      </c>
      <c r="C1517" s="2" t="s">
        <v>573</v>
      </c>
      <c r="D1517" s="2" t="str">
        <f t="shared" si="22"/>
        <v>Error?</v>
      </c>
    </row>
    <row r="1518" spans="1:4" x14ac:dyDescent="0.2">
      <c r="A1518" s="5">
        <v>1457</v>
      </c>
      <c r="B1518" s="138">
        <f>'Expenditures 15-22'!K296</f>
        <v>109980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14945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14945</v>
      </c>
      <c r="C1535" s="2" t="s">
        <v>573</v>
      </c>
      <c r="D1535" s="2" t="str">
        <f t="shared" ref="D1535:D1598" si="23">IF(ISBLANK(B1535),"OK",IF(A1535-B1535=0,"OK","Error?"))</f>
        <v>Error?</v>
      </c>
    </row>
    <row r="1536" spans="1:4" x14ac:dyDescent="0.2">
      <c r="A1536" s="5">
        <v>1475</v>
      </c>
      <c r="B1536" s="138">
        <f>'Expenditures 15-22'!E312</f>
        <v>14945</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140995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140995</v>
      </c>
      <c r="C1547" s="2" t="s">
        <v>573</v>
      </c>
      <c r="D1547" s="2" t="str">
        <f t="shared" si="23"/>
        <v>Error?</v>
      </c>
    </row>
    <row r="1548" spans="1:4" x14ac:dyDescent="0.2">
      <c r="A1548" s="5">
        <v>1487</v>
      </c>
      <c r="B1548" s="138">
        <f>'Expenditures 15-22'!G312</f>
        <v>140995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155940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155940</v>
      </c>
      <c r="C1559" s="2" t="s">
        <v>573</v>
      </c>
      <c r="D1559" s="2" t="str">
        <f t="shared" si="23"/>
        <v>Error?</v>
      </c>
    </row>
    <row r="1560" spans="1:4" x14ac:dyDescent="0.2">
      <c r="A1560" s="5">
        <v>1499</v>
      </c>
      <c r="B1560" s="138">
        <f>'Expenditures 15-22'!K312</f>
        <v>155940</v>
      </c>
      <c r="C1560" s="2" t="s">
        <v>573</v>
      </c>
      <c r="D1560" s="2" t="str">
        <f t="shared" si="23"/>
        <v>Error?</v>
      </c>
    </row>
    <row r="1561" spans="1:4" x14ac:dyDescent="0.2">
      <c r="A1561" s="5">
        <v>1500</v>
      </c>
      <c r="B1561" s="138">
        <f>'Expenditures 15-22'!K313</f>
        <v>-143934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12006408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12912158</v>
      </c>
      <c r="C1630" s="2" t="s">
        <v>573</v>
      </c>
      <c r="D1630" s="2" t="str">
        <f t="shared" si="24"/>
        <v>Error?</v>
      </c>
    </row>
    <row r="1631" spans="1:4" x14ac:dyDescent="0.2">
      <c r="A1631" s="5">
        <v>1570</v>
      </c>
      <c r="B1631" s="138">
        <f>'Acct Summary 7-8'!D79</f>
        <v>1853235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2088553</v>
      </c>
      <c r="C1644" s="2" t="s">
        <v>573</v>
      </c>
      <c r="D1644" s="2" t="str">
        <f t="shared" si="24"/>
        <v>Error?</v>
      </c>
    </row>
    <row r="1645" spans="1:4" x14ac:dyDescent="0.2">
      <c r="A1645" s="5">
        <v>1584</v>
      </c>
      <c r="B1645" s="138">
        <f>'Acct Summary 7-8'!E79</f>
        <v>1642417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635539</v>
      </c>
      <c r="C1658" s="2" t="s">
        <v>573</v>
      </c>
      <c r="D1658" s="2" t="str">
        <f t="shared" si="24"/>
        <v>Error?</v>
      </c>
    </row>
    <row r="1659" spans="1:4" x14ac:dyDescent="0.2">
      <c r="A1659" s="5">
        <v>1598</v>
      </c>
      <c r="B1659" s="138">
        <f>'Acct Summary 7-8'!F79</f>
        <v>1139425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1168571</v>
      </c>
      <c r="C1672" s="2" t="s">
        <v>573</v>
      </c>
      <c r="D1672" s="2" t="str">
        <f t="shared" si="25"/>
        <v>Error?</v>
      </c>
    </row>
    <row r="1673" spans="1:4" x14ac:dyDescent="0.2">
      <c r="A1673" s="5">
        <v>1612</v>
      </c>
      <c r="B1673" s="138">
        <f>'Acct Summary 7-8'!G79</f>
        <v>725598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835578</v>
      </c>
      <c r="C1686" s="2" t="s">
        <v>573</v>
      </c>
      <c r="D1686" s="2" t="str">
        <f t="shared" si="25"/>
        <v>Error?</v>
      </c>
    </row>
    <row r="1687" spans="1:4" x14ac:dyDescent="0.2">
      <c r="A1687" s="5">
        <v>1626</v>
      </c>
      <c r="B1687" s="138">
        <f>'Acct Summary 7-8'!H79</f>
        <v>669051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525117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11852309</v>
      </c>
      <c r="C1744" s="2" t="s">
        <v>573</v>
      </c>
      <c r="D1744" s="2" t="str">
        <f t="shared" si="26"/>
        <v>Error?</v>
      </c>
    </row>
    <row r="1745" spans="1:5" x14ac:dyDescent="0.2">
      <c r="A1745" s="5">
        <v>1684</v>
      </c>
      <c r="B1745" s="138">
        <f>'Tax Sched 23'!B5</f>
        <v>2781656</v>
      </c>
      <c r="C1745" s="2" t="s">
        <v>573</v>
      </c>
      <c r="D1745" s="2" t="str">
        <f t="shared" si="26"/>
        <v>Error?</v>
      </c>
    </row>
    <row r="1746" spans="1:5" x14ac:dyDescent="0.2">
      <c r="A1746" s="5">
        <v>1685</v>
      </c>
      <c r="B1746" s="138">
        <f>'Tax Sched 23'!B6</f>
        <v>2066703</v>
      </c>
      <c r="C1746" s="2" t="s">
        <v>573</v>
      </c>
      <c r="D1746" s="2" t="str">
        <f t="shared" si="26"/>
        <v>Error?</v>
      </c>
    </row>
    <row r="1747" spans="1:5" x14ac:dyDescent="0.2">
      <c r="A1747" s="5">
        <v>1686</v>
      </c>
      <c r="B1747" s="138">
        <f>'Tax Sched 23'!B7</f>
        <v>967530</v>
      </c>
      <c r="C1747" s="2" t="s">
        <v>573</v>
      </c>
      <c r="D1747" s="2" t="str">
        <f t="shared" si="26"/>
        <v>Error?</v>
      </c>
    </row>
    <row r="1748" spans="1:5" x14ac:dyDescent="0.2">
      <c r="A1748" s="5">
        <v>1687</v>
      </c>
      <c r="B1748" s="138">
        <f>'Tax Sched 23'!B8</f>
        <v>542036</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568797</v>
      </c>
      <c r="C1752" s="2" t="s">
        <v>573</v>
      </c>
      <c r="D1752" s="2" t="str">
        <f t="shared" si="26"/>
        <v>Error?</v>
      </c>
    </row>
    <row r="1753" spans="1:5" x14ac:dyDescent="0.2">
      <c r="A1753" s="5">
        <v>1692</v>
      </c>
      <c r="B1753" s="138">
        <f>'Tax Sched 23'!B12</f>
        <v>239309</v>
      </c>
      <c r="C1753" s="2" t="s">
        <v>573</v>
      </c>
      <c r="D1753" s="2" t="str">
        <f t="shared" si="26"/>
        <v>Error?</v>
      </c>
    </row>
    <row r="1754" spans="1:5" x14ac:dyDescent="0.2">
      <c r="A1754" s="5">
        <v>1693</v>
      </c>
      <c r="B1754" s="138">
        <f>'Tax Sched 23'!B14</f>
        <v>193513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19850670</v>
      </c>
      <c r="C1759" s="2" t="s">
        <v>573</v>
      </c>
      <c r="D1759" s="2" t="str">
        <f t="shared" si="26"/>
        <v>Error?</v>
      </c>
    </row>
    <row r="1760" spans="1:5" x14ac:dyDescent="0.2">
      <c r="A1760" s="5">
        <v>1699</v>
      </c>
      <c r="B1760" s="138">
        <f>'Tax Sched 23'!D4</f>
        <v>11520486</v>
      </c>
      <c r="C1760" s="2" t="s">
        <v>573</v>
      </c>
      <c r="D1760" s="2" t="str">
        <f t="shared" si="26"/>
        <v>Error?</v>
      </c>
    </row>
    <row r="1761" spans="1:5" x14ac:dyDescent="0.2">
      <c r="A1761" s="5">
        <v>1700</v>
      </c>
      <c r="B1761" s="138">
        <f>'Tax Sched 23'!D5</f>
        <v>2703779</v>
      </c>
      <c r="C1761" s="2" t="s">
        <v>573</v>
      </c>
      <c r="D1761" s="2" t="str">
        <f t="shared" si="26"/>
        <v>Error?</v>
      </c>
    </row>
    <row r="1762" spans="1:5" s="8" customFormat="1" x14ac:dyDescent="0.2">
      <c r="A1762" s="5">
        <v>1701</v>
      </c>
      <c r="B1762" s="138">
        <f>'Tax Sched 23'!D6</f>
        <v>2023342</v>
      </c>
      <c r="C1762" s="2" t="s">
        <v>573</v>
      </c>
      <c r="D1762" s="2" t="str">
        <f t="shared" si="26"/>
        <v>Error?</v>
      </c>
      <c r="E1762" s="9"/>
    </row>
    <row r="1763" spans="1:5" x14ac:dyDescent="0.2">
      <c r="A1763" s="5">
        <v>1702</v>
      </c>
      <c r="B1763" s="138">
        <f>'Tax Sched 23'!D7</f>
        <v>940437</v>
      </c>
      <c r="C1763" s="2" t="s">
        <v>573</v>
      </c>
      <c r="D1763" s="2" t="str">
        <f t="shared" si="26"/>
        <v>Error?</v>
      </c>
    </row>
    <row r="1764" spans="1:5" x14ac:dyDescent="0.2">
      <c r="A1764" s="5">
        <v>1703</v>
      </c>
      <c r="B1764" s="138">
        <f>'Tax Sched 23'!D8</f>
        <v>523822</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543585</v>
      </c>
      <c r="C1768" s="2" t="s">
        <v>573</v>
      </c>
      <c r="D1768" s="2" t="str">
        <f t="shared" si="26"/>
        <v>Error?</v>
      </c>
    </row>
    <row r="1769" spans="1:5" x14ac:dyDescent="0.2">
      <c r="A1769" s="5">
        <v>1708</v>
      </c>
      <c r="B1769" s="138">
        <f>'Tax Sched 23'!D12</f>
        <v>235105</v>
      </c>
      <c r="C1769" s="2" t="s">
        <v>573</v>
      </c>
      <c r="D1769" s="2" t="str">
        <f t="shared" si="26"/>
        <v>Error?</v>
      </c>
    </row>
    <row r="1770" spans="1:5" x14ac:dyDescent="0.2">
      <c r="A1770" s="5">
        <v>1709</v>
      </c>
      <c r="B1770" s="138">
        <f>'Tax Sched 23'!D14</f>
        <v>188092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19299334</v>
      </c>
      <c r="C1775" s="2" t="s">
        <v>573</v>
      </c>
      <c r="D1775" s="2" t="str">
        <f t="shared" si="26"/>
        <v>Error?</v>
      </c>
    </row>
    <row r="1776" spans="1:5" x14ac:dyDescent="0.2">
      <c r="A1776" s="5">
        <v>1715</v>
      </c>
      <c r="B1776" s="138">
        <f>'Tax Sched 23'!C4</f>
        <v>331823</v>
      </c>
      <c r="D1776" s="2" t="str">
        <f t="shared" si="26"/>
        <v>Error?</v>
      </c>
    </row>
    <row r="1777" spans="1:4" x14ac:dyDescent="0.2">
      <c r="A1777" s="5">
        <v>1716</v>
      </c>
      <c r="B1777" s="138">
        <f>'Tax Sched 23'!C5</f>
        <v>77877</v>
      </c>
      <c r="D1777" s="2" t="str">
        <f t="shared" si="26"/>
        <v>Error?</v>
      </c>
    </row>
    <row r="1778" spans="1:4" x14ac:dyDescent="0.2">
      <c r="A1778" s="5">
        <v>1717</v>
      </c>
      <c r="B1778" s="138">
        <f>'Tax Sched 23'!C6</f>
        <v>43361</v>
      </c>
      <c r="D1778" s="2" t="str">
        <f t="shared" si="26"/>
        <v>Error?</v>
      </c>
    </row>
    <row r="1779" spans="1:4" x14ac:dyDescent="0.2">
      <c r="A1779" s="5">
        <v>1718</v>
      </c>
      <c r="B1779" s="138">
        <f>'Tax Sched 23'!C7</f>
        <v>27093</v>
      </c>
      <c r="D1779" s="2" t="str">
        <f t="shared" si="26"/>
        <v>Error?</v>
      </c>
    </row>
    <row r="1780" spans="1:4" x14ac:dyDescent="0.2">
      <c r="A1780" s="5">
        <v>1719</v>
      </c>
      <c r="B1780" s="138">
        <f>'Tax Sched 23'!C8</f>
        <v>18214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25212</v>
      </c>
      <c r="D1784" s="2" t="str">
        <f t="shared" si="26"/>
        <v>Error?</v>
      </c>
    </row>
    <row r="1785" spans="1:4" x14ac:dyDescent="0.2">
      <c r="A1785" s="5">
        <v>1724</v>
      </c>
      <c r="B1785" s="138">
        <f>'Tax Sched 23'!C12</f>
        <v>4204</v>
      </c>
      <c r="D1785" s="2" t="str">
        <f t="shared" si="26"/>
        <v>Error?</v>
      </c>
    </row>
    <row r="1786" spans="1:4" x14ac:dyDescent="0.2">
      <c r="A1786" s="5">
        <v>1725</v>
      </c>
      <c r="B1786" s="138">
        <f>'Tax Sched 23'!C14</f>
        <v>5421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551336</v>
      </c>
      <c r="C1791" s="2" t="s">
        <v>573</v>
      </c>
      <c r="D1791" s="2" t="str">
        <f t="shared" ref="D1791:D1854" si="27">IF(ISBLANK(B1791),"OK",IF(A1791-B1791=0,"OK","Error?"))</f>
        <v>Error?</v>
      </c>
    </row>
    <row r="1792" spans="1:4" x14ac:dyDescent="0.2">
      <c r="A1792" s="5">
        <v>1731</v>
      </c>
      <c r="B1792" s="138">
        <f>'Tax Sched 23'!F4</f>
        <v>11517582</v>
      </c>
      <c r="C1792" s="2" t="s">
        <v>573</v>
      </c>
      <c r="D1792" s="2" t="str">
        <f t="shared" si="27"/>
        <v>Error?</v>
      </c>
    </row>
    <row r="1793" spans="1:4" x14ac:dyDescent="0.2">
      <c r="A1793" s="5">
        <v>1732</v>
      </c>
      <c r="B1793" s="138">
        <f>'Tax Sched 23'!F5</f>
        <v>2703101</v>
      </c>
      <c r="C1793" s="2" t="s">
        <v>573</v>
      </c>
      <c r="D1793" s="2" t="str">
        <f t="shared" si="27"/>
        <v>Error?</v>
      </c>
    </row>
    <row r="1794" spans="1:4" x14ac:dyDescent="0.2">
      <c r="A1794" s="5">
        <v>1733</v>
      </c>
      <c r="B1794" s="138">
        <f>'Tax Sched 23'!F6</f>
        <v>1504919</v>
      </c>
      <c r="C1794" s="2" t="s">
        <v>573</v>
      </c>
      <c r="D1794" s="2" t="str">
        <f t="shared" si="27"/>
        <v>Error?</v>
      </c>
    </row>
    <row r="1795" spans="1:4" x14ac:dyDescent="0.2">
      <c r="A1795" s="5">
        <v>1734</v>
      </c>
      <c r="B1795" s="138">
        <f>'Tax Sched 23'!F7</f>
        <v>940397</v>
      </c>
      <c r="C1795" s="2" t="s">
        <v>573</v>
      </c>
      <c r="D1795" s="2" t="str">
        <f t="shared" si="27"/>
        <v>Error?</v>
      </c>
    </row>
    <row r="1796" spans="1:4" x14ac:dyDescent="0.2">
      <c r="A1796" s="5">
        <v>1735</v>
      </c>
      <c r="B1796" s="138">
        <f>'Tax Sched 23'!F8</f>
        <v>632212</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875112</v>
      </c>
      <c r="C1800" s="2" t="s">
        <v>573</v>
      </c>
      <c r="D1800" s="2" t="str">
        <f t="shared" si="27"/>
        <v>Error?</v>
      </c>
    </row>
    <row r="1801" spans="1:4" x14ac:dyDescent="0.2">
      <c r="A1801" s="5">
        <v>1740</v>
      </c>
      <c r="B1801" s="138">
        <f>'Tax Sched 23'!F12</f>
        <v>145932</v>
      </c>
      <c r="C1801" s="2" t="s">
        <v>573</v>
      </c>
      <c r="D1801" s="2" t="str">
        <f t="shared" si="27"/>
        <v>Error?</v>
      </c>
    </row>
    <row r="1802" spans="1:4" x14ac:dyDescent="0.2">
      <c r="A1802" s="5">
        <v>1741</v>
      </c>
      <c r="B1802" s="138">
        <f>'Tax Sched 23'!F14</f>
        <v>188176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19136763</v>
      </c>
      <c r="C1807" s="2" t="s">
        <v>573</v>
      </c>
      <c r="D1807" s="2" t="str">
        <f t="shared" si="27"/>
        <v>Error?</v>
      </c>
    </row>
    <row r="1808" spans="1:4" x14ac:dyDescent="0.2">
      <c r="A1808" s="5">
        <v>1747</v>
      </c>
      <c r="B1808" s="138">
        <f>'Tax Sched 23'!E4</f>
        <v>11849405</v>
      </c>
      <c r="D1808" s="2" t="str">
        <f t="shared" si="27"/>
        <v>Error?</v>
      </c>
    </row>
    <row r="1809" spans="1:4" x14ac:dyDescent="0.2">
      <c r="A1809" s="5">
        <v>1748</v>
      </c>
      <c r="B1809" s="138">
        <f>'Tax Sched 23'!E5</f>
        <v>2780978</v>
      </c>
      <c r="D1809" s="2" t="str">
        <f t="shared" si="27"/>
        <v>Error?</v>
      </c>
    </row>
    <row r="1810" spans="1:4" x14ac:dyDescent="0.2">
      <c r="A1810" s="5">
        <v>1749</v>
      </c>
      <c r="B1810" s="138">
        <f>'Tax Sched 23'!E6</f>
        <v>1548280</v>
      </c>
      <c r="D1810" s="2" t="str">
        <f t="shared" si="27"/>
        <v>Error?</v>
      </c>
    </row>
    <row r="1811" spans="1:4" x14ac:dyDescent="0.2">
      <c r="A1811" s="5">
        <v>1750</v>
      </c>
      <c r="B1811" s="138">
        <f>'Tax Sched 23'!E7</f>
        <v>967490</v>
      </c>
      <c r="D1811" s="2" t="str">
        <f t="shared" si="27"/>
        <v>Error?</v>
      </c>
    </row>
    <row r="1812" spans="1:4" x14ac:dyDescent="0.2">
      <c r="A1812" s="5">
        <v>1751</v>
      </c>
      <c r="B1812" s="138">
        <f>'Tax Sched 23'!E8</f>
        <v>650426</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900324</v>
      </c>
      <c r="D1816" s="2" t="str">
        <f t="shared" si="27"/>
        <v>Error?</v>
      </c>
    </row>
    <row r="1817" spans="1:4" x14ac:dyDescent="0.2">
      <c r="A1817" s="5">
        <v>1756</v>
      </c>
      <c r="B1817" s="138">
        <f>'Tax Sched 23'!E12</f>
        <v>150136</v>
      </c>
      <c r="D1817" s="2" t="str">
        <f t="shared" si="27"/>
        <v>Error?</v>
      </c>
    </row>
    <row r="1818" spans="1:4" x14ac:dyDescent="0.2">
      <c r="A1818" s="5">
        <v>1757</v>
      </c>
      <c r="B1818" s="138">
        <f>'Tax Sched 23'!E14</f>
        <v>193597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19688099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22029520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193513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193513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193513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40021</v>
      </c>
      <c r="D2008" s="2" t="str">
        <f t="shared" si="30"/>
        <v>Error?</v>
      </c>
    </row>
    <row r="2009" spans="1:4" x14ac:dyDescent="0.2">
      <c r="A2009" s="5">
        <v>1948</v>
      </c>
      <c r="B2009" s="138">
        <f>'Cap Outlay Deprec 26'!C8</f>
        <v>52582237</v>
      </c>
      <c r="D2009" s="2" t="str">
        <f t="shared" si="30"/>
        <v>Error?</v>
      </c>
    </row>
    <row r="2010" spans="1:4" x14ac:dyDescent="0.2">
      <c r="A2010" s="5">
        <v>1949</v>
      </c>
      <c r="B2010" s="138">
        <f>'Cap Outlay Deprec 26'!C10</f>
        <v>345025</v>
      </c>
      <c r="D2010" s="2" t="str">
        <f t="shared" si="30"/>
        <v>Error?</v>
      </c>
    </row>
    <row r="2011" spans="1:4" x14ac:dyDescent="0.2">
      <c r="A2011" s="5">
        <v>1950</v>
      </c>
      <c r="B2011" s="138">
        <f>'Cap Outlay Deprec 26'!C12</f>
        <v>6409933</v>
      </c>
      <c r="D2011" s="2" t="str">
        <f t="shared" si="30"/>
        <v>Error?</v>
      </c>
    </row>
    <row r="2012" spans="1:4" x14ac:dyDescent="0.2">
      <c r="A2012" s="5">
        <v>1951</v>
      </c>
      <c r="B2012" s="138">
        <f>'Cap Outlay Deprec 26'!C13</f>
        <v>2763950</v>
      </c>
      <c r="D2012" s="2" t="str">
        <f t="shared" si="30"/>
        <v>Error?</v>
      </c>
    </row>
    <row r="2013" spans="1:4" x14ac:dyDescent="0.2">
      <c r="A2013" s="5">
        <v>1952</v>
      </c>
      <c r="B2013" s="138">
        <f>'Cap Outlay Deprec 26'!C16</f>
        <v>62174534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364128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229383</v>
      </c>
      <c r="D2017" s="2" t="str">
        <f t="shared" si="30"/>
        <v>Error?</v>
      </c>
    </row>
    <row r="2018" spans="1:4" x14ac:dyDescent="0.2">
      <c r="A2018" s="5">
        <v>1957</v>
      </c>
      <c r="B2018" s="138">
        <f>'Cap Outlay Deprec 26'!D13</f>
        <v>221910</v>
      </c>
      <c r="D2018" s="2" t="str">
        <f t="shared" si="30"/>
        <v>Error?</v>
      </c>
    </row>
    <row r="2019" spans="1:4" x14ac:dyDescent="0.2">
      <c r="A2019" s="5">
        <v>1958</v>
      </c>
      <c r="B2019" s="138">
        <f>'Cap Outlay Deprec 26'!D16</f>
        <v>815421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495389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495389</v>
      </c>
      <c r="C2025" s="2" t="s">
        <v>573</v>
      </c>
      <c r="D2025" s="2" t="str">
        <f t="shared" si="30"/>
        <v>Error?</v>
      </c>
    </row>
    <row r="2026" spans="1:4" x14ac:dyDescent="0.2">
      <c r="A2026" s="5">
        <v>1965</v>
      </c>
      <c r="B2026" s="138">
        <f>'Cap Outlay Deprec 26'!F5</f>
        <v>40021</v>
      </c>
      <c r="C2026" s="2" t="s">
        <v>573</v>
      </c>
      <c r="D2026" s="2" t="str">
        <f t="shared" si="30"/>
        <v>Error?</v>
      </c>
    </row>
    <row r="2027" spans="1:4" x14ac:dyDescent="0.2">
      <c r="A2027" s="5">
        <v>1966</v>
      </c>
      <c r="B2027" s="138">
        <f>'Cap Outlay Deprec 26'!F8</f>
        <v>52946365</v>
      </c>
      <c r="C2027" s="2" t="s">
        <v>573</v>
      </c>
      <c r="D2027" s="2" t="str">
        <f t="shared" si="30"/>
        <v>Error?</v>
      </c>
    </row>
    <row r="2028" spans="1:4" x14ac:dyDescent="0.2">
      <c r="A2028" s="5">
        <v>1967</v>
      </c>
      <c r="B2028" s="138">
        <f>'Cap Outlay Deprec 26'!F10</f>
        <v>345025</v>
      </c>
      <c r="C2028" s="2" t="s">
        <v>573</v>
      </c>
      <c r="D2028" s="2" t="str">
        <f t="shared" si="30"/>
        <v>Error?</v>
      </c>
    </row>
    <row r="2029" spans="1:4" x14ac:dyDescent="0.2">
      <c r="A2029" s="5">
        <v>1968</v>
      </c>
      <c r="B2029" s="138">
        <f>'Cap Outlay Deprec 26'!F12</f>
        <v>6143927</v>
      </c>
      <c r="C2029" s="2" t="s">
        <v>573</v>
      </c>
      <c r="D2029" s="2" t="str">
        <f t="shared" si="30"/>
        <v>Error?</v>
      </c>
    </row>
    <row r="2030" spans="1:4" x14ac:dyDescent="0.2">
      <c r="A2030" s="5">
        <v>1969</v>
      </c>
      <c r="B2030" s="138">
        <f>'Cap Outlay Deprec 26'!F13</f>
        <v>2985860</v>
      </c>
      <c r="C2030" s="2" t="s">
        <v>573</v>
      </c>
      <c r="D2030" s="2" t="str">
        <f t="shared" si="30"/>
        <v>Error?</v>
      </c>
    </row>
    <row r="2031" spans="1:4" x14ac:dyDescent="0.2">
      <c r="A2031" s="5">
        <v>1970</v>
      </c>
      <c r="B2031" s="138">
        <f>'Cap Outlay Deprec 26'!F16</f>
        <v>62494566</v>
      </c>
      <c r="C2031" s="2" t="s">
        <v>573</v>
      </c>
      <c r="D2031" s="2" t="str">
        <f t="shared" si="30"/>
        <v>Error?</v>
      </c>
    </row>
    <row r="2032" spans="1:4" x14ac:dyDescent="0.2">
      <c r="A2032" s="10">
        <v>1971</v>
      </c>
      <c r="D2032" s="2" t="str">
        <f t="shared" si="30"/>
        <v>OK</v>
      </c>
    </row>
    <row r="2033" spans="1:4" x14ac:dyDescent="0.2">
      <c r="A2033" s="5">
        <v>1972</v>
      </c>
      <c r="B2033" s="138">
        <f>'Cap Outlay Deprec 26'!H8</f>
        <v>16837266</v>
      </c>
      <c r="D2033" s="2" t="str">
        <f t="shared" si="30"/>
        <v>Error?</v>
      </c>
    </row>
    <row r="2034" spans="1:4" x14ac:dyDescent="0.2">
      <c r="A2034" s="5">
        <v>1973</v>
      </c>
      <c r="B2034" s="138">
        <f>'Cap Outlay Deprec 26'!H10</f>
        <v>345021</v>
      </c>
      <c r="D2034" s="2" t="str">
        <f t="shared" si="30"/>
        <v>Error?</v>
      </c>
    </row>
    <row r="2035" spans="1:4" x14ac:dyDescent="0.2">
      <c r="A2035" s="5">
        <v>1974</v>
      </c>
      <c r="B2035" s="138">
        <f>'Cap Outlay Deprec 26'!H12</f>
        <v>2916376</v>
      </c>
      <c r="D2035" s="2" t="str">
        <f t="shared" si="30"/>
        <v>Error?</v>
      </c>
    </row>
    <row r="2036" spans="1:4" x14ac:dyDescent="0.2">
      <c r="A2036" s="5">
        <v>1975</v>
      </c>
      <c r="B2036" s="138">
        <f>'Cap Outlay Deprec 26'!H13</f>
        <v>2745623</v>
      </c>
      <c r="D2036" s="2" t="str">
        <f t="shared" si="30"/>
        <v>Error?</v>
      </c>
    </row>
    <row r="2037" spans="1:4" x14ac:dyDescent="0.2">
      <c r="A2037" s="5">
        <v>1976</v>
      </c>
      <c r="B2037" s="138">
        <f>'Cap Outlay Deprec 26'!H16</f>
        <v>22877654</v>
      </c>
      <c r="C2037" s="2" t="s">
        <v>573</v>
      </c>
      <c r="D2037" s="2" t="str">
        <f t="shared" si="30"/>
        <v>Error?</v>
      </c>
    </row>
    <row r="2038" spans="1:4" x14ac:dyDescent="0.2">
      <c r="A2038" s="10">
        <v>1977</v>
      </c>
      <c r="D2038" s="2" t="str">
        <f t="shared" si="30"/>
        <v>OK</v>
      </c>
    </row>
    <row r="2039" spans="1:4" x14ac:dyDescent="0.2">
      <c r="A2039" s="5">
        <v>1978</v>
      </c>
      <c r="B2039" s="138">
        <f>'Cap Outlay Deprec 26'!I8</f>
        <v>948647</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573355</v>
      </c>
      <c r="D2041" s="2" t="str">
        <f t="shared" si="30"/>
        <v>Error?</v>
      </c>
    </row>
    <row r="2042" spans="1:4" x14ac:dyDescent="0.2">
      <c r="A2042" s="5">
        <v>1981</v>
      </c>
      <c r="B2042" s="138">
        <f>'Cap Outlay Deprec 26'!I13</f>
        <v>202416</v>
      </c>
      <c r="D2042" s="2" t="str">
        <f t="shared" si="30"/>
        <v>Error?</v>
      </c>
    </row>
    <row r="2043" spans="1:4" x14ac:dyDescent="0.2">
      <c r="A2043" s="5">
        <v>1982</v>
      </c>
      <c r="B2043" s="138">
        <f>'Cap Outlay Deprec 26'!I16</f>
        <v>1724418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495389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495389</v>
      </c>
      <c r="C2049" s="2" t="s">
        <v>573</v>
      </c>
      <c r="D2049" s="2" t="str">
        <f t="shared" si="31"/>
        <v>Error?</v>
      </c>
    </row>
    <row r="2050" spans="1:4" x14ac:dyDescent="0.2">
      <c r="A2050" s="10">
        <v>1989</v>
      </c>
      <c r="D2050" s="2" t="str">
        <f t="shared" si="31"/>
        <v>OK</v>
      </c>
    </row>
    <row r="2051" spans="1:4" x14ac:dyDescent="0.2">
      <c r="A2051" s="5">
        <v>1990</v>
      </c>
      <c r="B2051" s="138">
        <f>'Cap Outlay Deprec 26'!K8</f>
        <v>17785913</v>
      </c>
      <c r="C2051" s="2" t="s">
        <v>573</v>
      </c>
      <c r="D2051" s="2" t="str">
        <f t="shared" si="31"/>
        <v>Error?</v>
      </c>
    </row>
    <row r="2052" spans="1:4" x14ac:dyDescent="0.2">
      <c r="A2052" s="5">
        <v>1991</v>
      </c>
      <c r="B2052" s="138">
        <f>'Cap Outlay Deprec 26'!K10</f>
        <v>345021</v>
      </c>
      <c r="C2052" s="2" t="s">
        <v>573</v>
      </c>
      <c r="D2052" s="2" t="str">
        <f t="shared" si="31"/>
        <v>Error?</v>
      </c>
    </row>
    <row r="2053" spans="1:4" x14ac:dyDescent="0.2">
      <c r="A2053" s="5">
        <v>1992</v>
      </c>
      <c r="B2053" s="138">
        <f>'Cap Outlay Deprec 26'!K12</f>
        <v>2994342</v>
      </c>
      <c r="C2053" s="2" t="s">
        <v>573</v>
      </c>
      <c r="D2053" s="2" t="str">
        <f t="shared" si="31"/>
        <v>Error?</v>
      </c>
    </row>
    <row r="2054" spans="1:4" x14ac:dyDescent="0.2">
      <c r="A2054" s="5">
        <v>1993</v>
      </c>
      <c r="B2054" s="138">
        <f>'Cap Outlay Deprec 26'!K13</f>
        <v>2948039</v>
      </c>
      <c r="C2054" s="2" t="s">
        <v>573</v>
      </c>
      <c r="D2054" s="2" t="str">
        <f t="shared" si="31"/>
        <v>Error?</v>
      </c>
    </row>
    <row r="2055" spans="1:4" x14ac:dyDescent="0.2">
      <c r="A2055" s="5">
        <v>1994</v>
      </c>
      <c r="B2055" s="138">
        <f>'Cap Outlay Deprec 26'!K16</f>
        <v>24106683</v>
      </c>
      <c r="C2055" s="2" t="s">
        <v>573</v>
      </c>
      <c r="D2055" s="2" t="str">
        <f t="shared" si="31"/>
        <v>Error?</v>
      </c>
    </row>
    <row r="2056" spans="1:4" x14ac:dyDescent="0.2">
      <c r="A2056" s="5">
        <v>1995</v>
      </c>
      <c r="B2056" s="138">
        <f>'Cap Outlay Deprec 26'!L5</f>
        <v>40021</v>
      </c>
      <c r="C2056" s="2" t="s">
        <v>573</v>
      </c>
      <c r="D2056" s="2" t="str">
        <f t="shared" si="31"/>
        <v>Error?</v>
      </c>
    </row>
    <row r="2057" spans="1:4" x14ac:dyDescent="0.2">
      <c r="A2057" s="5">
        <v>1996</v>
      </c>
      <c r="B2057" s="138">
        <f>'Cap Outlay Deprec 26'!L8</f>
        <v>35160452</v>
      </c>
      <c r="C2057" s="2" t="s">
        <v>573</v>
      </c>
      <c r="D2057" s="2" t="str">
        <f t="shared" si="31"/>
        <v>Error?</v>
      </c>
    </row>
    <row r="2058" spans="1:4" x14ac:dyDescent="0.2">
      <c r="A2058" s="5">
        <v>1997</v>
      </c>
      <c r="B2058" s="138">
        <f>'Cap Outlay Deprec 26'!L10</f>
        <v>4</v>
      </c>
      <c r="C2058" s="2" t="s">
        <v>573</v>
      </c>
      <c r="D2058" s="2" t="str">
        <f t="shared" si="31"/>
        <v>Error?</v>
      </c>
    </row>
    <row r="2059" spans="1:4" x14ac:dyDescent="0.2">
      <c r="A2059" s="5">
        <v>1998</v>
      </c>
      <c r="B2059" s="138">
        <f>'Cap Outlay Deprec 26'!L12</f>
        <v>3149585</v>
      </c>
      <c r="C2059" s="2" t="s">
        <v>573</v>
      </c>
      <c r="D2059" s="2" t="str">
        <f t="shared" si="31"/>
        <v>Error?</v>
      </c>
    </row>
    <row r="2060" spans="1:4" x14ac:dyDescent="0.2">
      <c r="A2060" s="5">
        <v>1999</v>
      </c>
      <c r="B2060" s="138">
        <f>'Cap Outlay Deprec 26'!L13</f>
        <v>37821</v>
      </c>
      <c r="C2060" s="2" t="s">
        <v>573</v>
      </c>
      <c r="D2060" s="2" t="str">
        <f t="shared" si="31"/>
        <v>Error?</v>
      </c>
    </row>
    <row r="2061" spans="1:4" x14ac:dyDescent="0.2">
      <c r="A2061" s="5">
        <v>2000</v>
      </c>
      <c r="B2061" s="138">
        <f>'Cap Outlay Deprec 26'!L16</f>
        <v>38387883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15077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15077</v>
      </c>
      <c r="C2088" s="2" t="s">
        <v>573</v>
      </c>
      <c r="D2088" s="2" t="str">
        <f t="shared" si="31"/>
        <v>Error?</v>
      </c>
    </row>
    <row r="2089" spans="1:4" x14ac:dyDescent="0.2">
      <c r="A2089" s="5">
        <v>2028</v>
      </c>
      <c r="B2089" s="138">
        <f>'Expenditures 15-22'!K92</f>
        <v>3700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50025</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326678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13988381</v>
      </c>
      <c r="C2551" s="2" t="s">
        <v>573</v>
      </c>
      <c r="D2551" s="2" t="str">
        <f t="shared" si="38"/>
        <v>Error?</v>
      </c>
    </row>
    <row r="2552" spans="1:4" x14ac:dyDescent="0.2">
      <c r="A2552" s="10">
        <v>2491</v>
      </c>
      <c r="D2552" s="2" t="str">
        <f t="shared" si="38"/>
        <v>OK</v>
      </c>
    </row>
    <row r="2553" spans="1:4" x14ac:dyDescent="0.2">
      <c r="A2553" s="5">
        <v>2492</v>
      </c>
      <c r="B2553" s="138">
        <f>'Acct Summary 7-8'!C6</f>
        <v>2676501</v>
      </c>
      <c r="C2553" s="2" t="s">
        <v>573</v>
      </c>
      <c r="D2553" s="2" t="str">
        <f t="shared" si="38"/>
        <v>Error?</v>
      </c>
    </row>
    <row r="2554" spans="1:4" x14ac:dyDescent="0.2">
      <c r="A2554" s="5">
        <v>2493</v>
      </c>
      <c r="B2554" s="138">
        <f>'Acct Summary 7-8'!C7</f>
        <v>2198567</v>
      </c>
      <c r="C2554" s="2" t="s">
        <v>573</v>
      </c>
      <c r="D2554" s="2" t="str">
        <f t="shared" si="38"/>
        <v>Error?</v>
      </c>
    </row>
    <row r="2555" spans="1:4" x14ac:dyDescent="0.2">
      <c r="A2555" s="5">
        <v>2494</v>
      </c>
      <c r="B2555" s="138">
        <f>'Acct Summary 7-8'!C8</f>
        <v>18863449</v>
      </c>
      <c r="C2555" s="2" t="s">
        <v>573</v>
      </c>
      <c r="D2555" s="2" t="str">
        <f t="shared" si="38"/>
        <v>Error?</v>
      </c>
    </row>
    <row r="2556" spans="1:4" x14ac:dyDescent="0.2">
      <c r="A2556" s="5">
        <v>2495</v>
      </c>
      <c r="B2556" s="138">
        <f>'Acct Summary 7-8'!C12</f>
        <v>12382144</v>
      </c>
      <c r="C2556" s="2" t="s">
        <v>573</v>
      </c>
      <c r="D2556" s="2" t="str">
        <f t="shared" si="38"/>
        <v>Error?</v>
      </c>
    </row>
    <row r="2557" spans="1:4" x14ac:dyDescent="0.2">
      <c r="A2557" s="5">
        <v>2496</v>
      </c>
      <c r="B2557" s="138">
        <f>'Acct Summary 7-8'!C13</f>
        <v>5334523</v>
      </c>
      <c r="C2557" s="2" t="s">
        <v>573</v>
      </c>
      <c r="D2557" s="2" t="str">
        <f t="shared" si="38"/>
        <v>Error?</v>
      </c>
    </row>
    <row r="2558" spans="1:4" x14ac:dyDescent="0.2">
      <c r="A2558" s="5">
        <v>2497</v>
      </c>
      <c r="B2558" s="138">
        <f>'Acct Summary 7-8'!C14</f>
        <v>32280</v>
      </c>
      <c r="C2558" s="2" t="s">
        <v>573</v>
      </c>
      <c r="D2558" s="2" t="str">
        <f t="shared" si="38"/>
        <v>Error?</v>
      </c>
    </row>
    <row r="2559" spans="1:4" x14ac:dyDescent="0.2">
      <c r="A2559" s="5">
        <v>2498</v>
      </c>
      <c r="B2559" s="138">
        <f>'Acct Summary 7-8'!C15</f>
        <v>18777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17767724</v>
      </c>
      <c r="C2561" s="2" t="s">
        <v>573</v>
      </c>
      <c r="D2561" s="2" t="str">
        <f t="shared" si="39"/>
        <v>Error?</v>
      </c>
    </row>
    <row r="2562" spans="1:4" x14ac:dyDescent="0.2">
      <c r="A2562" s="5">
        <v>2501</v>
      </c>
      <c r="B2562" s="138">
        <f>'Acct Summary 7-8'!C20</f>
        <v>1095725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2854156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2854156</v>
      </c>
      <c r="C2568" s="2" t="s">
        <v>573</v>
      </c>
      <c r="D2568" s="2" t="str">
        <f t="shared" si="39"/>
        <v>Error?</v>
      </c>
    </row>
    <row r="2569" spans="1:4" x14ac:dyDescent="0.2">
      <c r="A2569" s="5">
        <v>2508</v>
      </c>
      <c r="B2569" s="138">
        <f>'Acct Summary 7-8'!D13</f>
        <v>2618838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2618838</v>
      </c>
      <c r="C2573" s="2" t="s">
        <v>573</v>
      </c>
      <c r="D2573" s="2" t="str">
        <f t="shared" si="39"/>
        <v>Error?</v>
      </c>
    </row>
    <row r="2574" spans="1:4" x14ac:dyDescent="0.2">
      <c r="A2574" s="5">
        <v>2513</v>
      </c>
      <c r="B2574" s="138">
        <f>'Acct Summary 7-8'!D20</f>
        <v>235318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1005576</v>
      </c>
      <c r="C2591" s="2" t="s">
        <v>573</v>
      </c>
      <c r="D2591" s="2" t="str">
        <f t="shared" si="39"/>
        <v>Error?</v>
      </c>
    </row>
    <row r="2592" spans="1:4" x14ac:dyDescent="0.2">
      <c r="A2592" s="10">
        <v>2531</v>
      </c>
      <c r="D2592" s="2" t="str">
        <f t="shared" si="39"/>
        <v>OK</v>
      </c>
    </row>
    <row r="2593" spans="1:4" x14ac:dyDescent="0.2">
      <c r="A2593" s="5">
        <v>2532</v>
      </c>
      <c r="B2593" s="138">
        <f>'Acct Summary 7-8'!F6</f>
        <v>207866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1213442</v>
      </c>
      <c r="C2595" s="2" t="s">
        <v>573</v>
      </c>
      <c r="D2595" s="2" t="str">
        <f t="shared" si="39"/>
        <v>Error?</v>
      </c>
    </row>
    <row r="2596" spans="1:4" x14ac:dyDescent="0.2">
      <c r="A2596" s="5">
        <v>2535</v>
      </c>
      <c r="B2596" s="138">
        <f>'Acct Summary 7-8'!F13</f>
        <v>1184296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1184296</v>
      </c>
      <c r="C2600" s="2" t="s">
        <v>573</v>
      </c>
      <c r="D2600" s="2" t="str">
        <f t="shared" si="39"/>
        <v>Error?</v>
      </c>
    </row>
    <row r="2601" spans="1:4" x14ac:dyDescent="0.2">
      <c r="A2601" s="5">
        <v>2540</v>
      </c>
      <c r="B2601" s="138">
        <f>'Acct Summary 7-8'!F20</f>
        <v>29146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1083136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1083136</v>
      </c>
      <c r="C2606" s="2" t="s">
        <v>573</v>
      </c>
      <c r="D2606" s="2" t="str">
        <f t="shared" si="39"/>
        <v>Error?</v>
      </c>
    </row>
    <row r="2607" spans="1:4" x14ac:dyDescent="0.2">
      <c r="A2607" s="5">
        <v>2546</v>
      </c>
      <c r="B2607" s="138">
        <f>'Acct Summary 7-8'!G12</f>
        <v>255685</v>
      </c>
      <c r="C2607" s="2" t="s">
        <v>573</v>
      </c>
      <c r="D2607" s="2" t="str">
        <f t="shared" si="39"/>
        <v>Error?</v>
      </c>
    </row>
    <row r="2608" spans="1:4" x14ac:dyDescent="0.2">
      <c r="A2608" s="5">
        <v>2547</v>
      </c>
      <c r="B2608" s="138">
        <f>'Acct Summary 7-8'!G13</f>
        <v>711175</v>
      </c>
      <c r="C2608" s="2" t="s">
        <v>573</v>
      </c>
      <c r="D2608" s="2" t="str">
        <f t="shared" si="39"/>
        <v>Error?</v>
      </c>
    </row>
    <row r="2609" spans="1:4" x14ac:dyDescent="0.2">
      <c r="A2609" s="5">
        <v>2548</v>
      </c>
      <c r="B2609" s="138">
        <f>'Acct Summary 7-8'!G14</f>
        <v>6296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973156</v>
      </c>
      <c r="C2612" s="2" t="s">
        <v>573</v>
      </c>
      <c r="D2612" s="2" t="str">
        <f t="shared" si="39"/>
        <v>Error?</v>
      </c>
    </row>
    <row r="2613" spans="1:4" x14ac:dyDescent="0.2">
      <c r="A2613" s="5">
        <v>2552</v>
      </c>
      <c r="B2613" s="138">
        <f>'Acct Summary 7-8'!G20</f>
        <v>109980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2107728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2107728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3354606</v>
      </c>
      <c r="C2634" s="2" t="s">
        <v>573</v>
      </c>
      <c r="D2634" s="2" t="str">
        <f t="shared" si="40"/>
        <v>Error?</v>
      </c>
    </row>
    <row r="2635" spans="1:4" x14ac:dyDescent="0.2">
      <c r="A2635" s="5">
        <v>2574</v>
      </c>
      <c r="B2635" s="138">
        <f>'Acct Summary 7-8'!E17</f>
        <v>3354606</v>
      </c>
      <c r="C2635" s="2" t="s">
        <v>573</v>
      </c>
      <c r="D2635" s="2" t="str">
        <f t="shared" si="40"/>
        <v>Error?</v>
      </c>
    </row>
    <row r="2636" spans="1:4" x14ac:dyDescent="0.2">
      <c r="A2636" s="5">
        <v>2575</v>
      </c>
      <c r="B2636" s="138">
        <f>'Acct Summary 7-8'!E20</f>
        <v>-1246878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12006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12006</v>
      </c>
      <c r="C2658" s="2" t="s">
        <v>573</v>
      </c>
      <c r="D2658" s="2" t="str">
        <f t="shared" si="40"/>
        <v>Error?</v>
      </c>
    </row>
    <row r="2659" spans="1:4" x14ac:dyDescent="0.2">
      <c r="A2659" s="5">
        <v>2598</v>
      </c>
      <c r="B2659" s="138">
        <f>'Acct Summary 7-8'!H13</f>
        <v>155940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155940</v>
      </c>
      <c r="C2661" s="2" t="s">
        <v>573</v>
      </c>
      <c r="D2661" s="2" t="str">
        <f t="shared" si="40"/>
        <v>Error?</v>
      </c>
    </row>
    <row r="2662" spans="1:4" x14ac:dyDescent="0.2">
      <c r="A2662" s="5">
        <v>2601</v>
      </c>
      <c r="B2662" s="138">
        <f>'Acct Summary 7-8'!H20</f>
        <v>-143934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137937</v>
      </c>
      <c r="D2718" s="2" t="str">
        <f t="shared" si="41"/>
        <v>Error?</v>
      </c>
    </row>
    <row r="2719" spans="1:4" x14ac:dyDescent="0.2">
      <c r="A2719" s="5">
        <v>2658</v>
      </c>
      <c r="B2719" s="138">
        <f>'Expenditures 15-22'!D51</f>
        <v>24691</v>
      </c>
      <c r="D2719" s="2" t="str">
        <f t="shared" si="41"/>
        <v>Error?</v>
      </c>
    </row>
    <row r="2720" spans="1:4" x14ac:dyDescent="0.2">
      <c r="A2720" s="5">
        <v>2659</v>
      </c>
      <c r="B2720" s="138">
        <f>'Expenditures 15-22'!E51</f>
        <v>947</v>
      </c>
      <c r="D2720" s="2" t="str">
        <f t="shared" si="41"/>
        <v>Error?</v>
      </c>
    </row>
    <row r="2721" spans="1:4" x14ac:dyDescent="0.2">
      <c r="A2721" s="5">
        <v>2660</v>
      </c>
      <c r="B2721" s="138">
        <f>'Expenditures 15-22'!F51</f>
        <v>1365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164940</v>
      </c>
      <c r="C2724" s="2" t="s">
        <v>573</v>
      </c>
      <c r="D2724" s="2" t="str">
        <f t="shared" si="41"/>
        <v>Error?</v>
      </c>
    </row>
    <row r="2725" spans="1:4" x14ac:dyDescent="0.2">
      <c r="A2725" s="5">
        <v>2664</v>
      </c>
      <c r="B2725" s="138">
        <f>'Expenditures 15-22'!D247</f>
        <v>7443</v>
      </c>
      <c r="D2725" s="2" t="str">
        <f t="shared" si="41"/>
        <v>Error?</v>
      </c>
    </row>
    <row r="2726" spans="1:4" x14ac:dyDescent="0.2">
      <c r="A2726" s="5">
        <v>2665</v>
      </c>
      <c r="B2726" s="138">
        <f>'Expenditures 15-22'!K247</f>
        <v>7443</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2344687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182358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2344687</v>
      </c>
      <c r="D2912" s="2" t="str">
        <f t="shared" si="44"/>
        <v>Error?</v>
      </c>
    </row>
    <row r="2913" spans="1:4" x14ac:dyDescent="0.2">
      <c r="A2913" s="5">
        <v>2852</v>
      </c>
      <c r="B2913" s="138">
        <f>'Assets-Liab 5-6'!I41</f>
        <v>2344687</v>
      </c>
      <c r="C2913" s="2" t="s">
        <v>573</v>
      </c>
      <c r="D2913" s="2" t="str">
        <f t="shared" si="44"/>
        <v>Error?</v>
      </c>
    </row>
    <row r="2914" spans="1:4" x14ac:dyDescent="0.2">
      <c r="A2914" s="5">
        <v>2853</v>
      </c>
      <c r="B2914" s="138">
        <f>'Assets-Liab 5-6'!L33</f>
        <v>182358</v>
      </c>
      <c r="D2914" s="2" t="str">
        <f t="shared" si="44"/>
        <v>Error?</v>
      </c>
    </row>
    <row r="2915" spans="1:4" x14ac:dyDescent="0.2">
      <c r="A2915" s="10">
        <v>2854</v>
      </c>
      <c r="D2915" s="2" t="str">
        <f t="shared" si="44"/>
        <v>OK</v>
      </c>
    </row>
    <row r="2916" spans="1:4" x14ac:dyDescent="0.2">
      <c r="A2916" s="5">
        <v>2855</v>
      </c>
      <c r="B2916" s="138">
        <f>'Assets-Liab 5-6'!L34</f>
        <v>182358</v>
      </c>
      <c r="C2916" s="2" t="s">
        <v>573</v>
      </c>
      <c r="D2916" s="2" t="str">
        <f t="shared" si="44"/>
        <v>Error?</v>
      </c>
    </row>
    <row r="2917" spans="1:4" x14ac:dyDescent="0.2">
      <c r="A2917" s="5">
        <v>2856</v>
      </c>
      <c r="B2917" s="138">
        <f>'Assets-Liab 5-6'!L41</f>
        <v>182358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15077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15077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270268</v>
      </c>
      <c r="D3055" s="2" t="str">
        <f t="shared" si="46"/>
        <v>Error?</v>
      </c>
    </row>
    <row r="3056" spans="1:4" x14ac:dyDescent="0.2">
      <c r="A3056" s="5">
        <v>2995</v>
      </c>
      <c r="B3056" s="138">
        <f>'Expenditures 15-22'!D10</f>
        <v>58993</v>
      </c>
      <c r="D3056" s="2" t="str">
        <f t="shared" si="46"/>
        <v>Error?</v>
      </c>
    </row>
    <row r="3057" spans="1:4" x14ac:dyDescent="0.2">
      <c r="A3057" s="5">
        <v>2996</v>
      </c>
      <c r="B3057" s="138">
        <f>'Expenditures 15-22'!E10</f>
        <v>3133</v>
      </c>
      <c r="D3057" s="2" t="str">
        <f t="shared" si="46"/>
        <v>Error?</v>
      </c>
    </row>
    <row r="3058" spans="1:4" x14ac:dyDescent="0.2">
      <c r="A3058" s="5">
        <v>2997</v>
      </c>
      <c r="B3058" s="138">
        <f>'Expenditures 15-22'!F10</f>
        <v>43338</v>
      </c>
      <c r="D3058" s="2" t="str">
        <f t="shared" si="46"/>
        <v>Error?</v>
      </c>
    </row>
    <row r="3059" spans="1:4" x14ac:dyDescent="0.2">
      <c r="A3059" s="5">
        <v>2998</v>
      </c>
      <c r="B3059" s="138">
        <f>'Expenditures 15-22'!G10</f>
        <v>16182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391914</v>
      </c>
      <c r="C3062" s="2" t="s">
        <v>573</v>
      </c>
      <c r="D3062" s="2" t="str">
        <f t="shared" si="46"/>
        <v>Error?</v>
      </c>
    </row>
    <row r="3063" spans="1:4" x14ac:dyDescent="0.2">
      <c r="A3063" s="10">
        <v>3002</v>
      </c>
      <c r="D3063" s="2" t="str">
        <f t="shared" si="46"/>
        <v>OK</v>
      </c>
    </row>
    <row r="3064" spans="1:4" x14ac:dyDescent="0.2">
      <c r="A3064" s="5">
        <v>3003</v>
      </c>
      <c r="B3064" s="138">
        <f>'Expenditures 15-22'!D219</f>
        <v>27514</v>
      </c>
      <c r="D3064" s="2" t="str">
        <f t="shared" si="46"/>
        <v>Error?</v>
      </c>
    </row>
    <row r="3065" spans="1:4" x14ac:dyDescent="0.2">
      <c r="A3065" s="5">
        <v>3004</v>
      </c>
      <c r="B3065" s="138">
        <f>'Expenditures 15-22'!K219</f>
        <v>27514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53087</v>
      </c>
      <c r="C3225" s="2" t="s">
        <v>573</v>
      </c>
      <c r="D3225" s="2" t="str">
        <f t="shared" si="49"/>
        <v>Error?</v>
      </c>
    </row>
    <row r="3226" spans="1:4" x14ac:dyDescent="0.2">
      <c r="A3226" s="5">
        <v>3165</v>
      </c>
      <c r="B3226" s="138">
        <f>'Acct Summary 7-8'!I8</f>
        <v>53087</v>
      </c>
      <c r="C3226" s="2" t="s">
        <v>573</v>
      </c>
      <c r="D3226" s="2" t="str">
        <f t="shared" si="49"/>
        <v>Error?</v>
      </c>
    </row>
    <row r="3227" spans="1:4" x14ac:dyDescent="0.2">
      <c r="A3227" s="5">
        <v>3166</v>
      </c>
      <c r="B3227" s="138">
        <f>'Acct Summary 7-8'!I20</f>
        <v>53087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50025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240000</v>
      </c>
      <c r="C3231" s="2" t="s">
        <v>573</v>
      </c>
      <c r="D3231" s="2" t="str">
        <f t="shared" si="49"/>
        <v>Error?</v>
      </c>
    </row>
    <row r="3232" spans="1:4" x14ac:dyDescent="0.2">
      <c r="A3232" s="5">
        <v>3171</v>
      </c>
      <c r="B3232" s="138">
        <f>'Acct Summary 7-8'!C77</f>
        <v>-189975</v>
      </c>
      <c r="C3232" s="2" t="s">
        <v>573</v>
      </c>
      <c r="D3232" s="2" t="str">
        <f t="shared" si="49"/>
        <v>Error?</v>
      </c>
    </row>
    <row r="3233" spans="1:4" x14ac:dyDescent="0.2">
      <c r="A3233" s="5">
        <v>3172</v>
      </c>
      <c r="B3233" s="138">
        <f>'Acct Summary 7-8'!C78</f>
        <v>905750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235318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29146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109980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240000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240000</v>
      </c>
      <c r="C3277" s="2" t="s">
        <v>573</v>
      </c>
      <c r="D3277" s="2" t="str">
        <f t="shared" si="50"/>
        <v>Error?</v>
      </c>
    </row>
    <row r="3278" spans="1:4" x14ac:dyDescent="0.2">
      <c r="A3278" s="5">
        <v>3217</v>
      </c>
      <c r="B3278" s="138">
        <f>'Acct Summary 7-8'!E78</f>
        <v>-1006878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-143934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50025</v>
      </c>
      <c r="C3318" s="2" t="s">
        <v>573</v>
      </c>
      <c r="D3318" s="2" t="str">
        <f t="shared" si="50"/>
        <v>Error?</v>
      </c>
    </row>
    <row r="3319" spans="1:4" x14ac:dyDescent="0.2">
      <c r="A3319" s="5">
        <v>3258</v>
      </c>
      <c r="B3319" s="138">
        <f>'Acct Summary 7-8'!I77</f>
        <v>-50025</v>
      </c>
      <c r="C3319" s="2" t="s">
        <v>573</v>
      </c>
      <c r="D3319" s="2" t="str">
        <f t="shared" si="50"/>
        <v>Error?</v>
      </c>
    </row>
    <row r="3320" spans="1:4" x14ac:dyDescent="0.2">
      <c r="A3320" s="5">
        <v>3259</v>
      </c>
      <c r="B3320" s="138">
        <f>'Acct Summary 7-8'!I78</f>
        <v>3062</v>
      </c>
      <c r="C3320" s="2" t="s">
        <v>573</v>
      </c>
      <c r="D3320" s="2" t="str">
        <f t="shared" si="50"/>
        <v>Error?</v>
      </c>
    </row>
    <row r="3321" spans="1:4" x14ac:dyDescent="0.2">
      <c r="A3321" s="5">
        <v>3260</v>
      </c>
      <c r="B3321" s="138">
        <f>'Acct Summary 7-8'!I79</f>
        <v>2341625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2344687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1537248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285235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100210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7763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5451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1936256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66594</v>
      </c>
      <c r="D3387" s="2" t="str">
        <f t="shared" si="51"/>
        <v>Error?</v>
      </c>
    </row>
    <row r="3388" spans="1:4" x14ac:dyDescent="0.2">
      <c r="A3388" s="5">
        <v>3327</v>
      </c>
      <c r="B3388" s="138">
        <f>'Expenditures 15-22'!D217</f>
        <v>95751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66594</v>
      </c>
      <c r="C3390" s="2" t="s">
        <v>573</v>
      </c>
      <c r="D3390" s="2" t="str">
        <f t="shared" si="51"/>
        <v>Error?</v>
      </c>
    </row>
    <row r="3391" spans="1:4" x14ac:dyDescent="0.2">
      <c r="A3391" s="5">
        <v>3330</v>
      </c>
      <c r="B3391" s="138">
        <f>'Expenditures 15-22'!K217</f>
        <v>95751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12912158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2088578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169125</v>
      </c>
      <c r="D3417" s="2" t="str">
        <f t="shared" si="52"/>
        <v>Error?</v>
      </c>
    </row>
    <row r="3418" spans="1:4" x14ac:dyDescent="0.2">
      <c r="A3418" s="10">
        <v>3357</v>
      </c>
      <c r="D3418" s="2" t="str">
        <f t="shared" si="52"/>
        <v>OK</v>
      </c>
    </row>
    <row r="3419" spans="1:4" x14ac:dyDescent="0.2">
      <c r="A3419" s="5">
        <v>3358</v>
      </c>
      <c r="B3419" s="138">
        <f>'Assets-Liab 5-6'!F4</f>
        <v>1168609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835578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525117</v>
      </c>
      <c r="D3425" s="2" t="str">
        <f t="shared" si="52"/>
        <v>Error?</v>
      </c>
    </row>
    <row r="3426" spans="1:4" x14ac:dyDescent="0.2">
      <c r="A3426" s="10">
        <v>3365</v>
      </c>
      <c r="D3426" s="2" t="str">
        <f t="shared" si="52"/>
        <v>OK</v>
      </c>
    </row>
    <row r="3427" spans="1:4" x14ac:dyDescent="0.2">
      <c r="A3427" s="5">
        <v>3366</v>
      </c>
      <c r="B3427" s="138">
        <f>'Assets-Liab 5-6'!I4</f>
        <v>2344687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182358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396936</v>
      </c>
      <c r="C3446" s="2" t="s">
        <v>573</v>
      </c>
      <c r="D3446" s="2" t="str">
        <f t="shared" si="52"/>
        <v>Error?</v>
      </c>
    </row>
    <row r="3447" spans="1:4" x14ac:dyDescent="0.2">
      <c r="A3447" s="5">
        <v>3386</v>
      </c>
      <c r="B3447" s="138">
        <f>'Tax Sched 23'!D16</f>
        <v>385581</v>
      </c>
      <c r="C3447" s="2" t="s">
        <v>573</v>
      </c>
      <c r="D3447" s="2" t="str">
        <f t="shared" si="52"/>
        <v>Error?</v>
      </c>
    </row>
    <row r="3448" spans="1:4" x14ac:dyDescent="0.2">
      <c r="A3448" s="5">
        <v>3387</v>
      </c>
      <c r="B3448" s="138">
        <f>'Tax Sched 23'!C16</f>
        <v>11355</v>
      </c>
      <c r="D3448" s="2" t="str">
        <f t="shared" si="52"/>
        <v>Error?</v>
      </c>
    </row>
    <row r="3449" spans="1:4" x14ac:dyDescent="0.2">
      <c r="A3449" s="5">
        <v>3388</v>
      </c>
      <c r="B3449" s="138">
        <f>'Tax Sched 23'!F16</f>
        <v>394112</v>
      </c>
      <c r="C3449" s="2" t="s">
        <v>573</v>
      </c>
      <c r="D3449" s="2" t="str">
        <f t="shared" si="52"/>
        <v>Error?</v>
      </c>
    </row>
    <row r="3450" spans="1:4" x14ac:dyDescent="0.2">
      <c r="A3450" s="5">
        <v>3389</v>
      </c>
      <c r="B3450" s="138">
        <f>'Tax Sched 23'!E16</f>
        <v>405467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261546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261546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261546</v>
      </c>
      <c r="D3567" s="2" t="str">
        <f t="shared" si="54"/>
        <v>Error?</v>
      </c>
    </row>
    <row r="3568" spans="1:4" x14ac:dyDescent="0.2">
      <c r="A3568" s="5">
        <v>3507</v>
      </c>
      <c r="B3568" s="138">
        <f>'Assets-Liab 5-6'!K41</f>
        <v>261546</v>
      </c>
      <c r="C3568" s="2" t="s">
        <v>573</v>
      </c>
      <c r="D3568" s="2" t="str">
        <f t="shared" si="54"/>
        <v>Error?</v>
      </c>
    </row>
    <row r="3569" spans="1:4" x14ac:dyDescent="0.2">
      <c r="A3569" s="5">
        <v>3508</v>
      </c>
      <c r="B3569" s="138">
        <f>'Acct Summary 7-8'!K4</f>
        <v>246272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246272</v>
      </c>
      <c r="C3571" s="2" t="s">
        <v>573</v>
      </c>
      <c r="D3571" s="2" t="str">
        <f t="shared" si="54"/>
        <v>Error?</v>
      </c>
    </row>
    <row r="3572" spans="1:4" x14ac:dyDescent="0.2">
      <c r="A3572" s="5">
        <v>3511</v>
      </c>
      <c r="B3572" s="138">
        <f>'Acct Summary 7-8'!K13</f>
        <v>210773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210773</v>
      </c>
      <c r="C3575" s="2" t="s">
        <v>573</v>
      </c>
      <c r="D3575" s="2" t="str">
        <f t="shared" si="54"/>
        <v>Error?</v>
      </c>
    </row>
    <row r="3576" spans="1:4" x14ac:dyDescent="0.2">
      <c r="A3576" s="5">
        <v>3515</v>
      </c>
      <c r="B3576" s="138">
        <f>'Acct Summary 7-8'!K20</f>
        <v>35499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35499</v>
      </c>
      <c r="C3588" s="2" t="s">
        <v>573</v>
      </c>
      <c r="D3588" s="2" t="str">
        <f t="shared" si="55"/>
        <v>Error?</v>
      </c>
    </row>
    <row r="3589" spans="1:4" x14ac:dyDescent="0.2">
      <c r="A3589" s="5">
        <v>3528</v>
      </c>
      <c r="B3589" s="138">
        <f>'Acct Summary 7-8'!K79</f>
        <v>226047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261546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10203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10203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10203</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200570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200570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200570</v>
      </c>
      <c r="C3649" s="2" t="s">
        <v>573</v>
      </c>
      <c r="D3649" s="2" t="str">
        <f t="shared" si="56"/>
        <v>Error?</v>
      </c>
    </row>
    <row r="3650" spans="1:4" x14ac:dyDescent="0.2">
      <c r="A3650" s="5">
        <v>3589</v>
      </c>
      <c r="B3650" s="138">
        <f>'Expenditures 15-22'!G367</f>
        <v>200570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210773</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210773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210773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210773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35499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241881</v>
      </c>
      <c r="C3725" s="2" t="s">
        <v>573</v>
      </c>
      <c r="D3725" s="2" t="str">
        <f t="shared" si="57"/>
        <v>Error?</v>
      </c>
    </row>
    <row r="3726" spans="1:4" x14ac:dyDescent="0.2">
      <c r="A3726" s="5">
        <v>3665</v>
      </c>
      <c r="B3726" s="138">
        <f>'Tax Sched 23'!D13</f>
        <v>235105</v>
      </c>
      <c r="C3726" s="2" t="s">
        <v>573</v>
      </c>
      <c r="D3726" s="2" t="str">
        <f t="shared" si="57"/>
        <v>Error?</v>
      </c>
    </row>
    <row r="3727" spans="1:4" x14ac:dyDescent="0.2">
      <c r="A3727" s="5">
        <v>3666</v>
      </c>
      <c r="B3727" s="138">
        <f>'Tax Sched 23'!C13</f>
        <v>6776</v>
      </c>
      <c r="D3727" s="2" t="str">
        <f t="shared" si="57"/>
        <v>Error?</v>
      </c>
    </row>
    <row r="3728" spans="1:4" x14ac:dyDescent="0.2">
      <c r="A3728" s="5">
        <v>3667</v>
      </c>
      <c r="B3728" s="138">
        <f>'Tax Sched 23'!F13</f>
        <v>235220</v>
      </c>
      <c r="C3728" s="2" t="s">
        <v>573</v>
      </c>
      <c r="D3728" s="2" t="str">
        <f t="shared" si="57"/>
        <v>Error?</v>
      </c>
    </row>
    <row r="3729" spans="1:4" x14ac:dyDescent="0.2">
      <c r="A3729" s="5">
        <v>3668</v>
      </c>
      <c r="B3729" s="138">
        <f>'Tax Sched 23'!E13</f>
        <v>241996</v>
      </c>
      <c r="D3729" s="2" t="str">
        <f t="shared" si="57"/>
        <v>Error?</v>
      </c>
    </row>
    <row r="3730" spans="1:4" x14ac:dyDescent="0.2">
      <c r="A3730" s="5">
        <v>3669</v>
      </c>
      <c r="B3730" s="138">
        <f>'ICR Computation 30'!E10</f>
        <v>427805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8761480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27624929</v>
      </c>
      <c r="C4122" s="2" t="s">
        <v>573</v>
      </c>
      <c r="D4122" s="2" t="str">
        <f t="shared" si="63"/>
        <v>Error?</v>
      </c>
    </row>
    <row r="4123" spans="1:4" x14ac:dyDescent="0.2">
      <c r="A4123" s="5">
        <v>4062</v>
      </c>
      <c r="B4123" s="138">
        <f>'Acct Summary 7-8'!D10</f>
        <v>2854156</v>
      </c>
      <c r="C4123" s="2" t="s">
        <v>573</v>
      </c>
      <c r="D4123" s="2" t="str">
        <f t="shared" si="63"/>
        <v>Error?</v>
      </c>
    </row>
    <row r="4124" spans="1:4" x14ac:dyDescent="0.2">
      <c r="A4124" s="5">
        <v>4063</v>
      </c>
      <c r="B4124" s="138">
        <f>'Acct Summary 7-8'!E10</f>
        <v>2107728</v>
      </c>
      <c r="C4124" s="2" t="s">
        <v>573</v>
      </c>
      <c r="D4124" s="2" t="str">
        <f t="shared" si="63"/>
        <v>Error?</v>
      </c>
    </row>
    <row r="4125" spans="1:4" x14ac:dyDescent="0.2">
      <c r="A4125" s="5">
        <v>4064</v>
      </c>
      <c r="B4125" s="138">
        <f>'Acct Summary 7-8'!F10</f>
        <v>1213442</v>
      </c>
      <c r="C4125" s="2" t="s">
        <v>573</v>
      </c>
      <c r="D4125" s="2" t="str">
        <f t="shared" si="63"/>
        <v>Error?</v>
      </c>
    </row>
    <row r="4126" spans="1:4" x14ac:dyDescent="0.2">
      <c r="A4126" s="5">
        <v>4065</v>
      </c>
      <c r="B4126" s="138">
        <f>'Acct Summary 7-8'!G10</f>
        <v>1083136</v>
      </c>
      <c r="C4126" s="2" t="s">
        <v>573</v>
      </c>
      <c r="D4126" s="2" t="str">
        <f t="shared" si="63"/>
        <v>Error?</v>
      </c>
    </row>
    <row r="4127" spans="1:4" x14ac:dyDescent="0.2">
      <c r="A4127" s="5">
        <v>4066</v>
      </c>
      <c r="B4127" s="138">
        <f>'Acct Summary 7-8'!H10</f>
        <v>12006</v>
      </c>
      <c r="C4127" s="2" t="s">
        <v>573</v>
      </c>
      <c r="D4127" s="2" t="str">
        <f t="shared" si="63"/>
        <v>Error?</v>
      </c>
    </row>
    <row r="4128" spans="1:4" x14ac:dyDescent="0.2">
      <c r="A4128" s="5">
        <v>4067</v>
      </c>
      <c r="B4128" s="138">
        <f>'Acct Summary 7-8'!I10</f>
        <v>53087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246272</v>
      </c>
      <c r="C4130" s="2" t="s">
        <v>573</v>
      </c>
      <c r="D4130" s="2" t="str">
        <f t="shared" si="63"/>
        <v>Error?</v>
      </c>
    </row>
    <row r="4131" spans="1:4" x14ac:dyDescent="0.2">
      <c r="A4131" s="5">
        <v>4070</v>
      </c>
      <c r="B4131" s="138">
        <f>'Acct Summary 7-8'!C18</f>
        <v>8761480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26529204</v>
      </c>
      <c r="C4136" s="2" t="s">
        <v>573</v>
      </c>
      <c r="D4136" s="2" t="str">
        <f t="shared" si="63"/>
        <v>Error?</v>
      </c>
    </row>
    <row r="4137" spans="1:4" x14ac:dyDescent="0.2">
      <c r="A4137" s="5">
        <v>4076</v>
      </c>
      <c r="B4137" s="138">
        <f>'Acct Summary 7-8'!D19</f>
        <v>2618838</v>
      </c>
      <c r="C4137" s="2" t="s">
        <v>573</v>
      </c>
      <c r="D4137" s="2" t="str">
        <f t="shared" si="63"/>
        <v>Error?</v>
      </c>
    </row>
    <row r="4138" spans="1:4" x14ac:dyDescent="0.2">
      <c r="A4138" s="5">
        <v>4077</v>
      </c>
      <c r="B4138" s="138">
        <f>'Acct Summary 7-8'!E19</f>
        <v>3354606</v>
      </c>
      <c r="C4138" s="2" t="s">
        <v>573</v>
      </c>
      <c r="D4138" s="2" t="str">
        <f t="shared" si="63"/>
        <v>Error?</v>
      </c>
    </row>
    <row r="4139" spans="1:4" x14ac:dyDescent="0.2">
      <c r="A4139" s="5">
        <v>4078</v>
      </c>
      <c r="B4139" s="138">
        <f>'Acct Summary 7-8'!F19</f>
        <v>1184296</v>
      </c>
      <c r="C4139" s="2" t="s">
        <v>573</v>
      </c>
      <c r="D4139" s="2" t="str">
        <f t="shared" si="63"/>
        <v>Error?</v>
      </c>
    </row>
    <row r="4140" spans="1:4" x14ac:dyDescent="0.2">
      <c r="A4140" s="5">
        <v>4079</v>
      </c>
      <c r="B4140" s="138">
        <f>'Acct Summary 7-8'!G19</f>
        <v>973156</v>
      </c>
      <c r="C4140" s="2" t="s">
        <v>573</v>
      </c>
      <c r="D4140" s="2" t="str">
        <f t="shared" si="63"/>
        <v>Error?</v>
      </c>
    </row>
    <row r="4141" spans="1:4" x14ac:dyDescent="0.2">
      <c r="A4141" s="5">
        <v>4080</v>
      </c>
      <c r="B4141" s="138">
        <f>'Acct Summary 7-8'!H19</f>
        <v>155940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210773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19400528</v>
      </c>
      <c r="C4171" s="2" t="s">
        <v>573</v>
      </c>
      <c r="D4171" s="2" t="str">
        <f t="shared" si="64"/>
        <v>Error?</v>
      </c>
    </row>
    <row r="4172" spans="1:4" x14ac:dyDescent="0.2">
      <c r="A4172" s="5">
        <v>4111</v>
      </c>
      <c r="B4172" s="138">
        <f>'Short-Term Long-Term Debt 24'!J49</f>
        <v>18764989</v>
      </c>
      <c r="C4172" s="2" t="s">
        <v>573</v>
      </c>
      <c r="D4172" s="2" t="str">
        <f t="shared" si="64"/>
        <v>Error?</v>
      </c>
    </row>
    <row r="4173" spans="1:4" x14ac:dyDescent="0.2">
      <c r="A4173" s="5">
        <v>4112</v>
      </c>
      <c r="B4173" s="138">
        <f>'Short-Term Long-Term Debt 24'!H49</f>
        <v>2583992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-45000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2399.3000000000002</v>
      </c>
      <c r="C4265" s="2" t="s">
        <v>573</v>
      </c>
      <c r="D4265" s="2" t="str">
        <f t="shared" si="65"/>
        <v>Error?</v>
      </c>
      <c r="E4265" s="128"/>
    </row>
    <row r="4266" spans="1:5" x14ac:dyDescent="0.2">
      <c r="A4266" s="12">
        <v>4205</v>
      </c>
      <c r="B4266" s="138">
        <f>('FP Info 3'!F10)*100000</f>
        <v>563.08399999999995</v>
      </c>
      <c r="C4266" s="2" t="s">
        <v>573</v>
      </c>
      <c r="D4266" s="2" t="str">
        <f t="shared" si="65"/>
        <v>Error?</v>
      </c>
      <c r="E4266" s="128"/>
    </row>
    <row r="4267" spans="1:5" x14ac:dyDescent="0.2">
      <c r="A4267" s="12">
        <v>4206</v>
      </c>
      <c r="B4267" s="138">
        <f>('FP Info 3'!H10)*100000</f>
        <v>195.89999999999998</v>
      </c>
      <c r="C4267" s="2" t="s">
        <v>573</v>
      </c>
      <c r="D4267" s="2" t="str">
        <f t="shared" si="65"/>
        <v>Error?</v>
      </c>
      <c r="E4267" s="128"/>
    </row>
    <row r="4268" spans="1:5" x14ac:dyDescent="0.2">
      <c r="A4268" s="12">
        <v>4207</v>
      </c>
      <c r="B4268" s="138">
        <f>('FP Info 3'!J10)*100000</f>
        <v>3157.9999999999995</v>
      </c>
      <c r="C4268" s="2" t="s">
        <v>573</v>
      </c>
      <c r="D4268" s="2" t="str">
        <f t="shared" si="65"/>
        <v>Error?</v>
      </c>
    </row>
    <row r="4269" spans="1:5" x14ac:dyDescent="0.2">
      <c r="A4269" s="12">
        <v>4208</v>
      </c>
      <c r="B4269" s="138">
        <f>'FP Info 3'!J16</f>
        <v>18513969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82665</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32979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98964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34789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83317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17915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42487</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493869261</v>
      </c>
      <c r="D4995" s="2" t="str">
        <f t="shared" si="77"/>
        <v>Error?</v>
      </c>
    </row>
    <row r="4996" spans="1:4" x14ac:dyDescent="0.2">
      <c r="A4996" s="12">
        <v>4935</v>
      </c>
      <c r="B4996" s="138">
        <f>'FP Info 3'!H31</f>
        <v>68153958.018000007</v>
      </c>
      <c r="D4996" s="2" t="str">
        <f t="shared" si="77"/>
        <v>Error?</v>
      </c>
    </row>
    <row r="4997" spans="1:4" x14ac:dyDescent="0.2">
      <c r="A4997" s="12">
        <v>4936</v>
      </c>
      <c r="B4997" s="138">
        <f>'FP Info 3'!H37</f>
        <v>19400528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241881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11852309</v>
      </c>
      <c r="D5061" s="2" t="str">
        <f t="shared" si="78"/>
        <v>Error?</v>
      </c>
    </row>
    <row r="5062" spans="1:4" x14ac:dyDescent="0.2">
      <c r="A5062" s="10">
        <v>5001</v>
      </c>
      <c r="D5062" s="2" t="str">
        <f t="shared" si="78"/>
        <v>OK</v>
      </c>
    </row>
    <row r="5063" spans="1:4" x14ac:dyDescent="0.2">
      <c r="A5063" s="5">
        <v>5002</v>
      </c>
      <c r="B5063" s="138">
        <f>'Revenues 9-14'!C7</f>
        <v>193513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12287703</v>
      </c>
      <c r="C5066" s="2" t="s">
        <v>573</v>
      </c>
      <c r="D5066" s="2" t="str">
        <f t="shared" si="78"/>
        <v>Error?</v>
      </c>
    </row>
    <row r="5067" spans="1:4" x14ac:dyDescent="0.2">
      <c r="A5067" s="5">
        <v>5006</v>
      </c>
      <c r="B5067" s="138">
        <f>'Revenues 9-14'!C14</f>
        <v>3699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1075823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1079522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395862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395862</v>
      </c>
      <c r="C5090" s="2" t="s">
        <v>573</v>
      </c>
      <c r="D5090" s="2" t="str">
        <f t="shared" si="78"/>
        <v>Error?</v>
      </c>
    </row>
    <row r="5091" spans="1:4" x14ac:dyDescent="0.2">
      <c r="A5091" s="5">
        <v>5030</v>
      </c>
      <c r="B5091" s="138">
        <f>'Revenues 9-14'!C70</f>
        <v>6489</v>
      </c>
      <c r="D5091" s="2" t="str">
        <f t="shared" si="78"/>
        <v>Error?</v>
      </c>
    </row>
    <row r="5092" spans="1:4" x14ac:dyDescent="0.2">
      <c r="A5092" s="5">
        <v>5031</v>
      </c>
      <c r="B5092" s="138">
        <f>'Revenues 9-14'!C71</f>
        <v>35063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16729</v>
      </c>
      <c r="D5094" s="2" t="str">
        <f t="shared" si="78"/>
        <v>Error?</v>
      </c>
    </row>
    <row r="5095" spans="1:4" x14ac:dyDescent="0.2">
      <c r="A5095" s="5">
        <v>5034</v>
      </c>
      <c r="B5095" s="138">
        <f>'Revenues 9-14'!C74</f>
        <v>8823</v>
      </c>
      <c r="D5095" s="2" t="str">
        <f t="shared" si="78"/>
        <v>Error?</v>
      </c>
    </row>
    <row r="5096" spans="1:4" x14ac:dyDescent="0.2">
      <c r="A5096" s="5">
        <v>5035</v>
      </c>
      <c r="B5096" s="138">
        <f>'Revenues 9-14'!C75</f>
        <v>117466</v>
      </c>
      <c r="C5096" s="2" t="s">
        <v>573</v>
      </c>
      <c r="D5096" s="2" t="str">
        <f t="shared" si="78"/>
        <v>Error?</v>
      </c>
    </row>
    <row r="5097" spans="1:4" x14ac:dyDescent="0.2">
      <c r="A5097" s="5">
        <v>5036</v>
      </c>
      <c r="B5097" s="138">
        <f>'Revenues 9-14'!C77</f>
        <v>63169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8610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6722</v>
      </c>
      <c r="D5101" s="2" t="str">
        <f t="shared" si="78"/>
        <v>Error?</v>
      </c>
    </row>
    <row r="5102" spans="1:4" x14ac:dyDescent="0.2">
      <c r="A5102" s="5">
        <v>5041</v>
      </c>
      <c r="B5102" s="138">
        <f>'Revenues 9-14'!C82</f>
        <v>78501</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8094</v>
      </c>
      <c r="D5114" s="2" t="str">
        <f t="shared" si="78"/>
        <v>Error?</v>
      </c>
    </row>
    <row r="5115" spans="1:4" x14ac:dyDescent="0.2">
      <c r="A5115" s="5">
        <v>5054</v>
      </c>
      <c r="B5115" s="138">
        <f>'Revenues 9-14'!C98</f>
        <v>2922</v>
      </c>
      <c r="D5115" s="2" t="str">
        <f t="shared" si="78"/>
        <v>Error?</v>
      </c>
    </row>
    <row r="5116" spans="1:4" x14ac:dyDescent="0.2">
      <c r="A5116" s="5">
        <v>5055</v>
      </c>
      <c r="B5116" s="138">
        <f>'Revenues 9-14'!C99</f>
        <v>6687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8824</v>
      </c>
      <c r="D5119" s="2" t="str">
        <f t="shared" ref="D5119:D5182" si="79">IF(ISBLANK(B5119),"OK",IF(A5119-B5119=0,"OK","Error?"))</f>
        <v>Error?</v>
      </c>
    </row>
    <row r="5120" spans="1:4" x14ac:dyDescent="0.2">
      <c r="A5120" s="5">
        <v>5059</v>
      </c>
      <c r="B5120" s="138">
        <f>'Revenues 9-14'!C108</f>
        <v>29327</v>
      </c>
      <c r="C5120" s="2" t="s">
        <v>573</v>
      </c>
      <c r="D5120" s="2" t="str">
        <f t="shared" si="79"/>
        <v>Error?</v>
      </c>
    </row>
    <row r="5121" spans="1:4" x14ac:dyDescent="0.2">
      <c r="A5121" s="5">
        <v>5060</v>
      </c>
      <c r="B5121" s="138">
        <f>'Revenues 9-14'!C109</f>
        <v>13988381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2082517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2082517</v>
      </c>
      <c r="C5132" s="2" t="s">
        <v>573</v>
      </c>
      <c r="D5132" s="2" t="str">
        <f t="shared" si="79"/>
        <v>Error?</v>
      </c>
    </row>
    <row r="5133" spans="1:4" x14ac:dyDescent="0.2">
      <c r="A5133" s="5">
        <v>5072</v>
      </c>
      <c r="B5133" s="138">
        <f>'Revenues 9-14'!C125</f>
        <v>61969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43032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105001</v>
      </c>
      <c r="C5147" s="2" t="s">
        <v>573</v>
      </c>
      <c r="D5147" s="2" t="str">
        <f t="shared" si="79"/>
        <v>Error?</v>
      </c>
    </row>
    <row r="5148" spans="1:4" x14ac:dyDescent="0.2">
      <c r="A5148" s="5">
        <v>5087</v>
      </c>
      <c r="B5148" s="138">
        <f>'Revenues 9-14'!C134</f>
        <v>69267</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69267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14916</v>
      </c>
      <c r="D5167" s="2" t="str">
        <f t="shared" si="79"/>
        <v>Error?</v>
      </c>
    </row>
    <row r="5168" spans="1:4" x14ac:dyDescent="0.2">
      <c r="A5168" s="5">
        <v>5107</v>
      </c>
      <c r="B5168" s="138">
        <f>'Revenues 9-14'!C148</f>
        <v>24211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362674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593984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2676501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599039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190119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871823</v>
      </c>
      <c r="C5246" s="2" t="s">
        <v>573</v>
      </c>
      <c r="D5246" s="2" t="str">
        <f t="shared" si="80"/>
        <v>Error?</v>
      </c>
    </row>
    <row r="5247" spans="1:4" x14ac:dyDescent="0.2">
      <c r="A5247" s="5">
        <v>5186</v>
      </c>
      <c r="B5247" s="138">
        <f>'Revenues 9-14'!C200</f>
        <v>500728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34789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500728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19179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492582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511761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21719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21719</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2198567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2198567</v>
      </c>
      <c r="C5326" s="2" t="s">
        <v>573</v>
      </c>
      <c r="D5326" s="2" t="str">
        <f t="shared" si="82"/>
        <v>Error?</v>
      </c>
    </row>
    <row r="5327" spans="1:5" x14ac:dyDescent="0.2">
      <c r="A5327" s="5">
        <v>5266</v>
      </c>
      <c r="B5327" s="138">
        <f>'Revenues 9-14'!C268</f>
        <v>18863449</v>
      </c>
      <c r="C5327" s="2" t="s">
        <v>573</v>
      </c>
      <c r="D5327" s="2" t="str">
        <f t="shared" si="82"/>
        <v>Error?</v>
      </c>
    </row>
    <row r="5328" spans="1:5" x14ac:dyDescent="0.2">
      <c r="A5328" s="5">
        <v>5267</v>
      </c>
      <c r="B5328" s="138">
        <f>'Revenues 9-14'!D5</f>
        <v>2781656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2781656</v>
      </c>
      <c r="C5334" s="2" t="s">
        <v>573</v>
      </c>
      <c r="D5334" s="2" t="str">
        <f t="shared" si="82"/>
        <v>Error?</v>
      </c>
    </row>
    <row r="5335" spans="1:4" x14ac:dyDescent="0.2">
      <c r="A5335" s="5">
        <v>5274</v>
      </c>
      <c r="B5335" s="138">
        <f>'Revenues 9-14'!D14</f>
        <v>837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837</v>
      </c>
      <c r="C5339" s="2" t="s">
        <v>573</v>
      </c>
      <c r="D5339" s="2" t="str">
        <f t="shared" si="82"/>
        <v>Error?</v>
      </c>
    </row>
    <row r="5340" spans="1:4" x14ac:dyDescent="0.2">
      <c r="A5340" s="5">
        <v>5279</v>
      </c>
      <c r="B5340" s="138">
        <f>'Revenues 9-14'!D65</f>
        <v>56255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56255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15408</v>
      </c>
      <c r="D5354" s="2" t="str">
        <f t="shared" si="82"/>
        <v>Error?</v>
      </c>
    </row>
    <row r="5355" spans="1:4" x14ac:dyDescent="0.2">
      <c r="A5355" s="5">
        <v>5294</v>
      </c>
      <c r="B5355" s="138">
        <f>'Revenues 9-14'!D108</f>
        <v>15408</v>
      </c>
      <c r="C5355" s="2" t="s">
        <v>573</v>
      </c>
      <c r="D5355" s="2" t="str">
        <f t="shared" si="82"/>
        <v>Error?</v>
      </c>
    </row>
    <row r="5356" spans="1:4" x14ac:dyDescent="0.2">
      <c r="A5356" s="5">
        <v>5295</v>
      </c>
      <c r="B5356" s="138">
        <f>'Revenues 9-14'!D109</f>
        <v>2854156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2854156</v>
      </c>
      <c r="C5508" s="2" t="s">
        <v>573</v>
      </c>
      <c r="D5508" s="2" t="str">
        <f t="shared" si="85"/>
        <v>Error?</v>
      </c>
    </row>
    <row r="5509" spans="1:4" x14ac:dyDescent="0.2">
      <c r="A5509" s="5">
        <v>5448</v>
      </c>
      <c r="B5509" s="138">
        <f>'Revenues 9-14'!E5</f>
        <v>2066703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2066703</v>
      </c>
      <c r="C5513" s="2" t="s">
        <v>573</v>
      </c>
      <c r="D5513" s="2" t="str">
        <f t="shared" si="85"/>
        <v>Error?</v>
      </c>
    </row>
    <row r="5514" spans="1:4" x14ac:dyDescent="0.2">
      <c r="A5514" s="5">
        <v>5453</v>
      </c>
      <c r="B5514" s="138">
        <f>'Revenues 9-14'!E14</f>
        <v>627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627</v>
      </c>
      <c r="C5518" s="2" t="s">
        <v>573</v>
      </c>
      <c r="D5518" s="2" t="str">
        <f t="shared" si="85"/>
        <v>Error?</v>
      </c>
    </row>
    <row r="5519" spans="1:4" x14ac:dyDescent="0.2">
      <c r="A5519" s="5">
        <v>5458</v>
      </c>
      <c r="B5519" s="138">
        <f>'Revenues 9-14'!E65</f>
        <v>40398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40398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2107728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2107728</v>
      </c>
      <c r="C5552" s="2" t="s">
        <v>573</v>
      </c>
      <c r="D5552" s="2" t="str">
        <f t="shared" si="85"/>
        <v>Error?</v>
      </c>
    </row>
    <row r="5553" spans="1:4" x14ac:dyDescent="0.2">
      <c r="A5553" s="5">
        <v>5492</v>
      </c>
      <c r="B5553" s="138">
        <f>'Revenues 9-14'!F5</f>
        <v>967530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967530</v>
      </c>
      <c r="C5557" s="2" t="s">
        <v>573</v>
      </c>
      <c r="D5557" s="2" t="str">
        <f t="shared" si="85"/>
        <v>Error?</v>
      </c>
    </row>
    <row r="5558" spans="1:4" x14ac:dyDescent="0.2">
      <c r="A5558" s="5">
        <v>5497</v>
      </c>
      <c r="B5558" s="138">
        <f>'Revenues 9-14'!F14</f>
        <v>291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291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1626</v>
      </c>
      <c r="D5564" s="2" t="str">
        <f t="shared" si="85"/>
        <v>Error?</v>
      </c>
    </row>
    <row r="5565" spans="1:4" x14ac:dyDescent="0.2">
      <c r="A5565" s="5">
        <v>5504</v>
      </c>
      <c r="B5565" s="138">
        <f>'Revenues 9-14'!F44</f>
        <v>230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1856</v>
      </c>
      <c r="C5579" s="2" t="s">
        <v>573</v>
      </c>
      <c r="D5579" s="2" t="str">
        <f t="shared" si="86"/>
        <v>Error?</v>
      </c>
    </row>
    <row r="5580" spans="1:4" x14ac:dyDescent="0.2">
      <c r="A5580" s="5">
        <v>5519</v>
      </c>
      <c r="B5580" s="138">
        <f>'Revenues 9-14'!F65</f>
        <v>26907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26907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8992</v>
      </c>
      <c r="D5586" s="2" t="str">
        <f t="shared" si="86"/>
        <v>Error?</v>
      </c>
    </row>
    <row r="5587" spans="1:4" x14ac:dyDescent="0.2">
      <c r="A5587" s="5">
        <v>5526</v>
      </c>
      <c r="B5587" s="138">
        <f>'Revenues 9-14'!F108</f>
        <v>8992</v>
      </c>
      <c r="C5587" s="2" t="s">
        <v>573</v>
      </c>
      <c r="D5587" s="2" t="str">
        <f t="shared" si="86"/>
        <v>Error?</v>
      </c>
    </row>
    <row r="5588" spans="1:4" x14ac:dyDescent="0.2">
      <c r="A5588" s="5">
        <v>5527</v>
      </c>
      <c r="B5588" s="138">
        <f>'Revenues 9-14'!F109</f>
        <v>1005576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40955</v>
      </c>
      <c r="D5615" s="2" t="str">
        <f t="shared" si="86"/>
        <v>Error?</v>
      </c>
    </row>
    <row r="5616" spans="1:4" x14ac:dyDescent="0.2">
      <c r="A5616" s="10">
        <v>5555</v>
      </c>
      <c r="D5616" s="2" t="str">
        <f t="shared" si="86"/>
        <v>OK</v>
      </c>
    </row>
    <row r="5617" spans="1:5" x14ac:dyDescent="0.2">
      <c r="A5617" s="5">
        <v>5556</v>
      </c>
      <c r="B5617" s="138">
        <f>'Revenues 9-14'!F153</f>
        <v>166911</v>
      </c>
      <c r="D5617" s="2" t="str">
        <f t="shared" si="86"/>
        <v>Error?</v>
      </c>
    </row>
    <row r="5618" spans="1:5" x14ac:dyDescent="0.2">
      <c r="A5618" s="5">
        <v>5557</v>
      </c>
      <c r="B5618" s="138">
        <f>'Revenues 9-14'!F155</f>
        <v>207866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207866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207866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1213442</v>
      </c>
      <c r="C5720" s="2" t="s">
        <v>573</v>
      </c>
      <c r="D5720" s="2" t="str">
        <f t="shared" si="88"/>
        <v>Error?</v>
      </c>
    </row>
    <row r="5721" spans="1:4" x14ac:dyDescent="0.2">
      <c r="A5721" s="5">
        <v>5660</v>
      </c>
      <c r="B5721" s="138">
        <f>'Revenues 9-14'!G5</f>
        <v>542036</v>
      </c>
      <c r="D5721" s="2" t="str">
        <f t="shared" si="88"/>
        <v>Error?</v>
      </c>
    </row>
    <row r="5722" spans="1:4" x14ac:dyDescent="0.2">
      <c r="A5722" s="5">
        <v>5661</v>
      </c>
      <c r="B5722" s="138">
        <f>'Revenues 9-14'!G7</f>
        <v>0</v>
      </c>
      <c r="D5722" s="2" t="str">
        <f t="shared" si="88"/>
        <v>Error?</v>
      </c>
    </row>
    <row r="5723" spans="1:4" x14ac:dyDescent="0.2">
      <c r="A5723" s="5">
        <v>5662</v>
      </c>
      <c r="B5723" s="138">
        <f>'Revenues 9-14'!G8</f>
        <v>396936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938972</v>
      </c>
      <c r="C5725" s="2" t="s">
        <v>573</v>
      </c>
      <c r="D5725" s="2" t="str">
        <f t="shared" si="88"/>
        <v>Error?</v>
      </c>
    </row>
    <row r="5726" spans="1:4" x14ac:dyDescent="0.2">
      <c r="A5726" s="5">
        <v>5665</v>
      </c>
      <c r="B5726" s="138">
        <f>'Revenues 9-14'!G14</f>
        <v>282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119001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119283</v>
      </c>
      <c r="C5730" s="2" t="s">
        <v>573</v>
      </c>
      <c r="D5730" s="2" t="str">
        <f t="shared" si="88"/>
        <v>Error?</v>
      </c>
    </row>
    <row r="5731" spans="1:4" x14ac:dyDescent="0.2">
      <c r="A5731" s="5">
        <v>5670</v>
      </c>
      <c r="B5731" s="138">
        <f>'Revenues 9-14'!G65</f>
        <v>6623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6623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18258</v>
      </c>
      <c r="D5736" s="2" t="str">
        <f t="shared" si="88"/>
        <v>Error?</v>
      </c>
    </row>
    <row r="5737" spans="1:4" x14ac:dyDescent="0.2">
      <c r="A5737" s="5">
        <v>5676</v>
      </c>
      <c r="B5737" s="138">
        <f>'Revenues 9-14'!G108</f>
        <v>18258</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1083136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12006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12006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12006</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53087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53087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53087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239309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239309</v>
      </c>
      <c r="C5987" s="2" t="s">
        <v>573</v>
      </c>
      <c r="D5987" s="2" t="str">
        <f t="shared" si="92"/>
        <v>Error?</v>
      </c>
    </row>
    <row r="5988" spans="1:4" x14ac:dyDescent="0.2">
      <c r="A5988" s="5">
        <v>5927</v>
      </c>
      <c r="B5988" s="138">
        <f>'Revenues 9-14'!K14</f>
        <v>73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73</v>
      </c>
      <c r="C5992" s="2" t="s">
        <v>573</v>
      </c>
      <c r="D5992" s="2" t="str">
        <f t="shared" si="92"/>
        <v>Error?</v>
      </c>
    </row>
    <row r="5993" spans="1:4" x14ac:dyDescent="0.2">
      <c r="A5993" s="5">
        <v>5932</v>
      </c>
      <c r="B5993" s="138">
        <f>'Revenues 9-14'!K65</f>
        <v>6890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6890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246272</v>
      </c>
      <c r="C6023" s="2" t="s">
        <v>573</v>
      </c>
      <c r="D6023" s="2" t="str">
        <f t="shared" si="93"/>
        <v>Error?</v>
      </c>
    </row>
    <row r="6024" spans="1:5" x14ac:dyDescent="0.2">
      <c r="A6024" s="5">
        <v>5963</v>
      </c>
      <c r="B6024" s="138">
        <f>'Revenues 9-14'!G109</f>
        <v>1083136</v>
      </c>
      <c r="C6024" s="2" t="s">
        <v>573</v>
      </c>
      <c r="D6024" s="2" t="str">
        <f t="shared" si="93"/>
        <v>Error?</v>
      </c>
    </row>
    <row r="6025" spans="1:5" x14ac:dyDescent="0.2">
      <c r="A6025" s="5">
        <v>5964</v>
      </c>
      <c r="B6025" s="138">
        <f>'Revenues 9-14'!H109</f>
        <v>12006</v>
      </c>
      <c r="C6025" s="2" t="s">
        <v>573</v>
      </c>
      <c r="D6025" s="2" t="str">
        <f t="shared" si="93"/>
        <v>Error?</v>
      </c>
    </row>
    <row r="6026" spans="1:5" x14ac:dyDescent="0.2">
      <c r="A6026" s="5">
        <v>5965</v>
      </c>
      <c r="B6026" s="138">
        <f>'Revenues 9-14'!I109</f>
        <v>53087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246272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50362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82664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1787.78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181401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181401</v>
      </c>
      <c r="D6215" s="2" t="str">
        <f t="shared" si="96"/>
        <v>Error?</v>
      </c>
      <c r="E6215" s="2" t="s">
        <v>190</v>
      </c>
    </row>
    <row r="6216" spans="1:5" x14ac:dyDescent="0.2">
      <c r="A6216">
        <v>6155</v>
      </c>
      <c r="B6216" s="138">
        <f>'Assets-Liab 5-6'!J41</f>
        <v>181401</v>
      </c>
      <c r="D6216" s="2" t="str">
        <f t="shared" si="96"/>
        <v>Error?</v>
      </c>
      <c r="E6216" s="2" t="s">
        <v>190</v>
      </c>
    </row>
    <row r="6217" spans="1:5" x14ac:dyDescent="0.2">
      <c r="A6217">
        <v>6156</v>
      </c>
      <c r="B6217" s="138">
        <f>'Assets-Liab 5-6'!J4</f>
        <v>181401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573362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573362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573362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425711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425711</v>
      </c>
      <c r="D6229" s="2" t="str">
        <f t="shared" si="96"/>
        <v>Error?</v>
      </c>
      <c r="E6229" s="2" t="s">
        <v>190</v>
      </c>
    </row>
    <row r="6230" spans="1:5" x14ac:dyDescent="0.2">
      <c r="A6230">
        <v>6169</v>
      </c>
      <c r="B6230" s="138">
        <f>'Acct Summary 7-8'!J20</f>
        <v>147651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147651</v>
      </c>
      <c r="D6263" s="2" t="str">
        <f t="shared" si="96"/>
        <v>Error?</v>
      </c>
      <c r="E6263" s="2" t="s">
        <v>190</v>
      </c>
    </row>
    <row r="6264" spans="1:5" x14ac:dyDescent="0.2">
      <c r="A6264">
        <v>6203</v>
      </c>
      <c r="B6264" s="138">
        <f>'Acct Summary 7-8'!J79</f>
        <v>33750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181401</v>
      </c>
      <c r="D6266" s="2" t="str">
        <f t="shared" si="96"/>
        <v>Error?</v>
      </c>
      <c r="E6266" s="2" t="s">
        <v>190</v>
      </c>
    </row>
    <row r="6267" spans="1:5" x14ac:dyDescent="0.2">
      <c r="A6267">
        <v>6206</v>
      </c>
      <c r="B6267" s="138">
        <f>'Acct Summary 7-8'!C82</f>
        <v>905750</v>
      </c>
      <c r="D6267" s="2" t="str">
        <f t="shared" si="96"/>
        <v>Error?</v>
      </c>
      <c r="E6267" s="2" t="s">
        <v>190</v>
      </c>
    </row>
    <row r="6268" spans="1:5" x14ac:dyDescent="0.2">
      <c r="A6268">
        <v>6207</v>
      </c>
      <c r="B6268" s="138">
        <f>'Acct Summary 7-8'!D82</f>
        <v>235318</v>
      </c>
      <c r="D6268" s="2" t="str">
        <f t="shared" si="96"/>
        <v>Error?</v>
      </c>
      <c r="E6268" s="2" t="s">
        <v>190</v>
      </c>
    </row>
    <row r="6269" spans="1:5" x14ac:dyDescent="0.2">
      <c r="A6269">
        <v>6208</v>
      </c>
      <c r="B6269" s="138">
        <f>'Acct Summary 7-8'!E82</f>
        <v>-1006878</v>
      </c>
      <c r="D6269" s="2" t="str">
        <f t="shared" si="96"/>
        <v>Error?</v>
      </c>
      <c r="E6269" s="2" t="s">
        <v>190</v>
      </c>
    </row>
    <row r="6270" spans="1:5" x14ac:dyDescent="0.2">
      <c r="A6270">
        <v>6209</v>
      </c>
      <c r="B6270" s="138">
        <f>'Acct Summary 7-8'!F82</f>
        <v>29146</v>
      </c>
      <c r="D6270" s="2" t="str">
        <f t="shared" si="96"/>
        <v>Error?</v>
      </c>
      <c r="E6270" s="2" t="s">
        <v>190</v>
      </c>
    </row>
    <row r="6271" spans="1:5" x14ac:dyDescent="0.2">
      <c r="A6271">
        <v>6210</v>
      </c>
      <c r="B6271" s="138">
        <f>'Acct Summary 7-8'!G82</f>
        <v>109980</v>
      </c>
      <c r="D6271" s="2" t="str">
        <f t="shared" ref="D6271:D6334" si="97">IF(ISBLANK(B6271),"OK",IF(A6271-B6271=0,"OK","Error?"))</f>
        <v>Error?</v>
      </c>
      <c r="E6271" s="2" t="s">
        <v>190</v>
      </c>
    </row>
    <row r="6272" spans="1:5" x14ac:dyDescent="0.2">
      <c r="A6272">
        <v>6211</v>
      </c>
      <c r="B6272" s="138">
        <f>'Acct Summary 7-8'!H82</f>
        <v>-143934</v>
      </c>
      <c r="D6272" s="2" t="str">
        <f t="shared" si="97"/>
        <v>Error?</v>
      </c>
      <c r="E6272" s="2" t="s">
        <v>190</v>
      </c>
    </row>
    <row r="6273" spans="1:5" x14ac:dyDescent="0.2">
      <c r="A6273">
        <v>6212</v>
      </c>
      <c r="B6273" s="138">
        <f>'Acct Summary 7-8'!I82</f>
        <v>3062</v>
      </c>
      <c r="D6273" s="2" t="str">
        <f t="shared" si="97"/>
        <v>Error?</v>
      </c>
      <c r="E6273" s="2" t="s">
        <v>190</v>
      </c>
    </row>
    <row r="6274" spans="1:5" x14ac:dyDescent="0.2">
      <c r="A6274">
        <v>6213</v>
      </c>
      <c r="B6274" s="138">
        <f>'Acct Summary 7-8'!J82</f>
        <v>147651</v>
      </c>
      <c r="D6274" s="2" t="str">
        <f t="shared" si="97"/>
        <v>Error?</v>
      </c>
      <c r="E6274" s="2" t="s">
        <v>190</v>
      </c>
    </row>
    <row r="6275" spans="1:5" x14ac:dyDescent="0.2">
      <c r="A6275">
        <v>6214</v>
      </c>
      <c r="B6275" s="138">
        <f>'Acct Summary 7-8'!K82</f>
        <v>35499</v>
      </c>
      <c r="D6275" s="2" t="str">
        <f t="shared" si="97"/>
        <v>Error?</v>
      </c>
      <c r="E6275" s="2" t="s">
        <v>190</v>
      </c>
    </row>
    <row r="6276" spans="1:5" x14ac:dyDescent="0.2">
      <c r="A6276">
        <v>6215</v>
      </c>
      <c r="B6276" s="138">
        <f>'Acct Summary 7-8'!C83</f>
        <v>7.0147066044266182E-2</v>
      </c>
      <c r="D6276" s="2" t="str">
        <f t="shared" si="97"/>
        <v>Error?</v>
      </c>
      <c r="E6276" s="2" t="s">
        <v>190</v>
      </c>
    </row>
    <row r="6277" spans="1:5" x14ac:dyDescent="0.2">
      <c r="A6277">
        <v>6216</v>
      </c>
      <c r="B6277" s="138">
        <f>'Acct Summary 7-8'!D83</f>
        <v>0.11267035119530125</v>
      </c>
      <c r="D6277" s="2" t="str">
        <f t="shared" si="97"/>
        <v>Error?</v>
      </c>
      <c r="E6277" s="2" t="s">
        <v>190</v>
      </c>
    </row>
    <row r="6278" spans="1:5" x14ac:dyDescent="0.2">
      <c r="A6278">
        <v>6217</v>
      </c>
      <c r="B6278" s="138">
        <f>'Acct Summary 7-8'!E83</f>
        <v>-1.5842898704878852</v>
      </c>
      <c r="D6278" s="2" t="str">
        <f t="shared" si="97"/>
        <v>Error?</v>
      </c>
      <c r="E6278" s="2" t="s">
        <v>190</v>
      </c>
    </row>
    <row r="6279" spans="1:5" x14ac:dyDescent="0.2">
      <c r="A6279">
        <v>6218</v>
      </c>
      <c r="B6279" s="138">
        <f>'Acct Summary 7-8'!F83</f>
        <v>2.4941573939452545E-2</v>
      </c>
      <c r="D6279" s="2" t="str">
        <f t="shared" si="97"/>
        <v>Error?</v>
      </c>
      <c r="E6279" s="2" t="s">
        <v>190</v>
      </c>
    </row>
    <row r="6280" spans="1:5" x14ac:dyDescent="0.2">
      <c r="A6280">
        <v>6219</v>
      </c>
      <c r="B6280" s="138">
        <f>'Acct Summary 7-8'!G83</f>
        <v>0.13162146442342906</v>
      </c>
      <c r="D6280" s="2" t="str">
        <f t="shared" si="97"/>
        <v>Error?</v>
      </c>
      <c r="E6280" s="2" t="s">
        <v>190</v>
      </c>
    </row>
    <row r="6281" spans="1:5" x14ac:dyDescent="0.2">
      <c r="A6281">
        <v>6220</v>
      </c>
      <c r="B6281" s="138">
        <f>'Acct Summary 7-8'!H83</f>
        <v>-0.27409891509892081</v>
      </c>
      <c r="D6281" s="2" t="str">
        <f t="shared" si="97"/>
        <v>Error?</v>
      </c>
      <c r="E6281" s="2" t="s">
        <v>190</v>
      </c>
    </row>
    <row r="6282" spans="1:5" x14ac:dyDescent="0.2">
      <c r="A6282">
        <v>6221</v>
      </c>
      <c r="B6282" s="138">
        <f>'Acct Summary 7-8'!I83</f>
        <v>1.3059312394362232E-3</v>
      </c>
      <c r="D6282" s="2" t="str">
        <f t="shared" si="97"/>
        <v>Error?</v>
      </c>
      <c r="E6282" s="2" t="s">
        <v>190</v>
      </c>
    </row>
    <row r="6283" spans="1:5" x14ac:dyDescent="0.2">
      <c r="A6283">
        <v>6222</v>
      </c>
      <c r="B6283" s="138">
        <f>'Acct Summary 7-8'!J83</f>
        <v>0.81394810392445471</v>
      </c>
      <c r="D6283" s="2" t="str">
        <f t="shared" si="97"/>
        <v>Error?</v>
      </c>
      <c r="E6283" s="2" t="s">
        <v>190</v>
      </c>
    </row>
    <row r="6284" spans="1:5" x14ac:dyDescent="0.2">
      <c r="A6284">
        <v>6223</v>
      </c>
      <c r="B6284" s="138">
        <f>'Acct Summary 7-8'!K83</f>
        <v>0.13572755844096257</v>
      </c>
      <c r="D6284" s="2" t="str">
        <f t="shared" si="97"/>
        <v>Error?</v>
      </c>
      <c r="E6284" s="2" t="s">
        <v>190</v>
      </c>
    </row>
    <row r="6285" spans="1:5" x14ac:dyDescent="0.2">
      <c r="A6285">
        <v>6224</v>
      </c>
      <c r="B6285" s="138">
        <f>'Acct Summary 7-8'!E37</f>
        <v>229992</v>
      </c>
      <c r="D6285" s="2" t="str">
        <f t="shared" si="97"/>
        <v>Error?</v>
      </c>
      <c r="E6285" s="2" t="s">
        <v>190</v>
      </c>
    </row>
    <row r="6286" spans="1:5" x14ac:dyDescent="0.2">
      <c r="A6286">
        <v>6225</v>
      </c>
      <c r="B6286" s="138">
        <f>'Acct Summary 7-8'!E38</f>
        <v>10008</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568797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568797</v>
      </c>
      <c r="D6301" s="2" t="str">
        <f t="shared" si="97"/>
        <v>Error?</v>
      </c>
      <c r="E6301" s="2" t="s">
        <v>190</v>
      </c>
    </row>
    <row r="6302" spans="1:5" x14ac:dyDescent="0.2">
      <c r="A6302">
        <v>6241</v>
      </c>
      <c r="B6302" s="138">
        <f>'Revenues 9-14'!J14</f>
        <v>168</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168</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4397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4397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2800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573362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251826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559</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312829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288</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107870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37726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332263</v>
      </c>
      <c r="D6880" s="2" t="str">
        <f t="shared" si="106"/>
        <v>Error?</v>
      </c>
    </row>
    <row r="6881" spans="1:4" x14ac:dyDescent="0.2">
      <c r="A6881">
        <v>6820</v>
      </c>
      <c r="B6881" s="138">
        <f>'Expenditures 15-22'!K22</f>
        <v>332263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847</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9134</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9134</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259</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259</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9393</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3700</v>
      </c>
      <c r="D6981" s="2" t="str">
        <f t="shared" si="108"/>
        <v>Error?</v>
      </c>
    </row>
    <row r="6982" spans="1:4" x14ac:dyDescent="0.2">
      <c r="A6982">
        <v>6921</v>
      </c>
      <c r="B6982" s="138">
        <f>'Expenditures 15-22'!K85</f>
        <v>3700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3700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10240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425711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573362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362</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362</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362</v>
      </c>
      <c r="D7072" s="2" t="str">
        <f t="shared" si="109"/>
        <v>Error?</v>
      </c>
    </row>
    <row r="7073" spans="1:4" x14ac:dyDescent="0.2">
      <c r="A7073">
        <v>7012</v>
      </c>
      <c r="B7073" s="138">
        <f>'Expenditures 15-22'!D216</f>
        <v>43707</v>
      </c>
      <c r="D7073" s="2" t="str">
        <f t="shared" si="109"/>
        <v>Error?</v>
      </c>
    </row>
    <row r="7074" spans="1:4" x14ac:dyDescent="0.2">
      <c r="A7074">
        <v>7013</v>
      </c>
      <c r="B7074" s="138">
        <f>'Expenditures 15-22'!K216</f>
        <v>43707</v>
      </c>
      <c r="D7074" s="2" t="str">
        <f t="shared" si="109"/>
        <v>Error?</v>
      </c>
    </row>
    <row r="7075" spans="1:4" x14ac:dyDescent="0.2">
      <c r="A7075">
        <v>7014</v>
      </c>
      <c r="B7075" s="138">
        <f>'Expenditures 15-22'!D218</f>
        <v>5260</v>
      </c>
      <c r="D7075" s="2" t="str">
        <f t="shared" si="109"/>
        <v>Error?</v>
      </c>
    </row>
    <row r="7076" spans="1:4" x14ac:dyDescent="0.2">
      <c r="A7076">
        <v>7015</v>
      </c>
      <c r="B7076" s="138">
        <f>'Expenditures 15-22'!K218</f>
        <v>5260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434</v>
      </c>
      <c r="D7079" s="2" t="str">
        <f t="shared" si="109"/>
        <v>Error?</v>
      </c>
    </row>
    <row r="7080" spans="1:4" x14ac:dyDescent="0.2">
      <c r="A7080">
        <v>7019</v>
      </c>
      <c r="B7080" s="138">
        <f>'Expenditures 15-22'!K226</f>
        <v>434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21000</v>
      </c>
      <c r="D7093" s="2" t="str">
        <f t="shared" si="109"/>
        <v>Error?</v>
      </c>
    </row>
    <row r="7094" spans="1:4" x14ac:dyDescent="0.2">
      <c r="A7094">
        <v>7033</v>
      </c>
      <c r="B7094" s="138">
        <f>'Expenditures 15-22'!K254</f>
        <v>21000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211352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211352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3536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3536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67567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67567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84400</v>
      </c>
      <c r="D7172" s="2" t="str">
        <f t="shared" si="111"/>
        <v>Error?</v>
      </c>
    </row>
    <row r="7173" spans="1:4" x14ac:dyDescent="0.2">
      <c r="A7173">
        <v>7112</v>
      </c>
      <c r="B7173" s="138">
        <f>'Expenditures 15-22'!D325</f>
        <v>6368</v>
      </c>
      <c r="D7173" s="2" t="str">
        <f t="shared" si="111"/>
        <v>Error?</v>
      </c>
    </row>
    <row r="7174" spans="1:4" x14ac:dyDescent="0.2">
      <c r="A7174">
        <v>7113</v>
      </c>
      <c r="B7174" s="138">
        <f>'Expenditures 15-22'!E325</f>
        <v>50760</v>
      </c>
      <c r="D7174" s="2" t="str">
        <f t="shared" si="111"/>
        <v>Error?</v>
      </c>
    </row>
    <row r="7175" spans="1:4" x14ac:dyDescent="0.2">
      <c r="A7175">
        <v>7114</v>
      </c>
      <c r="B7175" s="138">
        <f>'Expenditures 15-22'!F325</f>
        <v>918</v>
      </c>
      <c r="D7175" s="2" t="str">
        <f t="shared" si="111"/>
        <v>Error?</v>
      </c>
    </row>
    <row r="7176" spans="1:4" x14ac:dyDescent="0.2">
      <c r="A7176">
        <v>7115</v>
      </c>
      <c r="B7176" s="138">
        <f>'Expenditures 15-22'!G325</f>
        <v>810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143256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84400</v>
      </c>
      <c r="D7199" s="2" t="str">
        <f t="shared" si="111"/>
        <v>Error?</v>
      </c>
    </row>
    <row r="7200" spans="1:4" x14ac:dyDescent="0.2">
      <c r="A7200">
        <v>7139</v>
      </c>
      <c r="B7200" s="138">
        <f>'Expenditures 15-22'!D330</f>
        <v>6368</v>
      </c>
      <c r="D7200" s="2" t="str">
        <f t="shared" si="111"/>
        <v>Error?</v>
      </c>
    </row>
    <row r="7201" spans="1:4" x14ac:dyDescent="0.2">
      <c r="A7201">
        <v>7140</v>
      </c>
      <c r="B7201" s="138">
        <f>'Expenditures 15-22'!E330</f>
        <v>333215</v>
      </c>
      <c r="D7201" s="2" t="str">
        <f t="shared" si="111"/>
        <v>Error?</v>
      </c>
    </row>
    <row r="7202" spans="1:4" x14ac:dyDescent="0.2">
      <c r="A7202">
        <v>7141</v>
      </c>
      <c r="B7202" s="138">
        <f>'Expenditures 15-22'!F330</f>
        <v>918</v>
      </c>
      <c r="D7202" s="2" t="str">
        <f t="shared" si="111"/>
        <v>Error?</v>
      </c>
    </row>
    <row r="7203" spans="1:4" x14ac:dyDescent="0.2">
      <c r="A7203">
        <v>7142</v>
      </c>
      <c r="B7203" s="138">
        <f>'Expenditures 15-22'!G330</f>
        <v>810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425711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84400</v>
      </c>
      <c r="D7216" s="2" t="str">
        <f t="shared" si="111"/>
        <v>Error?</v>
      </c>
    </row>
    <row r="7217" spans="1:4" x14ac:dyDescent="0.2">
      <c r="A7217">
        <v>7156</v>
      </c>
      <c r="B7217" s="138">
        <f>'Expenditures 15-22'!D342</f>
        <v>6368</v>
      </c>
      <c r="D7217" s="2" t="str">
        <f t="shared" si="111"/>
        <v>Error?</v>
      </c>
    </row>
    <row r="7218" spans="1:4" x14ac:dyDescent="0.2">
      <c r="A7218">
        <v>7157</v>
      </c>
      <c r="B7218" s="138">
        <f>'Expenditures 15-22'!E342</f>
        <v>333215</v>
      </c>
      <c r="D7218" s="2" t="str">
        <f t="shared" si="111"/>
        <v>Error?</v>
      </c>
    </row>
    <row r="7219" spans="1:4" x14ac:dyDescent="0.2">
      <c r="A7219">
        <v>7158</v>
      </c>
      <c r="B7219" s="138">
        <f>'Expenditures 15-22'!F342</f>
        <v>918</v>
      </c>
      <c r="D7219" s="2" t="str">
        <f t="shared" si="111"/>
        <v>Error?</v>
      </c>
    </row>
    <row r="7220" spans="1:4" x14ac:dyDescent="0.2">
      <c r="A7220">
        <v>7159</v>
      </c>
      <c r="B7220" s="138">
        <f>'Expenditures 15-22'!G342</f>
        <v>810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425711</v>
      </c>
      <c r="D7224" s="2" t="str">
        <f t="shared" si="111"/>
        <v>Error?</v>
      </c>
    </row>
    <row r="7225" spans="1:4" x14ac:dyDescent="0.2">
      <c r="A7225">
        <v>7164</v>
      </c>
      <c r="B7225" s="138">
        <f>'Expenditures 15-22'!K343</f>
        <v>147651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46586</v>
      </c>
      <c r="D7246" s="2" t="str">
        <f t="shared" si="112"/>
        <v>Error?</v>
      </c>
    </row>
    <row r="7247" spans="1:4" x14ac:dyDescent="0.2">
      <c r="A7247">
        <f t="shared" si="113"/>
        <v>7186</v>
      </c>
      <c r="B7247" s="138">
        <f>'Expenditures 15-22'!E7</f>
        <v>4514</v>
      </c>
      <c r="D7247" s="2" t="str">
        <f t="shared" si="112"/>
        <v>Error?</v>
      </c>
    </row>
    <row r="7248" spans="1:4" x14ac:dyDescent="0.2">
      <c r="A7248">
        <f t="shared" si="113"/>
        <v>7187</v>
      </c>
      <c r="B7248" s="138">
        <f>'Expenditures 15-22'!F7</f>
        <v>9903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90676</v>
      </c>
      <c r="D7251" s="2" t="str">
        <f t="shared" si="112"/>
        <v>Error?</v>
      </c>
    </row>
    <row r="7252" spans="1:4" x14ac:dyDescent="0.2">
      <c r="A7252">
        <f t="shared" si="113"/>
        <v>7191</v>
      </c>
      <c r="B7252" s="138">
        <f>'Expenditures 15-22'!D9</f>
        <v>17194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30423</v>
      </c>
      <c r="D7263" s="2" t="str">
        <f t="shared" si="112"/>
        <v>Error?</v>
      </c>
    </row>
    <row r="7264" spans="1:4" x14ac:dyDescent="0.2">
      <c r="A7264">
        <f t="shared" si="113"/>
        <v>7203</v>
      </c>
      <c r="B7264" s="138">
        <f>'Expenditures 15-22'!D17</f>
        <v>4990</v>
      </c>
      <c r="D7264" s="2" t="str">
        <f t="shared" si="112"/>
        <v>Error?</v>
      </c>
    </row>
    <row r="7265" spans="1:5" x14ac:dyDescent="0.2">
      <c r="A7265">
        <f t="shared" si="113"/>
        <v>7204</v>
      </c>
      <c r="B7265" s="138">
        <f>'Expenditures 15-22'!E17</f>
        <v>628</v>
      </c>
      <c r="D7265" s="2" t="str">
        <f t="shared" si="112"/>
        <v>Error?</v>
      </c>
    </row>
    <row r="7266" spans="1:5" x14ac:dyDescent="0.2">
      <c r="A7266">
        <f t="shared" si="113"/>
        <v>7205</v>
      </c>
      <c r="B7266" s="138">
        <f>'Expenditures 15-22'!F17</f>
        <v>1685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33368</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33368</v>
      </c>
      <c r="D7618" s="2" t="str">
        <f t="shared" si="124"/>
        <v>Error?</v>
      </c>
      <c r="E7618" s="2" t="s">
        <v>19</v>
      </c>
    </row>
    <row r="7619" spans="1:5" x14ac:dyDescent="0.2">
      <c r="A7619">
        <f t="shared" si="123"/>
        <v>7558</v>
      </c>
      <c r="B7619" s="138">
        <f>'Cap Outlay Deprec 26'!H14</f>
        <v>33368</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33368</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1724418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229992</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10008</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2800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2800</v>
      </c>
      <c r="D7719" s="2" t="str">
        <f t="shared" si="126"/>
        <v>Error?</v>
      </c>
      <c r="E7719" s="2" t="s">
        <v>827</v>
      </c>
    </row>
    <row r="7720" spans="1:6" x14ac:dyDescent="0.2">
      <c r="A7720">
        <v>7659</v>
      </c>
      <c r="B7720" s="138">
        <f>'Rest Tax Levies-Tort Im 25'!H14</f>
        <v>193513</v>
      </c>
      <c r="D7720" s="2" t="str">
        <f t="shared" si="126"/>
        <v>Error?</v>
      </c>
      <c r="E7720" s="2" t="s">
        <v>827</v>
      </c>
    </row>
    <row r="7721" spans="1:6" x14ac:dyDescent="0.2">
      <c r="A7721">
        <v>7660</v>
      </c>
      <c r="B7721" s="138">
        <f>'Rest Tax Levies-Tort Im 25'!K14</f>
        <v>2800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102984</v>
      </c>
      <c r="D7797" s="2" t="str">
        <f t="shared" si="127"/>
        <v>Error?</v>
      </c>
      <c r="E7797" s="4" t="s">
        <v>1901</v>
      </c>
    </row>
    <row r="7798" spans="1:5" x14ac:dyDescent="0.2">
      <c r="A7798">
        <v>7737</v>
      </c>
      <c r="B7798" s="138">
        <f>'Contracts Paid in CY 29'!F141</f>
        <v>71343</v>
      </c>
      <c r="D7798" s="2" t="str">
        <f t="shared" si="127"/>
        <v>Error?</v>
      </c>
      <c r="E7798" s="4" t="s">
        <v>1901</v>
      </c>
    </row>
    <row r="7799" spans="1:5" x14ac:dyDescent="0.2">
      <c r="A7799">
        <v>7738</v>
      </c>
      <c r="B7799" s="138">
        <f>'Contracts Paid in CY 29'!G141</f>
        <v>31641</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zoomScale="110" zoomScaleNormal="110" workbookViewId="0">
      <selection activeCell="N30" sqref="N30"/>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9" t="s">
        <v>1191</v>
      </c>
      <c r="B2" s="2379"/>
      <c r="C2" s="2379"/>
      <c r="D2" s="2379"/>
      <c r="E2" s="2379"/>
      <c r="F2" s="2379"/>
      <c r="G2" s="2379"/>
      <c r="H2" s="2379"/>
      <c r="I2" s="2379"/>
      <c r="J2" s="2379"/>
      <c r="K2" s="2379"/>
      <c r="L2" s="2379"/>
    </row>
    <row r="3" spans="1:29" ht="13.5" customHeight="1" x14ac:dyDescent="0.2">
      <c r="A3" s="2410" t="s">
        <v>1190</v>
      </c>
      <c r="B3" s="2410"/>
      <c r="C3" s="2410"/>
      <c r="D3" s="2410"/>
      <c r="E3" s="2410"/>
      <c r="F3" s="2410"/>
      <c r="G3" s="2410"/>
      <c r="H3" s="2410"/>
      <c r="I3" s="2410"/>
      <c r="J3" s="2410"/>
      <c r="K3" s="2410"/>
      <c r="L3" s="2410"/>
    </row>
    <row r="4" spans="1:29" ht="13.5" customHeight="1" x14ac:dyDescent="0.2">
      <c r="A4" s="2379" t="s">
        <v>1986</v>
      </c>
      <c r="B4" s="2400"/>
      <c r="C4" s="2400"/>
      <c r="D4" s="2400"/>
      <c r="E4" s="2400"/>
      <c r="F4" s="2400"/>
      <c r="G4" s="2400"/>
      <c r="H4" s="2400"/>
      <c r="I4" s="2400"/>
      <c r="J4" s="2400"/>
      <c r="K4" s="2400"/>
      <c r="L4" s="240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1" t="str">
        <f>COVER!A17</f>
        <v>Roxana CUSD 1</v>
      </c>
      <c r="B7" s="2402"/>
      <c r="C7" s="2402"/>
      <c r="D7" s="2403"/>
      <c r="E7" s="2404">
        <f>COVER!A13</f>
        <v>41057001026</v>
      </c>
      <c r="F7" s="2405"/>
      <c r="G7" s="2411" t="str">
        <f>COVER!T23</f>
        <v>066-005060</v>
      </c>
      <c r="H7" s="2412"/>
      <c r="I7" s="2412"/>
      <c r="J7" s="2412"/>
      <c r="K7" s="2412"/>
      <c r="L7" s="241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4"/>
      <c r="B9" s="2415"/>
      <c r="C9" s="2415"/>
      <c r="D9" s="2415"/>
      <c r="E9" s="2415"/>
      <c r="F9" s="2416"/>
      <c r="G9" s="2385" t="str">
        <f>COVER!T13</f>
        <v>DENNIS ROSE &amp; ASSOCIATES, P.C.</v>
      </c>
      <c r="H9" s="2417"/>
      <c r="I9" s="2417"/>
      <c r="J9" s="2417"/>
      <c r="K9" s="2417"/>
      <c r="L9" s="2418"/>
    </row>
    <row r="10" spans="1:29" ht="13.5" customHeight="1" x14ac:dyDescent="0.2">
      <c r="A10" s="2391">
        <f>COVER!A38</f>
        <v>0</v>
      </c>
      <c r="B10" s="2392"/>
      <c r="C10" s="2392"/>
      <c r="D10" s="2392"/>
      <c r="E10" s="2392"/>
      <c r="F10" s="2393"/>
      <c r="G10" s="2385" t="str">
        <f>COVER!T17</f>
        <v>1904 STATE STREET</v>
      </c>
      <c r="H10" s="2386"/>
      <c r="I10" s="2386"/>
      <c r="J10" s="2386"/>
      <c r="K10" s="2386"/>
      <c r="L10" s="2387"/>
    </row>
    <row r="11" spans="1:29" ht="13.5" customHeight="1" x14ac:dyDescent="0.2">
      <c r="A11" s="1184" t="s">
        <v>1519</v>
      </c>
      <c r="B11" s="1185"/>
      <c r="C11" s="1186"/>
      <c r="D11" s="1191"/>
      <c r="E11" s="1186"/>
      <c r="F11" s="1190"/>
      <c r="G11" s="2385" t="str">
        <f>COVER!T19</f>
        <v>ALTON</v>
      </c>
      <c r="H11" s="2386"/>
      <c r="I11" s="2386"/>
      <c r="J11" s="2386"/>
      <c r="K11" s="2386"/>
      <c r="L11" s="2387"/>
    </row>
    <row r="12" spans="1:29" ht="13.5" customHeight="1" x14ac:dyDescent="0.2">
      <c r="A12" s="2394" t="s">
        <v>1518</v>
      </c>
      <c r="B12" s="2395"/>
      <c r="C12" s="2395"/>
      <c r="D12" s="2395"/>
      <c r="E12" s="2395"/>
      <c r="F12" s="2396"/>
      <c r="G12" s="2388"/>
      <c r="H12" s="2389"/>
      <c r="I12" s="2389"/>
      <c r="J12" s="2389"/>
      <c r="K12" s="2389"/>
      <c r="L12" s="2390"/>
    </row>
    <row r="13" spans="1:29" ht="13.5" customHeight="1" x14ac:dyDescent="0.2">
      <c r="A13" s="2385"/>
      <c r="B13" s="2386"/>
      <c r="C13" s="2386"/>
      <c r="D13" s="2386"/>
      <c r="E13" s="2386"/>
      <c r="F13" s="2387"/>
      <c r="G13" s="2380" t="s">
        <v>1520</v>
      </c>
      <c r="H13" s="2381"/>
      <c r="I13" s="2397" t="str">
        <f>COVER!T25</f>
        <v>DROSECPA@DRA-CPA.COM</v>
      </c>
      <c r="J13" s="2398"/>
      <c r="K13" s="2398"/>
      <c r="L13" s="2399"/>
    </row>
    <row r="14" spans="1:29" ht="13.5" customHeight="1" x14ac:dyDescent="0.2">
      <c r="A14" s="2385" t="str">
        <f>COVER!A19</f>
        <v>401 CHAFFER AVENUE</v>
      </c>
      <c r="B14" s="2386"/>
      <c r="C14" s="2386"/>
      <c r="D14" s="2386"/>
      <c r="E14" s="2386"/>
      <c r="F14" s="2387"/>
      <c r="G14" s="1195" t="s">
        <v>1185</v>
      </c>
      <c r="H14" s="1193"/>
      <c r="I14" s="1193"/>
      <c r="J14" s="1193"/>
      <c r="K14" s="1193"/>
      <c r="L14" s="1194"/>
    </row>
    <row r="15" spans="1:29" ht="13.5" customHeight="1" x14ac:dyDescent="0.2">
      <c r="A15" s="2385" t="str">
        <f>COVER!A21</f>
        <v>ROXANA</v>
      </c>
      <c r="B15" s="2386"/>
      <c r="C15" s="2386"/>
      <c r="D15" s="2386"/>
      <c r="E15" s="2386"/>
      <c r="F15" s="2387"/>
      <c r="G15" s="2382" t="str">
        <f>COVER!T15</f>
        <v>DENNIS ROSE</v>
      </c>
      <c r="H15" s="2383"/>
      <c r="I15" s="2383"/>
      <c r="J15" s="2383"/>
      <c r="K15" s="2383"/>
      <c r="L15" s="2384"/>
    </row>
    <row r="16" spans="1:29" ht="12.2" customHeight="1" x14ac:dyDescent="0.2">
      <c r="A16" s="2407">
        <f>COVER!A25</f>
        <v>62084</v>
      </c>
      <c r="B16" s="2408"/>
      <c r="C16" s="2408"/>
      <c r="D16" s="2408"/>
      <c r="E16" s="2408"/>
      <c r="F16" s="2409"/>
      <c r="G16" s="2419"/>
      <c r="H16" s="2420"/>
      <c r="I16" s="2420"/>
      <c r="J16" s="2420"/>
      <c r="K16" s="2420"/>
      <c r="L16" s="2421"/>
    </row>
    <row r="17" spans="1:13" ht="12.2" customHeight="1" x14ac:dyDescent="0.2">
      <c r="A17" s="2422"/>
      <c r="B17" s="2408"/>
      <c r="C17" s="2408"/>
      <c r="D17" s="2408"/>
      <c r="E17" s="2408"/>
      <c r="F17" s="2409"/>
      <c r="G17" s="1195" t="s">
        <v>1184</v>
      </c>
      <c r="H17" s="1193"/>
      <c r="I17" s="1193"/>
      <c r="J17" s="1193"/>
      <c r="K17" s="1197" t="s">
        <v>1183</v>
      </c>
      <c r="L17" s="1190"/>
      <c r="M17" s="1183"/>
    </row>
    <row r="18" spans="1:13" ht="12.2" customHeight="1" x14ac:dyDescent="0.2">
      <c r="A18" s="2391"/>
      <c r="B18" s="2392"/>
      <c r="C18" s="2392"/>
      <c r="D18" s="2392"/>
      <c r="E18" s="2392"/>
      <c r="F18" s="2393"/>
      <c r="G18" s="2401" t="str">
        <f>COVER!T21</f>
        <v>618-465-4999</v>
      </c>
      <c r="H18" s="2402"/>
      <c r="I18" s="2402"/>
      <c r="J18" s="2402"/>
      <c r="K18" s="2401" t="str">
        <f>COVER!X21</f>
        <v>618-465-5050</v>
      </c>
      <c r="L18" s="240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75" right="0.75" top="1" bottom="0.5" header="0.5" footer="0.5"/>
  <pageSetup scale="89" firstPageNumber="74" fitToHeight="0" orientation="portrait" useFirstPageNumber="1" r:id="rId1"/>
  <headerFooter>
    <oddHeader xml:space="preserve">&amp;C&amp;"Times New Roman,Regular"
</oddHeader>
    <oddFooter>&amp;C&amp;"Times New Roman,Regular"See Independent Auditor's Reports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topLeftCell="A22" zoomScale="125" zoomScaleNormal="125" workbookViewId="0">
      <selection activeCell="V29" sqref="V2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Roxana CUSD 1</v>
      </c>
      <c r="B1" s="2400"/>
      <c r="C1" s="2400"/>
      <c r="D1" s="2400"/>
    </row>
    <row r="2" spans="1:11" s="1212" customFormat="1" ht="12.75" x14ac:dyDescent="0.2">
      <c r="A2" s="2424">
        <f>'Single Audit Cover'!E7</f>
        <v>41057001026</v>
      </c>
      <c r="B2" s="2425"/>
      <c r="C2" s="2425"/>
      <c r="D2" s="2425"/>
    </row>
    <row r="3" spans="1:11" s="1212" customFormat="1" ht="12.75" x14ac:dyDescent="0.2">
      <c r="A3" s="2423" t="s">
        <v>1513</v>
      </c>
      <c r="B3" s="2400"/>
      <c r="C3" s="2400"/>
      <c r="D3" s="240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75" right="0.75" top="1" bottom="0.5" header="0.5" footer="0.5"/>
  <pageSetup scale="75" firstPageNumber="36" fitToHeight="0" orientation="landscape" r:id="rId5"/>
  <headerFooter>
    <oddHeader xml:space="preserve">&amp;C&amp;"Times New Roman,Regular"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25" sqref="D2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Roxana CUSD 1</v>
      </c>
      <c r="B1" s="2427"/>
      <c r="C1" s="2427"/>
      <c r="D1" s="2427"/>
      <c r="E1" s="2427"/>
    </row>
    <row r="2" spans="1:5" x14ac:dyDescent="0.2">
      <c r="A2" s="2428">
        <f>'Single Audit Cover'!E7</f>
        <v>41057001026</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2198567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82664</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-98964</v>
      </c>
    </row>
    <row r="19" spans="1:4" ht="13.5" thickBot="1" x14ac:dyDescent="0.25">
      <c r="A19" s="1262" t="s">
        <v>1235</v>
      </c>
      <c r="D19" s="1263">
        <f>SUM(D10:D17)</f>
        <v>2182267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t="s">
        <v>2148</v>
      </c>
      <c r="B24" s="2429"/>
      <c r="D24" s="1265">
        <v>-82664</v>
      </c>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2099603</v>
      </c>
    </row>
    <row r="33" spans="1:4" x14ac:dyDescent="0.2">
      <c r="D33" s="1266"/>
    </row>
    <row r="34" spans="1:4" x14ac:dyDescent="0.2">
      <c r="A34" s="317" t="s">
        <v>1232</v>
      </c>
    </row>
    <row r="35" spans="1:4" x14ac:dyDescent="0.2">
      <c r="A35" s="317" t="s">
        <v>1231</v>
      </c>
      <c r="B35" s="1255" t="s">
        <v>1230</v>
      </c>
      <c r="D35" s="1267">
        <v>2099603</v>
      </c>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2099603</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75" right="0.75" top="1" bottom="0.5" header="0.5" footer="0.5"/>
  <pageSetup scale="89" firstPageNumber="37" orientation="portrait" r:id="rId1"/>
  <headerFooter>
    <oddHeader xml:space="preserve">&amp;C&amp;"Times New Roman,Regular"
</oddHead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23" sqref="I2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Roxana CUSD 1</v>
      </c>
      <c r="C1" s="2431"/>
      <c r="D1" s="2431"/>
      <c r="E1" s="2431"/>
      <c r="F1" s="2431"/>
      <c r="G1" s="2431"/>
      <c r="H1" s="2431"/>
      <c r="I1" s="2431"/>
      <c r="J1" s="2431"/>
      <c r="K1" s="2431"/>
      <c r="L1" s="2431"/>
      <c r="M1" s="2431"/>
    </row>
    <row r="2" spans="2:14" ht="15" x14ac:dyDescent="0.2">
      <c r="B2" s="2432">
        <f>'Single Audit Cover'!E7</f>
        <v>41057001026</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2106</v>
      </c>
      <c r="C11" s="1335"/>
      <c r="D11" s="1336"/>
      <c r="E11" s="1337"/>
      <c r="F11" s="1337"/>
      <c r="G11" s="1337"/>
      <c r="H11" s="1337"/>
      <c r="I11" s="1337"/>
      <c r="J11" s="1337"/>
      <c r="K11" s="1337"/>
      <c r="L11" s="1337"/>
      <c r="M11" s="1337"/>
    </row>
    <row r="12" spans="2:14" ht="20.100000000000001" customHeight="1" x14ac:dyDescent="0.2">
      <c r="B12" s="1334" t="s">
        <v>2107</v>
      </c>
      <c r="C12" s="1338"/>
      <c r="D12" s="1339"/>
      <c r="E12" s="1340"/>
      <c r="F12" s="1340"/>
      <c r="G12" s="1340"/>
      <c r="H12" s="1340"/>
      <c r="I12" s="1340"/>
      <c r="J12" s="1340"/>
      <c r="K12" s="1340"/>
      <c r="L12" s="1337"/>
      <c r="M12" s="1340"/>
    </row>
    <row r="13" spans="2:14" ht="20.100000000000001" customHeight="1" x14ac:dyDescent="0.2">
      <c r="B13" s="1334" t="s">
        <v>2108</v>
      </c>
      <c r="C13" s="1338" t="s">
        <v>2109</v>
      </c>
      <c r="D13" s="1339" t="s">
        <v>2110</v>
      </c>
      <c r="E13" s="1340">
        <v>409565</v>
      </c>
      <c r="F13" s="1340">
        <v>103806</v>
      </c>
      <c r="G13" s="1340">
        <v>482351</v>
      </c>
      <c r="H13" s="1340"/>
      <c r="I13" s="1340">
        <v>31020</v>
      </c>
      <c r="J13" s="1340"/>
      <c r="K13" s="1340"/>
      <c r="L13" s="1337">
        <f t="shared" ref="L13:L26" si="0">+G13+I13+K13</f>
        <v>513371</v>
      </c>
      <c r="M13" s="1340">
        <v>513371</v>
      </c>
    </row>
    <row r="14" spans="2:14" ht="20.100000000000001" customHeight="1" x14ac:dyDescent="0.2">
      <c r="B14" s="1334" t="s">
        <v>2108</v>
      </c>
      <c r="C14" s="1338" t="s">
        <v>2109</v>
      </c>
      <c r="D14" s="1339" t="s">
        <v>2111</v>
      </c>
      <c r="E14" s="1340"/>
      <c r="F14" s="1340">
        <v>364993</v>
      </c>
      <c r="G14" s="1340"/>
      <c r="H14" s="1340"/>
      <c r="I14" s="1340">
        <v>501984</v>
      </c>
      <c r="J14" s="1340"/>
      <c r="K14" s="1340"/>
      <c r="L14" s="1337">
        <f t="shared" si="0"/>
        <v>501984</v>
      </c>
      <c r="M14" s="1340">
        <v>506183</v>
      </c>
    </row>
    <row r="15" spans="2:14" ht="20.100000000000001" customHeight="1" x14ac:dyDescent="0.2">
      <c r="B15" s="1334" t="s">
        <v>2112</v>
      </c>
      <c r="C15" s="1338" t="s">
        <v>2113</v>
      </c>
      <c r="D15" s="1339" t="s">
        <v>2114</v>
      </c>
      <c r="E15" s="1340">
        <v>52198</v>
      </c>
      <c r="F15" s="1340">
        <v>24101</v>
      </c>
      <c r="G15" s="1340">
        <v>74715</v>
      </c>
      <c r="H15" s="1340"/>
      <c r="I15" s="1340">
        <v>1584</v>
      </c>
      <c r="J15" s="1340"/>
      <c r="K15" s="1340"/>
      <c r="L15" s="1337">
        <f t="shared" si="0"/>
        <v>76299</v>
      </c>
      <c r="M15" s="1340">
        <v>86983</v>
      </c>
    </row>
    <row r="16" spans="2:14" ht="20.100000000000001" customHeight="1" x14ac:dyDescent="0.2">
      <c r="B16" s="1334" t="s">
        <v>2112</v>
      </c>
      <c r="C16" s="1338" t="s">
        <v>2113</v>
      </c>
      <c r="D16" s="1339" t="s">
        <v>2115</v>
      </c>
      <c r="E16" s="1340"/>
      <c r="F16" s="1340">
        <v>59216</v>
      </c>
      <c r="G16" s="1340"/>
      <c r="H16" s="1340"/>
      <c r="I16" s="1340">
        <v>92472</v>
      </c>
      <c r="J16" s="1340"/>
      <c r="K16" s="1340"/>
      <c r="L16" s="1337">
        <f t="shared" si="0"/>
        <v>92472</v>
      </c>
      <c r="M16" s="1340">
        <v>95844</v>
      </c>
    </row>
    <row r="17" spans="2:14" ht="20.100000000000001" customHeight="1" x14ac:dyDescent="0.2">
      <c r="B17" s="1334" t="s">
        <v>2116</v>
      </c>
      <c r="C17" s="1338" t="s">
        <v>2169</v>
      </c>
      <c r="D17" s="1339" t="s">
        <v>2117</v>
      </c>
      <c r="E17" s="1340">
        <v>370918</v>
      </c>
      <c r="F17" s="1340">
        <v>60194</v>
      </c>
      <c r="G17" s="1340">
        <v>431112</v>
      </c>
      <c r="H17" s="1340"/>
      <c r="I17" s="1340"/>
      <c r="J17" s="1340"/>
      <c r="K17" s="1340"/>
      <c r="L17" s="1337">
        <f t="shared" si="0"/>
        <v>431112</v>
      </c>
      <c r="M17" s="1340">
        <v>439423</v>
      </c>
    </row>
    <row r="18" spans="2:14" ht="20.100000000000001" customHeight="1" x14ac:dyDescent="0.2">
      <c r="B18" s="1334" t="s">
        <v>2116</v>
      </c>
      <c r="C18" s="1338" t="s">
        <v>2169</v>
      </c>
      <c r="D18" s="1339" t="s">
        <v>2118</v>
      </c>
      <c r="E18" s="1340"/>
      <c r="F18" s="1340">
        <v>432388</v>
      </c>
      <c r="G18" s="1340"/>
      <c r="H18" s="1340"/>
      <c r="I18" s="1340">
        <v>453046</v>
      </c>
      <c r="J18" s="1340"/>
      <c r="K18" s="1340"/>
      <c r="L18" s="1337">
        <f t="shared" si="0"/>
        <v>453046</v>
      </c>
      <c r="M18" s="1340">
        <v>453046</v>
      </c>
    </row>
    <row r="19" spans="2:14" ht="20.100000000000001" customHeight="1" x14ac:dyDescent="0.2">
      <c r="B19" s="1334" t="s">
        <v>2119</v>
      </c>
      <c r="C19" s="1338" t="s">
        <v>2170</v>
      </c>
      <c r="D19" s="1339" t="s">
        <v>2120</v>
      </c>
      <c r="E19" s="1340">
        <v>10925</v>
      </c>
      <c r="F19" s="1340">
        <v>3206</v>
      </c>
      <c r="G19" s="1340">
        <v>14131</v>
      </c>
      <c r="H19" s="1340"/>
      <c r="I19" s="1340"/>
      <c r="J19" s="1340"/>
      <c r="K19" s="1340"/>
      <c r="L19" s="1337">
        <f t="shared" si="0"/>
        <v>14131</v>
      </c>
      <c r="M19" s="1340">
        <v>15051</v>
      </c>
    </row>
    <row r="20" spans="2:14" ht="20.100000000000001" customHeight="1" x14ac:dyDescent="0.2">
      <c r="B20" s="1334" t="s">
        <v>2119</v>
      </c>
      <c r="C20" s="1338" t="s">
        <v>2170</v>
      </c>
      <c r="D20" s="1339" t="s">
        <v>2121</v>
      </c>
      <c r="E20" s="1340"/>
      <c r="F20" s="1340">
        <v>15973</v>
      </c>
      <c r="G20" s="1340"/>
      <c r="H20" s="1340"/>
      <c r="I20" s="1340">
        <v>16550</v>
      </c>
      <c r="J20" s="1340"/>
      <c r="K20" s="1340"/>
      <c r="L20" s="1337">
        <f t="shared" si="0"/>
        <v>16550</v>
      </c>
      <c r="M20" s="1340">
        <v>16934</v>
      </c>
    </row>
    <row r="21" spans="2:14" ht="20.100000000000001" customHeight="1" x14ac:dyDescent="0.2">
      <c r="B21" s="1334" t="s">
        <v>2122</v>
      </c>
      <c r="C21" s="1338" t="s">
        <v>2123</v>
      </c>
      <c r="D21" s="1339" t="s">
        <v>2124</v>
      </c>
      <c r="E21" s="1340">
        <v>14195</v>
      </c>
      <c r="F21" s="1340">
        <v>2470</v>
      </c>
      <c r="G21" s="1340">
        <v>16665</v>
      </c>
      <c r="H21" s="1340"/>
      <c r="I21" s="1340"/>
      <c r="J21" s="1340"/>
      <c r="K21" s="1340"/>
      <c r="L21" s="1337">
        <f t="shared" si="0"/>
        <v>16665</v>
      </c>
      <c r="M21" s="1340">
        <v>16665</v>
      </c>
    </row>
    <row r="22" spans="2:14" ht="20.100000000000001" customHeight="1" x14ac:dyDescent="0.2">
      <c r="B22" s="1334" t="s">
        <v>2122</v>
      </c>
      <c r="C22" s="1338" t="s">
        <v>2123</v>
      </c>
      <c r="D22" s="1339" t="s">
        <v>2125</v>
      </c>
      <c r="E22" s="1340"/>
      <c r="F22" s="1340">
        <v>32319</v>
      </c>
      <c r="G22" s="1340"/>
      <c r="H22" s="1340"/>
      <c r="I22" s="1340">
        <v>30198</v>
      </c>
      <c r="J22" s="1340"/>
      <c r="K22" s="1340"/>
      <c r="L22" s="1337">
        <f t="shared" si="0"/>
        <v>30198</v>
      </c>
      <c r="M22" s="1340">
        <v>46391</v>
      </c>
    </row>
    <row r="23" spans="2:14" ht="20.100000000000001" customHeight="1" x14ac:dyDescent="0.2">
      <c r="B23" s="1334" t="s">
        <v>2126</v>
      </c>
      <c r="C23" s="1338" t="s">
        <v>2109</v>
      </c>
      <c r="D23" s="1339" t="s">
        <v>2127</v>
      </c>
      <c r="E23" s="1340"/>
      <c r="F23" s="1340">
        <v>31929</v>
      </c>
      <c r="G23" s="1340"/>
      <c r="H23" s="1340"/>
      <c r="I23" s="1340">
        <v>35701</v>
      </c>
      <c r="J23" s="1340"/>
      <c r="K23" s="1340"/>
      <c r="L23" s="1337">
        <f t="shared" si="0"/>
        <v>35701</v>
      </c>
      <c r="M23" s="1340">
        <v>46030</v>
      </c>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t="s">
        <v>2128</v>
      </c>
      <c r="C26" s="1338"/>
      <c r="D26" s="1339"/>
      <c r="E26" s="1340">
        <f>SUM(E13:E25)</f>
        <v>857801</v>
      </c>
      <c r="F26" s="1340">
        <f>SUM(F13:F25)</f>
        <v>1130595</v>
      </c>
      <c r="G26" s="1340">
        <f>SUM(G13:G25)</f>
        <v>1018974</v>
      </c>
      <c r="H26" s="1340"/>
      <c r="I26" s="1340">
        <f>SUM(I13:I25)</f>
        <v>1162555</v>
      </c>
      <c r="J26" s="1340"/>
      <c r="K26" s="1340"/>
      <c r="L26" s="1337">
        <f t="shared" si="0"/>
        <v>2181529</v>
      </c>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3E5BA-3628-4587-9D2A-7409FF599B98}">
  <dimension ref="B1:N152"/>
  <sheetViews>
    <sheetView showGridLines="0" zoomScaleNormal="100" workbookViewId="0">
      <selection activeCell="O22" sqref="O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Roxana CUSD 1</v>
      </c>
      <c r="C1" s="2431"/>
      <c r="D1" s="2431"/>
      <c r="E1" s="2431"/>
      <c r="F1" s="2431"/>
      <c r="G1" s="2431"/>
      <c r="H1" s="2431"/>
      <c r="I1" s="2431"/>
      <c r="J1" s="2431"/>
      <c r="K1" s="2431"/>
      <c r="L1" s="2431"/>
      <c r="M1" s="2431"/>
    </row>
    <row r="2" spans="2:14" ht="15" x14ac:dyDescent="0.2">
      <c r="B2" s="2432">
        <f>'Single Audit Cover'!E7</f>
        <v>41057001026</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2129</v>
      </c>
      <c r="C11" s="1335"/>
      <c r="D11" s="1336"/>
      <c r="E11" s="1337"/>
      <c r="F11" s="1337"/>
      <c r="G11" s="1337"/>
      <c r="H11" s="1337"/>
      <c r="I11" s="1337"/>
      <c r="J11" s="1337"/>
      <c r="K11" s="1337"/>
      <c r="L11" s="1337"/>
      <c r="M11" s="1337"/>
    </row>
    <row r="12" spans="2:14" ht="20.100000000000001" customHeight="1" x14ac:dyDescent="0.2">
      <c r="B12" s="1334" t="s">
        <v>2171</v>
      </c>
      <c r="C12" s="1338" t="s">
        <v>2130</v>
      </c>
      <c r="D12" s="1339" t="s">
        <v>2131</v>
      </c>
      <c r="E12" s="1340"/>
      <c r="F12" s="1340">
        <v>21719</v>
      </c>
      <c r="G12" s="1340"/>
      <c r="H12" s="1340"/>
      <c r="I12" s="1340">
        <v>21719</v>
      </c>
      <c r="J12" s="1340"/>
      <c r="K12" s="1340"/>
      <c r="L12" s="1337">
        <f t="shared" ref="L12:L27" si="0">+G12+I12+K12</f>
        <v>21719</v>
      </c>
      <c r="M12" s="1340">
        <v>21719</v>
      </c>
    </row>
    <row r="13" spans="2:14" ht="20.100000000000001" customHeight="1" x14ac:dyDescent="0.2">
      <c r="B13" s="1334"/>
      <c r="C13" s="1338"/>
      <c r="D13" s="1339"/>
      <c r="E13" s="1340"/>
      <c r="F13" s="1340"/>
      <c r="G13" s="1340"/>
      <c r="H13" s="1340"/>
      <c r="I13" s="1340"/>
      <c r="J13" s="1340"/>
      <c r="K13" s="1340"/>
      <c r="L13" s="1337"/>
      <c r="M13" s="1340"/>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334" t="s">
        <v>1169</v>
      </c>
      <c r="C15" s="1338"/>
      <c r="D15" s="1339"/>
      <c r="E15" s="1340"/>
      <c r="F15" s="1340"/>
      <c r="G15" s="1340"/>
      <c r="H15" s="1340"/>
      <c r="I15" s="1340"/>
      <c r="J15" s="1340"/>
      <c r="K15" s="1340"/>
      <c r="L15" s="1337"/>
      <c r="M15" s="1340"/>
    </row>
    <row r="16" spans="2:14" ht="20.100000000000001" customHeight="1" x14ac:dyDescent="0.2">
      <c r="B16" s="1334" t="s">
        <v>2132</v>
      </c>
      <c r="C16" s="1338"/>
      <c r="D16" s="1339"/>
      <c r="E16" s="1340">
        <f>' SEFA'!E26+' SEFA (2)'!E12</f>
        <v>857801</v>
      </c>
      <c r="F16" s="1340">
        <f>' SEFA'!F26+' SEFA (2)'!F12</f>
        <v>1152314</v>
      </c>
      <c r="G16" s="1340">
        <f>' SEFA'!G26+' SEFA (2)'!G12</f>
        <v>1018974</v>
      </c>
      <c r="H16" s="1340"/>
      <c r="I16" s="1340">
        <f>' SEFA'!I26+' SEFA (2)'!I12</f>
        <v>1184274</v>
      </c>
      <c r="J16" s="1340"/>
      <c r="K16" s="1340"/>
      <c r="L16" s="1337">
        <f t="shared" si="0"/>
        <v>2203248</v>
      </c>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t="s">
        <v>2133</v>
      </c>
      <c r="C19" s="1338"/>
      <c r="D19" s="1339"/>
      <c r="E19" s="1340"/>
      <c r="F19" s="1340"/>
      <c r="G19" s="1340"/>
      <c r="H19" s="1340"/>
      <c r="I19" s="1340"/>
      <c r="J19" s="1340"/>
      <c r="K19" s="1340"/>
      <c r="L19" s="1337"/>
      <c r="M19" s="1340"/>
    </row>
    <row r="20" spans="2:14" ht="20.100000000000001" customHeight="1" x14ac:dyDescent="0.2">
      <c r="B20" s="1334" t="s">
        <v>2107</v>
      </c>
      <c r="C20" s="1338"/>
      <c r="D20" s="1339"/>
      <c r="E20" s="1340"/>
      <c r="F20" s="1340"/>
      <c r="G20" s="1340"/>
      <c r="H20" s="1340"/>
      <c r="I20" s="1340"/>
      <c r="J20" s="1340"/>
      <c r="K20" s="1340"/>
      <c r="L20" s="1337"/>
      <c r="M20" s="1340"/>
    </row>
    <row r="21" spans="2:14" ht="20.100000000000001" customHeight="1" x14ac:dyDescent="0.2">
      <c r="B21" s="1334" t="s">
        <v>2134</v>
      </c>
      <c r="C21" s="1338">
        <v>10.555</v>
      </c>
      <c r="D21" s="1339" t="s">
        <v>2135</v>
      </c>
      <c r="E21" s="1340">
        <v>420720</v>
      </c>
      <c r="F21" s="1340">
        <v>150196</v>
      </c>
      <c r="G21" s="1340">
        <v>420720</v>
      </c>
      <c r="H21" s="1340"/>
      <c r="I21" s="1340">
        <v>150196</v>
      </c>
      <c r="J21" s="1340"/>
      <c r="K21" s="1340"/>
      <c r="L21" s="1337">
        <f t="shared" si="0"/>
        <v>570916</v>
      </c>
      <c r="M21" s="1340"/>
    </row>
    <row r="22" spans="2:14" ht="20.100000000000001" customHeight="1" x14ac:dyDescent="0.2">
      <c r="B22" s="1334" t="s">
        <v>2134</v>
      </c>
      <c r="C22" s="1338">
        <v>10.555</v>
      </c>
      <c r="D22" s="1339" t="s">
        <v>2136</v>
      </c>
      <c r="E22" s="1340"/>
      <c r="F22" s="1340">
        <v>448843</v>
      </c>
      <c r="G22" s="1340"/>
      <c r="H22" s="1340"/>
      <c r="I22" s="1340">
        <v>448843</v>
      </c>
      <c r="J22" s="1340"/>
      <c r="K22" s="1340"/>
      <c r="L22" s="1337">
        <f t="shared" si="0"/>
        <v>448843</v>
      </c>
      <c r="M22" s="1340"/>
    </row>
    <row r="23" spans="2:14" ht="20.100000000000001" customHeight="1" x14ac:dyDescent="0.2">
      <c r="B23" s="1334" t="s">
        <v>2137</v>
      </c>
      <c r="C23" s="1338">
        <v>10.553000000000001</v>
      </c>
      <c r="D23" s="1339" t="s">
        <v>2138</v>
      </c>
      <c r="E23" s="1340">
        <v>111987</v>
      </c>
      <c r="F23" s="1340">
        <v>45206</v>
      </c>
      <c r="G23" s="1340">
        <v>111987</v>
      </c>
      <c r="H23" s="1340"/>
      <c r="I23" s="1340">
        <v>45206</v>
      </c>
      <c r="J23" s="1340"/>
      <c r="K23" s="1340"/>
      <c r="L23" s="1337">
        <f t="shared" si="0"/>
        <v>157193</v>
      </c>
      <c r="M23" s="1340"/>
    </row>
    <row r="24" spans="2:14" ht="20.100000000000001" customHeight="1" x14ac:dyDescent="0.2">
      <c r="B24" s="1334" t="s">
        <v>2137</v>
      </c>
      <c r="C24" s="1338">
        <v>10.553000000000001</v>
      </c>
      <c r="D24" s="1339" t="s">
        <v>2139</v>
      </c>
      <c r="E24" s="1340"/>
      <c r="F24" s="1340">
        <v>144914</v>
      </c>
      <c r="G24" s="1340"/>
      <c r="H24" s="1340"/>
      <c r="I24" s="1340">
        <v>144914</v>
      </c>
      <c r="J24" s="1340"/>
      <c r="K24" s="1340"/>
      <c r="L24" s="1337">
        <f t="shared" si="0"/>
        <v>144914</v>
      </c>
      <c r="M24" s="1340"/>
    </row>
    <row r="25" spans="2:14" ht="20.100000000000001" customHeight="1" x14ac:dyDescent="0.2">
      <c r="B25" s="1334" t="s">
        <v>2140</v>
      </c>
      <c r="C25" s="1338">
        <v>10.555</v>
      </c>
      <c r="D25" s="1339" t="s">
        <v>2141</v>
      </c>
      <c r="E25" s="1340"/>
      <c r="F25" s="1340">
        <v>70388</v>
      </c>
      <c r="G25" s="1340"/>
      <c r="H25" s="1340"/>
      <c r="I25" s="1340">
        <v>70388</v>
      </c>
      <c r="J25" s="1340"/>
      <c r="K25" s="1340"/>
      <c r="L25" s="1337">
        <f t="shared" si="0"/>
        <v>70388</v>
      </c>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t="s">
        <v>2142</v>
      </c>
      <c r="C27" s="1338"/>
      <c r="D27" s="1339"/>
      <c r="E27" s="1340">
        <f>SUM(E20:E26)</f>
        <v>532707</v>
      </c>
      <c r="F27" s="1340">
        <f>SUM(F20:F26)</f>
        <v>859547</v>
      </c>
      <c r="G27" s="1340">
        <f>SUM(G20:G26)</f>
        <v>532707</v>
      </c>
      <c r="H27" s="1340"/>
      <c r="I27" s="1340">
        <f>SUM(I20:I26)</f>
        <v>859547</v>
      </c>
      <c r="J27" s="1340"/>
      <c r="K27" s="1340"/>
      <c r="L27" s="1337">
        <f t="shared" si="0"/>
        <v>1392254</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50" colorId="8" zoomScale="60" zoomScaleNormal="110" workbookViewId="0">
      <selection activeCell="I50" sqref="I5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2062</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75" right="0.75" top="0.75" bottom="0.5" header="0.5" footer="0.5"/>
  <pageSetup scale="48" firstPageNumber="2" orientation="portrait" r:id="rId1"/>
  <headerFooter>
    <oddHeader>&amp;C&amp;"Times New Roman,Regular"ROXANA COMMUNITY UNIT SCHOOL DISTRICT NO. 1</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6B6B5-727F-4CE6-869B-F7A139A30E1E}">
  <dimension ref="B1:N152"/>
  <sheetViews>
    <sheetView showGridLines="0" zoomScaleNormal="100" workbookViewId="0">
      <selection activeCell="C20" sqref="C2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Roxana CUSD 1</v>
      </c>
      <c r="C1" s="2431"/>
      <c r="D1" s="2431"/>
      <c r="E1" s="2431"/>
      <c r="F1" s="2431"/>
      <c r="G1" s="2431"/>
      <c r="H1" s="2431"/>
      <c r="I1" s="2431"/>
      <c r="J1" s="2431"/>
      <c r="K1" s="2431"/>
      <c r="L1" s="2431"/>
      <c r="M1" s="2431"/>
    </row>
    <row r="2" spans="2:14" ht="15" x14ac:dyDescent="0.2">
      <c r="B2" s="2432">
        <f>'Single Audit Cover'!E7</f>
        <v>41057001026</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2143</v>
      </c>
      <c r="C11" s="1335"/>
      <c r="D11" s="1336"/>
      <c r="E11" s="1337"/>
      <c r="F11" s="1337"/>
      <c r="G11" s="1337"/>
      <c r="H11" s="1337"/>
      <c r="I11" s="1337"/>
      <c r="J11" s="1337"/>
      <c r="K11" s="1337"/>
      <c r="L11" s="1337"/>
      <c r="M11" s="1337"/>
    </row>
    <row r="12" spans="2:14" ht="20.100000000000001" customHeight="1" x14ac:dyDescent="0.2">
      <c r="B12" s="1334" t="s">
        <v>2140</v>
      </c>
      <c r="C12" s="1338">
        <v>10.555</v>
      </c>
      <c r="D12" s="1339" t="s">
        <v>2141</v>
      </c>
      <c r="E12" s="1340"/>
      <c r="F12" s="1340">
        <v>12276</v>
      </c>
      <c r="G12" s="1340"/>
      <c r="H12" s="1340"/>
      <c r="I12" s="1340">
        <v>12276</v>
      </c>
      <c r="J12" s="1340"/>
      <c r="K12" s="1340"/>
      <c r="L12" s="1337">
        <f t="shared" ref="L12:L22" si="0">+G12+I12+K12</f>
        <v>12276</v>
      </c>
      <c r="M12" s="1340"/>
    </row>
    <row r="13" spans="2:14" ht="20.100000000000001" customHeight="1" x14ac:dyDescent="0.2">
      <c r="B13" s="1334"/>
      <c r="C13" s="1338"/>
      <c r="D13" s="1339"/>
      <c r="E13" s="1340"/>
      <c r="F13" s="1340"/>
      <c r="G13" s="1340"/>
      <c r="H13" s="1340"/>
      <c r="I13" s="1340"/>
      <c r="J13" s="1340"/>
      <c r="K13" s="1340"/>
      <c r="L13" s="1337"/>
      <c r="M13" s="1340"/>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334" t="s">
        <v>1169</v>
      </c>
      <c r="C15" s="1338"/>
      <c r="D15" s="1339"/>
      <c r="E15" s="1340"/>
      <c r="F15" s="1340"/>
      <c r="G15" s="1340"/>
      <c r="H15" s="1340"/>
      <c r="I15" s="1340"/>
      <c r="J15" s="1340"/>
      <c r="K15" s="1340"/>
      <c r="L15" s="1337"/>
      <c r="M15" s="1340"/>
    </row>
    <row r="16" spans="2:14" ht="20.100000000000001" customHeight="1" x14ac:dyDescent="0.2">
      <c r="B16" s="1334" t="s">
        <v>2144</v>
      </c>
      <c r="C16" s="1338"/>
      <c r="D16" s="1339"/>
      <c r="E16" s="1340"/>
      <c r="F16" s="1340"/>
      <c r="G16" s="1340"/>
      <c r="H16" s="1340"/>
      <c r="I16" s="1340"/>
      <c r="J16" s="1340"/>
      <c r="K16" s="1340"/>
      <c r="L16" s="1337"/>
      <c r="M16" s="1340"/>
    </row>
    <row r="17" spans="2:14" ht="20.100000000000001" customHeight="1" x14ac:dyDescent="0.2">
      <c r="B17" s="1334" t="s">
        <v>2145</v>
      </c>
      <c r="C17" s="1338"/>
      <c r="D17" s="1339"/>
      <c r="E17" s="1340"/>
      <c r="F17" s="1340"/>
      <c r="G17" s="1340"/>
      <c r="H17" s="1340"/>
      <c r="I17" s="1340"/>
      <c r="J17" s="1340"/>
      <c r="K17" s="1340"/>
      <c r="L17" s="1337"/>
      <c r="M17" s="1340"/>
    </row>
    <row r="18" spans="2:14" ht="20.100000000000001" customHeight="1" x14ac:dyDescent="0.2">
      <c r="B18" s="1334" t="s">
        <v>2146</v>
      </c>
      <c r="C18" s="1338">
        <v>93.778000000000006</v>
      </c>
      <c r="D18" s="1339">
        <v>2019</v>
      </c>
      <c r="E18" s="1340"/>
      <c r="F18" s="1340">
        <v>32979</v>
      </c>
      <c r="G18" s="1340"/>
      <c r="H18" s="1340"/>
      <c r="I18" s="1340">
        <v>32979</v>
      </c>
      <c r="J18" s="1340"/>
      <c r="K18" s="1340"/>
      <c r="L18" s="1337">
        <f t="shared" si="0"/>
        <v>32979</v>
      </c>
      <c r="M18" s="1340"/>
    </row>
    <row r="19" spans="2:14" ht="20.100000000000001" customHeight="1" x14ac:dyDescent="0.2">
      <c r="B19" s="1334" t="s">
        <v>2149</v>
      </c>
      <c r="C19" s="1338">
        <v>93.63</v>
      </c>
      <c r="D19" s="1339">
        <v>2019</v>
      </c>
      <c r="E19" s="1340"/>
      <c r="F19" s="1340">
        <v>42487</v>
      </c>
      <c r="G19" s="1340"/>
      <c r="H19" s="1340"/>
      <c r="I19" s="1340">
        <v>42487</v>
      </c>
      <c r="J19" s="1340"/>
      <c r="K19" s="1340"/>
      <c r="L19" s="1337">
        <f t="shared" si="0"/>
        <v>42487</v>
      </c>
      <c r="M19" s="1340"/>
    </row>
    <row r="20" spans="2:14" ht="20.100000000000001" customHeight="1" x14ac:dyDescent="0.2">
      <c r="B20" s="1334" t="s">
        <v>2150</v>
      </c>
      <c r="C20" s="1338"/>
      <c r="D20" s="1339"/>
      <c r="E20" s="1340"/>
      <c r="F20" s="1340">
        <f>SUM(F18:F19)</f>
        <v>75466</v>
      </c>
      <c r="G20" s="1340"/>
      <c r="H20" s="1340"/>
      <c r="I20" s="1340">
        <f>SUM(I18:I19)</f>
        <v>75466</v>
      </c>
      <c r="J20" s="1340"/>
      <c r="K20" s="1340"/>
      <c r="L20" s="1337">
        <f t="shared" si="0"/>
        <v>75466</v>
      </c>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t="s">
        <v>2147</v>
      </c>
      <c r="C22" s="1338"/>
      <c r="D22" s="1339"/>
      <c r="E22" s="1340">
        <f>' SEFA (2)'!E16+' SEFA (2)'!E27+' SEFA (3)'!E12+' SEFA (3)'!E18</f>
        <v>1390508</v>
      </c>
      <c r="F22" s="1340">
        <f>' SEFA (2)'!F16+' SEFA (2)'!F27+' SEFA (3)'!F12+' SEFA (3)'!F20</f>
        <v>2099603</v>
      </c>
      <c r="G22" s="1340">
        <f>' SEFA (2)'!G16+' SEFA (2)'!G27+' SEFA (3)'!G12+' SEFA (3)'!G18</f>
        <v>1551681</v>
      </c>
      <c r="H22" s="1340"/>
      <c r="I22" s="1340">
        <f>' SEFA (2)'!I16+' SEFA (2)'!I27+' SEFA (3)'!I12+' SEFA (3)'!I20</f>
        <v>2131563</v>
      </c>
      <c r="J22" s="1340"/>
      <c r="K22" s="1340"/>
      <c r="L22" s="1337">
        <f t="shared" si="0"/>
        <v>3683244</v>
      </c>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41BC-D55A-45DD-B581-458E3820AE89}">
  <dimension ref="B1:N152"/>
  <sheetViews>
    <sheetView showGridLines="0" zoomScaleNormal="100" workbookViewId="0">
      <selection activeCell="B22" sqref="B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Roxana CUSD 1</v>
      </c>
      <c r="C1" s="2431"/>
      <c r="D1" s="2431"/>
      <c r="E1" s="2431"/>
      <c r="F1" s="2431"/>
      <c r="G1" s="2431"/>
      <c r="H1" s="2431"/>
      <c r="I1" s="2431"/>
      <c r="J1" s="2431"/>
      <c r="K1" s="2431"/>
      <c r="L1" s="2431"/>
      <c r="M1" s="2431"/>
    </row>
    <row r="2" spans="2:14" ht="15" x14ac:dyDescent="0.2">
      <c r="B2" s="2432">
        <f>'Single Audit Cover'!E7</f>
        <v>41057001026</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2151</v>
      </c>
      <c r="C11" s="1335"/>
      <c r="D11" s="1336"/>
      <c r="E11" s="1337"/>
      <c r="F11" s="1337"/>
      <c r="G11" s="1337"/>
      <c r="H11" s="1337"/>
      <c r="I11" s="1337"/>
      <c r="J11" s="1337"/>
      <c r="K11" s="1337"/>
      <c r="L11" s="1337"/>
      <c r="M11" s="1337"/>
    </row>
    <row r="12" spans="2:14" ht="20.100000000000001" customHeight="1" x14ac:dyDescent="0.2">
      <c r="B12" s="1334" t="s">
        <v>2152</v>
      </c>
      <c r="C12" s="1338"/>
      <c r="D12" s="1339"/>
      <c r="E12" s="1340">
        <f>' SEFA'!E13+' SEFA'!E14+' SEFA'!E23</f>
        <v>409565</v>
      </c>
      <c r="F12" s="1340">
        <f>' SEFA'!F13+' SEFA'!F14+' SEFA'!F23</f>
        <v>500728</v>
      </c>
      <c r="G12" s="1340">
        <f>' SEFA'!G13+' SEFA'!G14</f>
        <v>482351</v>
      </c>
      <c r="H12" s="1340"/>
      <c r="I12" s="1340">
        <f>' SEFA'!I13+' SEFA'!I14+' SEFA'!I23</f>
        <v>568705</v>
      </c>
      <c r="J12" s="1340"/>
      <c r="K12" s="1340"/>
      <c r="L12" s="1337">
        <f t="shared" ref="L12:L23" si="0">+G12+I12+K12</f>
        <v>1051056</v>
      </c>
      <c r="M12" s="1340"/>
    </row>
    <row r="13" spans="2:14" ht="20.100000000000001" customHeight="1" x14ac:dyDescent="0.2">
      <c r="B13" s="1334" t="s">
        <v>2153</v>
      </c>
      <c r="C13" s="1338"/>
      <c r="D13" s="1339"/>
      <c r="E13" s="1340">
        <f>' SEFA'!E15+' SEFA'!E16</f>
        <v>52198</v>
      </c>
      <c r="F13" s="1340">
        <f>' SEFA'!F15+' SEFA'!F16</f>
        <v>83317</v>
      </c>
      <c r="G13" s="1340">
        <f>' SEFA'!G15+' SEFA'!G16</f>
        <v>74715</v>
      </c>
      <c r="H13" s="1340"/>
      <c r="I13" s="1340">
        <f>' SEFA'!I15+' SEFA'!I16</f>
        <v>94056</v>
      </c>
      <c r="J13" s="1340"/>
      <c r="K13" s="1340"/>
      <c r="L13" s="1337">
        <f t="shared" si="0"/>
        <v>168771</v>
      </c>
      <c r="M13" s="1340"/>
    </row>
    <row r="14" spans="2:14" ht="20.100000000000001" customHeight="1" x14ac:dyDescent="0.2">
      <c r="B14" s="1334" t="s">
        <v>2167</v>
      </c>
      <c r="C14" s="1338"/>
      <c r="D14" s="1339"/>
      <c r="E14" s="1340">
        <f>' SEFA'!E17+' SEFA'!E18</f>
        <v>370918</v>
      </c>
      <c r="F14" s="1340">
        <f>' SEFA'!F17+' SEFA'!F18</f>
        <v>492582</v>
      </c>
      <c r="G14" s="1340">
        <f>' SEFA'!G17+' SEFA'!G18</f>
        <v>431112</v>
      </c>
      <c r="H14" s="1340"/>
      <c r="I14" s="1340">
        <f>' SEFA'!I17+' SEFA'!I18</f>
        <v>453046</v>
      </c>
      <c r="J14" s="1340"/>
      <c r="K14" s="1340"/>
      <c r="L14" s="1337">
        <f t="shared" si="0"/>
        <v>884158</v>
      </c>
      <c r="M14" s="1340"/>
    </row>
    <row r="15" spans="2:14" ht="20.100000000000001" customHeight="1" x14ac:dyDescent="0.2">
      <c r="B15" s="1334" t="s">
        <v>2168</v>
      </c>
      <c r="C15" s="1338"/>
      <c r="D15" s="1339"/>
      <c r="E15" s="1340">
        <f>' SEFA'!E19+' SEFA'!E20</f>
        <v>10925</v>
      </c>
      <c r="F15" s="1340">
        <f>' SEFA'!F19+' SEFA'!F20</f>
        <v>19179</v>
      </c>
      <c r="G15" s="1340">
        <f>' SEFA'!G19+' SEFA'!G20</f>
        <v>14131</v>
      </c>
      <c r="H15" s="1340"/>
      <c r="I15" s="1340">
        <f>' SEFA'!I19+' SEFA'!I20</f>
        <v>16550</v>
      </c>
      <c r="J15" s="1340"/>
      <c r="K15" s="1340"/>
      <c r="L15" s="1337">
        <f t="shared" si="0"/>
        <v>30681</v>
      </c>
      <c r="M15" s="1340"/>
    </row>
    <row r="16" spans="2:14" ht="20.100000000000001" customHeight="1" x14ac:dyDescent="0.2">
      <c r="B16" s="1334" t="s">
        <v>2154</v>
      </c>
      <c r="C16" s="1338"/>
      <c r="D16" s="1339"/>
      <c r="E16" s="1340"/>
      <c r="F16" s="1340">
        <f>' SEFA (2)'!F12</f>
        <v>21719</v>
      </c>
      <c r="G16" s="1340"/>
      <c r="H16" s="1340"/>
      <c r="I16" s="1340">
        <f>' SEFA (2)'!I12</f>
        <v>21719</v>
      </c>
      <c r="J16" s="1340"/>
      <c r="K16" s="1340"/>
      <c r="L16" s="1337">
        <f t="shared" si="0"/>
        <v>21719</v>
      </c>
      <c r="M16" s="1340"/>
    </row>
    <row r="17" spans="2:14" ht="20.100000000000001" customHeight="1" x14ac:dyDescent="0.2">
      <c r="B17" s="1334" t="s">
        <v>2155</v>
      </c>
      <c r="C17" s="1338"/>
      <c r="D17" s="1339"/>
      <c r="E17" s="1340">
        <f>' SEFA'!E21+' SEFA'!E22</f>
        <v>14195</v>
      </c>
      <c r="F17" s="1340">
        <f>' SEFA'!F21+' SEFA'!F22</f>
        <v>34789</v>
      </c>
      <c r="G17" s="1340">
        <f>' SEFA'!G21+' SEFA'!G22</f>
        <v>16665</v>
      </c>
      <c r="H17" s="1340"/>
      <c r="I17" s="1340">
        <f>' SEFA'!I21+' SEFA'!I22</f>
        <v>30198</v>
      </c>
      <c r="J17" s="1340"/>
      <c r="K17" s="1340"/>
      <c r="L17" s="1337">
        <f t="shared" si="0"/>
        <v>46863</v>
      </c>
      <c r="M17" s="1340"/>
    </row>
    <row r="18" spans="2:14" ht="20.100000000000001" customHeight="1" x14ac:dyDescent="0.2">
      <c r="B18" s="1334" t="s">
        <v>2156</v>
      </c>
      <c r="C18" s="1338"/>
      <c r="D18" s="1339"/>
      <c r="E18" s="1340">
        <f>' SEFA (2)'!E21+' SEFA (2)'!E22+' SEFA (2)'!E25+' SEFA (3)'!E12</f>
        <v>420720</v>
      </c>
      <c r="F18" s="1340">
        <f>' SEFA (2)'!F21+' SEFA (2)'!F22+' SEFA (2)'!F25+' SEFA (3)'!F12</f>
        <v>681703</v>
      </c>
      <c r="G18" s="1340">
        <f>' SEFA (2)'!G21</f>
        <v>420720</v>
      </c>
      <c r="H18" s="1340"/>
      <c r="I18" s="1340">
        <f>' SEFA (2)'!I21+' SEFA (2)'!I25+' SEFA (2)'!I22+' SEFA (3)'!I12</f>
        <v>681703</v>
      </c>
      <c r="J18" s="1340"/>
      <c r="K18" s="1340"/>
      <c r="L18" s="1337">
        <f t="shared" si="0"/>
        <v>1102423</v>
      </c>
      <c r="M18" s="1340"/>
    </row>
    <row r="19" spans="2:14" ht="20.100000000000001" customHeight="1" x14ac:dyDescent="0.2">
      <c r="B19" s="1334" t="s">
        <v>2157</v>
      </c>
      <c r="C19" s="1338"/>
      <c r="D19" s="1339"/>
      <c r="E19" s="1340">
        <f>' SEFA (2)'!E23</f>
        <v>111987</v>
      </c>
      <c r="F19" s="1340">
        <f>' SEFA (2)'!F23+' SEFA (2)'!F24</f>
        <v>190120</v>
      </c>
      <c r="G19" s="1340">
        <f>' SEFA (2)'!G23</f>
        <v>111987</v>
      </c>
      <c r="H19" s="1340"/>
      <c r="I19" s="1340">
        <f>' SEFA (2)'!I23+' SEFA (2)'!I24</f>
        <v>190120</v>
      </c>
      <c r="J19" s="1340"/>
      <c r="K19" s="1340"/>
      <c r="L19" s="1337">
        <f t="shared" si="0"/>
        <v>302107</v>
      </c>
      <c r="M19" s="1340"/>
    </row>
    <row r="20" spans="2:14" ht="20.100000000000001" customHeight="1" x14ac:dyDescent="0.2">
      <c r="B20" s="1334" t="s">
        <v>2158</v>
      </c>
      <c r="C20" s="1338"/>
      <c r="D20" s="1339"/>
      <c r="E20" s="1340"/>
      <c r="F20" s="1340">
        <f>' SEFA (3)'!F18</f>
        <v>32979</v>
      </c>
      <c r="G20" s="1340"/>
      <c r="H20" s="1340"/>
      <c r="I20" s="1340">
        <f>' SEFA (3)'!I18</f>
        <v>32979</v>
      </c>
      <c r="J20" s="1340"/>
      <c r="K20" s="1340"/>
      <c r="L20" s="1337">
        <f t="shared" si="0"/>
        <v>32979</v>
      </c>
      <c r="M20" s="1340"/>
    </row>
    <row r="21" spans="2:14" ht="20.100000000000001" customHeight="1" x14ac:dyDescent="0.2">
      <c r="B21" s="1334" t="s">
        <v>2185</v>
      </c>
      <c r="C21" s="1338"/>
      <c r="D21" s="1339"/>
      <c r="E21" s="1340"/>
      <c r="F21" s="1340">
        <f>' SEFA (3)'!F19</f>
        <v>42487</v>
      </c>
      <c r="G21" s="1340"/>
      <c r="H21" s="1340"/>
      <c r="I21" s="1340">
        <f>' SEFA (3)'!I19</f>
        <v>42487</v>
      </c>
      <c r="J21" s="1340"/>
      <c r="K21" s="1340"/>
      <c r="L21" s="1337">
        <f t="shared" si="0"/>
        <v>42487</v>
      </c>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t="s">
        <v>2147</v>
      </c>
      <c r="C23" s="1338"/>
      <c r="D23" s="1339"/>
      <c r="E23" s="1340">
        <f>SUM(E11:E22)</f>
        <v>1390508</v>
      </c>
      <c r="F23" s="1340">
        <f>SUM(F11:F22)</f>
        <v>2099603</v>
      </c>
      <c r="G23" s="1340">
        <f>SUM(G11:G22)</f>
        <v>1551681</v>
      </c>
      <c r="H23" s="1340"/>
      <c r="I23" s="1340">
        <f>SUM(I11:I22)</f>
        <v>2131563</v>
      </c>
      <c r="J23" s="1340"/>
      <c r="K23" s="1340"/>
      <c r="L23" s="1337">
        <f t="shared" si="0"/>
        <v>3683244</v>
      </c>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t="s">
        <v>2159</v>
      </c>
      <c r="C25" s="1338"/>
      <c r="D25" s="1339"/>
      <c r="E25" s="1340"/>
      <c r="F25" s="1340"/>
      <c r="G25" s="1340"/>
      <c r="H25" s="1340"/>
      <c r="I25" s="1340"/>
      <c r="J25" s="1340"/>
      <c r="K25" s="1340"/>
      <c r="L25" s="1337"/>
      <c r="M25" s="1340"/>
    </row>
    <row r="26" spans="2:14" ht="20.100000000000001" customHeight="1" x14ac:dyDescent="0.2">
      <c r="B26" s="1334" t="s">
        <v>2160</v>
      </c>
      <c r="C26" s="1338"/>
      <c r="D26" s="1339"/>
      <c r="E26" s="1340">
        <f>E18+E19</f>
        <v>532707</v>
      </c>
      <c r="F26" s="1340">
        <f>F18+F19</f>
        <v>871823</v>
      </c>
      <c r="G26" s="1340">
        <f>G18+G19</f>
        <v>532707</v>
      </c>
      <c r="H26" s="1340"/>
      <c r="I26" s="1340">
        <f>I18+I19</f>
        <v>871823</v>
      </c>
      <c r="J26" s="1340"/>
      <c r="K26" s="1340"/>
      <c r="L26" s="1337">
        <f>L18+L19</f>
        <v>1404530</v>
      </c>
      <c r="M26" s="1340"/>
    </row>
    <row r="27" spans="2:14" ht="20.100000000000001" customHeight="1" x14ac:dyDescent="0.2">
      <c r="B27" s="1334" t="s">
        <v>2166</v>
      </c>
      <c r="C27" s="1338"/>
      <c r="D27" s="1339"/>
      <c r="E27" s="1340">
        <f>E14+E15</f>
        <v>381843</v>
      </c>
      <c r="F27" s="1340">
        <f>F14+F15</f>
        <v>511761</v>
      </c>
      <c r="G27" s="1340">
        <f>G14+G15</f>
        <v>445243</v>
      </c>
      <c r="H27" s="1340"/>
      <c r="I27" s="1340">
        <f>I14+I15</f>
        <v>469596</v>
      </c>
      <c r="J27" s="1340"/>
      <c r="K27" s="1340"/>
      <c r="L27" s="1337">
        <f>L14+L15</f>
        <v>914839</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B18" sqref="B1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Roxana CUSD 1</v>
      </c>
      <c r="B1" s="2444"/>
      <c r="C1" s="2444"/>
      <c r="D1" s="2444"/>
      <c r="E1" s="2444"/>
      <c r="F1" s="2444"/>
    </row>
    <row r="2" spans="1:7" ht="13.5" customHeight="1" x14ac:dyDescent="0.2">
      <c r="A2" s="2432">
        <f>'Single Audit Cover'!E7</f>
        <v>41057001026</v>
      </c>
      <c r="B2" s="2432"/>
      <c r="C2" s="2432"/>
      <c r="D2" s="2432"/>
      <c r="E2" s="2432"/>
      <c r="F2" s="2432"/>
      <c r="G2" s="1272"/>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1728</v>
      </c>
      <c r="C6" s="317"/>
      <c r="D6" s="317"/>
    </row>
    <row r="7" spans="1:7" ht="60.95" customHeight="1" x14ac:dyDescent="0.2">
      <c r="A7" s="2443" t="s">
        <v>2076</v>
      </c>
      <c r="B7" s="2443"/>
      <c r="C7" s="2443"/>
      <c r="D7" s="2443"/>
      <c r="E7" s="2443"/>
      <c r="F7" s="2443"/>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20.25" customHeight="1" x14ac:dyDescent="0.2">
      <c r="A13" s="2443" t="s">
        <v>2077</v>
      </c>
      <c r="B13" s="2443"/>
      <c r="C13" s="2443"/>
      <c r="D13" s="2443"/>
      <c r="E13" s="2443"/>
      <c r="F13" s="2443"/>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t="s">
        <v>2079</v>
      </c>
      <c r="C17" s="1282"/>
      <c r="D17" s="2436"/>
      <c r="E17" s="2436"/>
      <c r="F17" s="2436"/>
    </row>
    <row r="18" spans="1:6" ht="20.65" customHeight="1" x14ac:dyDescent="0.2">
      <c r="A18" s="1280"/>
      <c r="B18" s="1281"/>
      <c r="C18" s="1282"/>
      <c r="D18" s="2436"/>
      <c r="E18" s="2436"/>
      <c r="F18" s="2436"/>
    </row>
    <row r="19" spans="1:6" ht="20.65" customHeight="1" x14ac:dyDescent="0.2">
      <c r="A19" s="1280"/>
      <c r="B19" s="1281"/>
      <c r="C19" s="1282"/>
      <c r="D19" s="2436"/>
      <c r="E19" s="2436"/>
      <c r="F19" s="2436"/>
    </row>
    <row r="20" spans="1:6" ht="20.65" customHeight="1" x14ac:dyDescent="0.2">
      <c r="A20" s="1280"/>
      <c r="B20" s="1281"/>
      <c r="C20" s="1282"/>
      <c r="D20" s="2436"/>
      <c r="E20" s="2436"/>
      <c r="F20" s="2436"/>
    </row>
    <row r="21" spans="1:6" ht="20.65" customHeight="1" x14ac:dyDescent="0.2">
      <c r="A21" s="1280"/>
      <c r="B21" s="1281"/>
      <c r="C21" s="1282"/>
      <c r="D21" s="2436"/>
      <c r="E21" s="2436"/>
      <c r="F21" s="2436"/>
    </row>
    <row r="22" spans="1:6" ht="20.65" customHeight="1" x14ac:dyDescent="0.2">
      <c r="A22" s="1280"/>
      <c r="B22" s="1281"/>
      <c r="C22" s="1282"/>
      <c r="D22" s="2436"/>
      <c r="E22" s="2436"/>
      <c r="F22" s="2436"/>
    </row>
    <row r="23" spans="1:6" ht="20.65" customHeight="1" x14ac:dyDescent="0.2">
      <c r="A23" s="1280"/>
      <c r="B23" s="1281"/>
      <c r="C23" s="1282"/>
      <c r="D23" s="2436"/>
      <c r="E23" s="2436"/>
      <c r="F23" s="2436"/>
    </row>
    <row r="24" spans="1:6" ht="20.65" customHeight="1" x14ac:dyDescent="0.2">
      <c r="A24" s="1280"/>
      <c r="B24" s="1281"/>
      <c r="C24" s="1282"/>
      <c r="D24" s="2436"/>
      <c r="E24" s="2436"/>
      <c r="F24" s="2436"/>
    </row>
    <row r="25" spans="1:6" ht="20.65" customHeight="1" x14ac:dyDescent="0.2">
      <c r="A25" s="1280"/>
      <c r="B25" s="1281"/>
      <c r="C25" s="1282"/>
      <c r="D25" s="2436"/>
      <c r="E25" s="2436"/>
      <c r="F25" s="2436"/>
    </row>
    <row r="26" spans="1:6" ht="20.65" customHeight="1" x14ac:dyDescent="0.2">
      <c r="A26" s="1280"/>
      <c r="B26" s="1281"/>
      <c r="C26" s="1282"/>
      <c r="D26" s="2436"/>
      <c r="E26" s="2436"/>
      <c r="F26" s="2436"/>
    </row>
    <row r="27" spans="1:6" ht="20.65" customHeight="1" x14ac:dyDescent="0.2">
      <c r="A27" s="1280"/>
      <c r="B27" s="1281"/>
      <c r="C27" s="1282"/>
      <c r="D27" s="2436"/>
      <c r="E27" s="2436"/>
      <c r="F27" s="2436"/>
    </row>
    <row r="28" spans="1:6" ht="20.65" customHeight="1" x14ac:dyDescent="0.2">
      <c r="A28" s="1280"/>
      <c r="B28" s="1281"/>
      <c r="C28" s="1282"/>
      <c r="D28" s="2436"/>
      <c r="E28" s="2436"/>
      <c r="F28" s="2436"/>
    </row>
    <row r="29" spans="1:6" ht="20.65" customHeight="1" x14ac:dyDescent="0.2">
      <c r="A29" s="1280"/>
      <c r="B29" s="1281"/>
      <c r="C29" s="1282"/>
      <c r="D29" s="2436"/>
      <c r="E29" s="2436"/>
      <c r="F29" s="2436"/>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7" t="s">
        <v>2078</v>
      </c>
      <c r="B32" s="2437"/>
      <c r="C32" s="2437"/>
      <c r="D32" s="2437"/>
      <c r="E32" s="2437"/>
      <c r="F32" s="2437"/>
    </row>
    <row r="33" spans="1:6" ht="13.5" customHeight="1" x14ac:dyDescent="0.2">
      <c r="A33" s="328" t="s">
        <v>1434</v>
      </c>
      <c r="B33" s="328"/>
      <c r="C33" s="1285">
        <v>70388</v>
      </c>
      <c r="D33" s="1903"/>
      <c r="E33" s="1283"/>
    </row>
    <row r="34" spans="1:6" ht="13.5" customHeight="1" x14ac:dyDescent="0.2">
      <c r="A34" s="328" t="s">
        <v>1835</v>
      </c>
      <c r="B34" s="328"/>
      <c r="C34" s="1286">
        <v>12276</v>
      </c>
      <c r="D34" s="1903" t="s">
        <v>1589</v>
      </c>
      <c r="E34" s="2438">
        <f>+C33+C34</f>
        <v>82664</v>
      </c>
      <c r="F34" s="243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99</v>
      </c>
      <c r="D38" s="1903"/>
      <c r="E38" s="1283"/>
    </row>
    <row r="39" spans="1:6" ht="14.25" customHeight="1" x14ac:dyDescent="0.2">
      <c r="A39" s="328"/>
      <c r="B39" s="328" t="s">
        <v>1436</v>
      </c>
      <c r="C39" s="1289" t="s">
        <v>99</v>
      </c>
      <c r="D39" s="1903"/>
      <c r="E39" s="1283"/>
    </row>
    <row r="40" spans="1:6" ht="14.25" customHeight="1" x14ac:dyDescent="0.2">
      <c r="A40" s="328"/>
      <c r="B40" s="328" t="s">
        <v>1437</v>
      </c>
      <c r="C40" s="1289" t="s">
        <v>99</v>
      </c>
      <c r="D40" s="1903"/>
      <c r="E40" s="1283"/>
    </row>
    <row r="41" spans="1:6" ht="14.25" customHeight="1" x14ac:dyDescent="0.2">
      <c r="A41" s="328"/>
      <c r="B41" s="328" t="s">
        <v>1438</v>
      </c>
      <c r="C41" s="1289" t="s">
        <v>99</v>
      </c>
      <c r="D41" s="1903"/>
      <c r="E41" s="1283"/>
    </row>
    <row r="42" spans="1:6" ht="14.25" customHeight="1" x14ac:dyDescent="0.2">
      <c r="A42" s="328" t="s">
        <v>1439</v>
      </c>
      <c r="B42" s="328"/>
      <c r="C42" s="1901" t="s">
        <v>99</v>
      </c>
      <c r="D42" s="1903"/>
      <c r="E42" s="1283"/>
    </row>
    <row r="43" spans="1:6" ht="14.25" customHeight="1" x14ac:dyDescent="0.2">
      <c r="A43" s="328" t="s">
        <v>1440</v>
      </c>
      <c r="B43" s="328"/>
      <c r="C43" s="1290" t="s">
        <v>99</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0" t="s">
        <v>1590</v>
      </c>
      <c r="C49" s="2440"/>
      <c r="D49" s="2440"/>
      <c r="E49" s="1396"/>
    </row>
    <row r="50" spans="1:5" s="1297" customFormat="1" ht="3.75" customHeight="1" x14ac:dyDescent="0.2">
      <c r="A50" s="1296"/>
      <c r="B50" s="1845"/>
      <c r="C50" s="1845"/>
      <c r="D50" s="1845"/>
      <c r="E50" s="1396"/>
    </row>
    <row r="51" spans="1:5" s="1297" customFormat="1" ht="20.25" customHeight="1" x14ac:dyDescent="0.2">
      <c r="A51" s="1298">
        <v>6</v>
      </c>
      <c r="B51" s="2435" t="s">
        <v>1551</v>
      </c>
      <c r="C51" s="2435"/>
      <c r="D51" s="2435"/>
    </row>
    <row r="52" spans="1:5" ht="14.25" customHeight="1" x14ac:dyDescent="0.2">
      <c r="A52" s="1298"/>
      <c r="B52" s="2435"/>
      <c r="C52" s="2435"/>
      <c r="D52" s="243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0.75" bottom="0.5" header="0.5" footer="0.5"/>
  <pageSetup scale="80" firstPageNumber="39" orientation="portrait" r:id="rId1"/>
  <headerFooter>
    <oddHeader xml:space="preserve">&amp;C&amp;"Times New Roman,Regular"
</oddHead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34" sqref="N3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Roxana CUSD 1</v>
      </c>
      <c r="C1" s="2459"/>
      <c r="D1" s="2459"/>
      <c r="E1" s="2459"/>
      <c r="F1" s="2459"/>
      <c r="G1" s="2459"/>
      <c r="H1" s="2459"/>
      <c r="I1" s="2459"/>
      <c r="J1" s="1406"/>
    </row>
    <row r="2" spans="2:10" s="317" customFormat="1" ht="12.75" customHeight="1" x14ac:dyDescent="0.2">
      <c r="B2" s="2460">
        <f>'Single Audit Cover'!E7</f>
        <v>41057001026</v>
      </c>
      <c r="C2" s="2461"/>
      <c r="D2" s="2461"/>
      <c r="E2" s="2461"/>
      <c r="F2" s="2461"/>
      <c r="G2" s="2461"/>
      <c r="H2" s="2461"/>
      <c r="I2" s="2461"/>
      <c r="J2" s="1406"/>
    </row>
    <row r="3" spans="2:10" s="317" customFormat="1" ht="12.75" customHeight="1" x14ac:dyDescent="0.2">
      <c r="B3" s="2462" t="s">
        <v>1285</v>
      </c>
      <c r="C3" s="2463"/>
      <c r="D3" s="2463"/>
      <c r="E3" s="2463"/>
      <c r="F3" s="2463"/>
      <c r="G3" s="2463"/>
      <c r="H3" s="2463"/>
      <c r="I3" s="2463"/>
      <c r="J3" s="1407"/>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2" t="s">
        <v>1284</v>
      </c>
      <c r="C7" s="2463"/>
      <c r="D7" s="2463"/>
      <c r="E7" s="2463"/>
      <c r="F7" s="2463"/>
      <c r="G7" s="2463"/>
      <c r="H7" s="2463"/>
      <c r="I7" s="246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4" t="s">
        <v>2161</v>
      </c>
      <c r="D11" s="2464"/>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5" t="s">
        <v>2162</v>
      </c>
      <c r="E29" s="2465"/>
      <c r="F29" s="2465"/>
      <c r="G29" s="2465"/>
      <c r="H29" s="2465"/>
      <c r="I29" s="2465"/>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6" t="s">
        <v>1748</v>
      </c>
      <c r="D37" s="2467"/>
      <c r="E37" s="2467"/>
      <c r="F37" s="2468"/>
      <c r="G37" s="2466" t="s">
        <v>1592</v>
      </c>
      <c r="H37" s="2467"/>
      <c r="I37" s="2468"/>
    </row>
    <row r="38" spans="2:9" ht="16.5" customHeight="1" x14ac:dyDescent="0.2">
      <c r="B38" s="1428" t="s">
        <v>2163</v>
      </c>
      <c r="C38" s="2454" t="s">
        <v>2164</v>
      </c>
      <c r="D38" s="2455"/>
      <c r="E38" s="2455"/>
      <c r="F38" s="2456"/>
      <c r="G38" s="2469">
        <v>871823</v>
      </c>
      <c r="H38" s="2470"/>
      <c r="I38" s="2471"/>
    </row>
    <row r="39" spans="2:9" ht="16.5" customHeight="1" x14ac:dyDescent="0.2">
      <c r="B39" s="1428"/>
      <c r="C39" s="2454"/>
      <c r="D39" s="2455"/>
      <c r="E39" s="2455"/>
      <c r="F39" s="2456"/>
      <c r="G39" s="2457"/>
      <c r="H39" s="2457"/>
      <c r="I39" s="2457"/>
    </row>
    <row r="40" spans="2:9" ht="16.5" customHeight="1" x14ac:dyDescent="0.2">
      <c r="B40" s="1428"/>
      <c r="C40" s="2454"/>
      <c r="D40" s="2455"/>
      <c r="E40" s="2455"/>
      <c r="F40" s="2456"/>
      <c r="G40" s="2457"/>
      <c r="H40" s="2457"/>
      <c r="I40" s="2457"/>
    </row>
    <row r="41" spans="2:9" ht="16.5" customHeight="1" x14ac:dyDescent="0.2">
      <c r="B41" s="1428"/>
      <c r="C41" s="2454"/>
      <c r="D41" s="2455"/>
      <c r="E41" s="2455"/>
      <c r="F41" s="2456"/>
      <c r="G41" s="2457"/>
      <c r="H41" s="2457"/>
      <c r="I41" s="2457"/>
    </row>
    <row r="42" spans="2:9" ht="16.5" customHeight="1" x14ac:dyDescent="0.2">
      <c r="B42" s="1428"/>
      <c r="C42" s="2454"/>
      <c r="D42" s="2455"/>
      <c r="E42" s="2455"/>
      <c r="F42" s="2456"/>
      <c r="G42" s="2457"/>
      <c r="H42" s="2457"/>
      <c r="I42" s="2457"/>
    </row>
    <row r="43" spans="2:9" ht="16.5" customHeight="1" x14ac:dyDescent="0.2">
      <c r="B43" s="1428"/>
      <c r="C43" s="2447" t="s">
        <v>1593</v>
      </c>
      <c r="D43" s="2448"/>
      <c r="E43" s="2448"/>
      <c r="F43" s="2449"/>
      <c r="G43" s="2450">
        <f>SUM(G38:I42)</f>
        <v>871823</v>
      </c>
      <c r="H43" s="2450"/>
      <c r="I43" s="2450"/>
    </row>
    <row r="44" spans="2:9" ht="12.75" customHeight="1" x14ac:dyDescent="0.2"/>
    <row r="45" spans="2:9" ht="12.75" customHeight="1" x14ac:dyDescent="0.2">
      <c r="B45" s="1419" t="s">
        <v>1838</v>
      </c>
      <c r="D45" s="2451">
        <v>2134056</v>
      </c>
      <c r="E45" s="2452"/>
    </row>
    <row r="46" spans="2:9" ht="5.25" customHeight="1" x14ac:dyDescent="0.2">
      <c r="B46" s="1429"/>
      <c r="D46" s="1430"/>
      <c r="E46" s="1431"/>
    </row>
    <row r="47" spans="2:9" ht="12.75" customHeight="1" x14ac:dyDescent="0.2">
      <c r="B47" s="1297" t="s">
        <v>1594</v>
      </c>
      <c r="C47" s="1297"/>
      <c r="D47" s="1432">
        <f>+G43/D45</f>
        <v>0.4085286421724641</v>
      </c>
      <c r="E47" s="1433"/>
      <c r="F47" s="1434"/>
      <c r="I47" s="1435"/>
    </row>
    <row r="48" spans="2:9" ht="9.9499999999999993" customHeight="1" x14ac:dyDescent="0.2"/>
    <row r="49" spans="1:9" x14ac:dyDescent="0.2">
      <c r="B49" s="1365" t="s">
        <v>1273</v>
      </c>
      <c r="C49" s="1279"/>
      <c r="D49" s="1279"/>
      <c r="E49" s="2453">
        <v>750000</v>
      </c>
      <c r="F49" s="2453"/>
      <c r="G49" s="2453"/>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75" right="0.75" top="0.75" bottom="0.5" header="0.5" footer="0.5"/>
  <pageSetup scale="88" firstPageNumber="40" orientation="portrait" r:id="rId1"/>
  <headerFooter>
    <oddHeader xml:space="preserve">&amp;C&amp;"Times New Roman,Regular"
</oddHeader>
    <oddFooter>&amp;C&amp;"Times New Roman,Regular"See Independent Auditor's Reports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Roxana CUSD 1</v>
      </c>
      <c r="C1" s="2458"/>
      <c r="D1" s="2458"/>
      <c r="E1" s="2458"/>
      <c r="F1" s="2458"/>
      <c r="G1" s="2458"/>
      <c r="H1" s="2458"/>
      <c r="I1" s="2458"/>
      <c r="J1" s="2458"/>
      <c r="K1" s="2458"/>
      <c r="L1" s="1371"/>
      <c r="M1" s="1371"/>
    </row>
    <row r="2" spans="1:13" ht="12" customHeight="1" x14ac:dyDescent="0.2">
      <c r="B2" s="2460">
        <f>'Single Audit Cover'!E7</f>
        <v>41057001026</v>
      </c>
      <c r="C2" s="2460"/>
      <c r="D2" s="2460"/>
      <c r="E2" s="2460"/>
      <c r="F2" s="2460"/>
      <c r="G2" s="2460"/>
      <c r="H2" s="2460"/>
      <c r="I2" s="2460"/>
      <c r="J2" s="2460"/>
      <c r="K2" s="2460"/>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2079</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0.75" bottom="0.5" header="0.5" footer="0.5"/>
  <pageSetup scale="89" firstPageNumber="41" orientation="portrait" r:id="rId1"/>
  <headerFooter>
    <oddHeader xml:space="preserve">&amp;C&amp;"Times New Roman,Regular"
</oddHeader>
    <oddFooter>&amp;C&amp;"Times New Roman,Regular"See Independent Auditor's Reports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Roxana CUSD 1</v>
      </c>
      <c r="C1" s="2481"/>
      <c r="D1" s="2481"/>
      <c r="E1" s="2481"/>
      <c r="F1" s="2481"/>
      <c r="G1" s="2481"/>
      <c r="H1" s="2481"/>
      <c r="I1" s="2481"/>
      <c r="J1" s="2481"/>
      <c r="K1" s="2481"/>
      <c r="L1" s="1449"/>
    </row>
    <row r="2" spans="1:12" ht="12.75" customHeight="1" x14ac:dyDescent="0.2">
      <c r="B2" s="2482">
        <f>'Single Audit Cover'!E7</f>
        <v>41057001026</v>
      </c>
      <c r="C2" s="2482"/>
      <c r="D2" s="2482"/>
      <c r="E2" s="2482"/>
      <c r="F2" s="2482"/>
      <c r="G2" s="2482"/>
      <c r="H2" s="2482"/>
      <c r="I2" s="2482"/>
      <c r="J2" s="2482"/>
      <c r="K2" s="2482"/>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5"/>
      <c r="G12" s="2465"/>
      <c r="H12" s="2465"/>
      <c r="I12" s="2465"/>
      <c r="J12" s="2465"/>
      <c r="K12" s="246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8"/>
      <c r="E14" s="2478"/>
      <c r="F14" s="2478"/>
      <c r="H14" s="1459" t="s">
        <v>1303</v>
      </c>
      <c r="I14" s="2479"/>
      <c r="J14" s="2479"/>
      <c r="K14" s="247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9"/>
      <c r="E16" s="2479"/>
      <c r="F16" s="2479"/>
      <c r="G16" s="2479"/>
      <c r="H16" s="2479"/>
      <c r="I16" s="2479"/>
      <c r="J16" s="2479"/>
      <c r="K16" s="2479"/>
      <c r="L16" s="322"/>
    </row>
    <row r="17" spans="2:12" ht="13.5" customHeight="1" x14ac:dyDescent="0.2">
      <c r="B17" s="1384" t="s">
        <v>1301</v>
      </c>
      <c r="C17" s="1384"/>
      <c r="D17" s="2480"/>
      <c r="E17" s="2480"/>
      <c r="F17" s="2480"/>
      <c r="G17" s="2480"/>
      <c r="H17" s="2480"/>
      <c r="I17" s="2480"/>
      <c r="J17" s="2480"/>
      <c r="K17" s="248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t="s">
        <v>2079</v>
      </c>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25" bottom="0.5" header="0.5" footer="0.5"/>
  <pageSetup scale="89" firstPageNumber="42" orientation="portrait" r:id="rId1"/>
  <headerFooter>
    <oddHeader xml:space="preserve">&amp;C&amp;"Times New Roman,Regular"
</oddHeader>
    <oddFooter>&amp;C&amp;"Times New Roman,Regular"See Independent Auditor's Reports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7" zoomScale="110" zoomScaleNormal="110" workbookViewId="0">
      <selection activeCell="C20" sqref="C2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8" t="str">
        <f>'Single Audit Cover'!A7</f>
        <v>Roxana CUSD 1</v>
      </c>
      <c r="C1" s="2458"/>
      <c r="D1" s="2458"/>
      <c r="E1" s="1469"/>
    </row>
    <row r="2" spans="2:5" s="1279" customFormat="1" ht="12.75" customHeight="1" x14ac:dyDescent="0.2">
      <c r="B2" s="2460">
        <f>'Single Audit Cover'!E7</f>
        <v>41057001026</v>
      </c>
      <c r="C2" s="2460"/>
      <c r="D2" s="2460"/>
      <c r="E2" s="1470"/>
    </row>
    <row r="3" spans="2:5" ht="12.75" customHeight="1" x14ac:dyDescent="0.2">
      <c r="B3" s="2474" t="s">
        <v>1763</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c r="C7" s="324"/>
      <c r="D7" s="324"/>
      <c r="E7" s="324"/>
    </row>
    <row r="8" spans="2:5" ht="13.5" customHeight="1" x14ac:dyDescent="0.2">
      <c r="B8" s="1474" t="s">
        <v>2079</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rintOptions horizontalCentered="1"/>
  <pageMargins left="0.75" right="0.75" top="1" bottom="0.5" header="0.5" footer="0.5"/>
  <pageSetup scale="90" firstPageNumber="43" orientation="portrait" r:id="rId1"/>
  <headerFooter>
    <oddHeader xml:space="preserve">&amp;C&amp;"Times New Roman,Regular"
</oddHeader>
    <oddFooter>&amp;C&amp;"Times New Roman,Regular"See Independent Auditor's Reports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AD25" sqref="AD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493869261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2.3993E-2</v>
      </c>
      <c r="E10" s="356" t="s">
        <v>1005</v>
      </c>
      <c r="F10" s="355">
        <v>5.6308399999999998E-3</v>
      </c>
      <c r="G10" s="356" t="s">
        <v>1005</v>
      </c>
      <c r="H10" s="355">
        <v>1.9589999999999998E-3</v>
      </c>
      <c r="I10" s="356" t="s">
        <v>1006</v>
      </c>
      <c r="J10" s="1732">
        <f>ROUND(D10+F10+H10,5)</f>
        <v>3.1579999999999997E-2</v>
      </c>
      <c r="K10" s="222"/>
      <c r="L10" s="355">
        <v>0</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22984134</v>
      </c>
      <c r="E16" s="356"/>
      <c r="F16" s="1733">
        <f>SUM('Acct Summary 7-8'!C17,'Acct Summary 7-8'!D17,'Acct Summary 7-8'!F17)</f>
        <v>21570858</v>
      </c>
      <c r="G16" s="356"/>
      <c r="H16" s="1733">
        <f>SUM(D16-F16)</f>
        <v>1413276</v>
      </c>
      <c r="I16" s="222"/>
      <c r="J16" s="1733">
        <f>SUM('Acct Summary 7-8'!C81,'Acct Summary 7-8'!D81,'Acct Summary 7-8'!F81,'Acct Summary 7-8'!I81)</f>
        <v>18513969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68153958.018000007</v>
      </c>
      <c r="I31" s="368"/>
      <c r="J31" s="222"/>
      <c r="K31" s="222"/>
      <c r="L31" s="222"/>
      <c r="M31" s="222"/>
    </row>
    <row r="32" spans="1:13" ht="13.35" customHeight="1" x14ac:dyDescent="0.2">
      <c r="B32" s="369" t="s">
        <v>2061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19400528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orizontalCentered="1"/>
  <pageMargins left="0.75" right="0.75" top="1" bottom="0.5" header="0.5" footer="0.5"/>
  <pageSetup scale="90" firstPageNumber="3" orientation="portrait" r:id="rId1"/>
  <headerFooter>
    <oddHeader>&amp;C&amp;"Times New Roman,Regular"ROXANA COMMUNITY UNIT SCHOOL DISTRICT NO. 1</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W1" zoomScale="86" zoomScaleNormal="86" zoomScaleSheetLayoutView="91" workbookViewId="0">
      <selection activeCell="AD25" sqref="AD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Roxana CUSD 1</v>
      </c>
      <c r="E7" s="391"/>
      <c r="G7" s="252"/>
      <c r="H7" s="387"/>
      <c r="I7" s="387"/>
      <c r="J7" s="387"/>
      <c r="K7" s="387"/>
      <c r="L7" s="329"/>
      <c r="M7" s="329"/>
      <c r="N7" s="329"/>
      <c r="O7" s="329"/>
      <c r="P7" s="329"/>
    </row>
    <row r="8" spans="1:18" ht="12.75" x14ac:dyDescent="0.2">
      <c r="A8" s="329"/>
      <c r="B8" s="329"/>
      <c r="C8" s="389" t="s">
        <v>1125</v>
      </c>
      <c r="D8" s="392">
        <f>COVER!A13</f>
        <v>41057001026</v>
      </c>
      <c r="E8" s="393"/>
      <c r="G8" s="329"/>
      <c r="H8" s="329"/>
      <c r="I8" s="329"/>
      <c r="J8" s="329"/>
      <c r="K8" s="329"/>
      <c r="L8" s="329"/>
      <c r="M8" s="329"/>
      <c r="N8" s="329"/>
      <c r="O8" s="329"/>
      <c r="P8" s="329"/>
    </row>
    <row r="9" spans="1:18" ht="12.75" x14ac:dyDescent="0.2">
      <c r="A9" s="329"/>
      <c r="B9" s="329"/>
      <c r="C9" s="389" t="s">
        <v>713</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18513969</v>
      </c>
      <c r="I12" s="404"/>
      <c r="J12" s="404"/>
      <c r="K12" s="405">
        <f>TRUNC((H12/H13*100000),5)/100000</f>
        <v>0.80551083629999998</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22984134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21570858</v>
      </c>
      <c r="I17" s="404"/>
      <c r="J17" s="416"/>
      <c r="K17" s="405">
        <f>TRUNC((H17/H18*100000),5)/100000</f>
        <v>0.93851080050000002</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22984134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18514032</v>
      </c>
      <c r="I24" s="422"/>
      <c r="J24" s="422"/>
      <c r="K24" s="423">
        <f>TRUNC(((H24/H25*100000)/100000),2)</f>
        <v>308.98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59919.05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13256932.57302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19400528</v>
      </c>
      <c r="I32" s="420"/>
      <c r="J32" s="420"/>
      <c r="K32" s="423">
        <f>TRUNC(100-((((H32/H33*100))*100)/100),2)</f>
        <v>71.53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68153958.018000007</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75" right="0.75" top="1" bottom="0.5" header="0.5" footer="0.5"/>
  <pageSetup scale="75" firstPageNumber="4" orientation="landscape" r:id="rId3"/>
  <headerFooter>
    <oddHeader>&amp;C&amp;"Times New Roman,Regular"ROXANA COMMUNITY UNIT SCHOOL DISTRICT NO. 1</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6" activePane="bottomLeft" state="frozen"/>
      <selection activeCell="V29" sqref="V29"/>
      <selection pane="bottomLeft" activeCell="G40" sqref="G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12912158</v>
      </c>
      <c r="D4" s="466">
        <v>2088578</v>
      </c>
      <c r="E4" s="466">
        <v>169125</v>
      </c>
      <c r="F4" s="466">
        <v>1168609</v>
      </c>
      <c r="G4" s="466">
        <v>835578</v>
      </c>
      <c r="H4" s="466">
        <v>525117</v>
      </c>
      <c r="I4" s="466">
        <v>2344687</v>
      </c>
      <c r="J4" s="467">
        <v>181401</v>
      </c>
      <c r="K4" s="466">
        <v>261546</v>
      </c>
      <c r="L4" s="466">
        <v>182358</v>
      </c>
      <c r="M4" s="468"/>
      <c r="N4" s="469"/>
    </row>
    <row r="5" spans="1:14" x14ac:dyDescent="0.2">
      <c r="A5" s="463" t="s">
        <v>992</v>
      </c>
      <c r="B5" s="470">
        <v>120</v>
      </c>
      <c r="C5" s="465"/>
      <c r="D5" s="466"/>
      <c r="E5" s="466">
        <v>466414</v>
      </c>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12912158</v>
      </c>
      <c r="D13" s="1737">
        <f t="shared" ref="D13:L13" si="0">SUM(D4:D12)</f>
        <v>2088578</v>
      </c>
      <c r="E13" s="1737">
        <f t="shared" si="0"/>
        <v>635539</v>
      </c>
      <c r="F13" s="1737">
        <f t="shared" si="0"/>
        <v>1168609</v>
      </c>
      <c r="G13" s="1737">
        <f t="shared" si="0"/>
        <v>835578</v>
      </c>
      <c r="H13" s="1737">
        <f t="shared" si="0"/>
        <v>525117</v>
      </c>
      <c r="I13" s="1737">
        <f t="shared" si="0"/>
        <v>2344687</v>
      </c>
      <c r="J13" s="1737">
        <f t="shared" si="0"/>
        <v>181401</v>
      </c>
      <c r="K13" s="1737">
        <f t="shared" si="0"/>
        <v>261546</v>
      </c>
      <c r="L13" s="1737">
        <f t="shared" si="0"/>
        <v>182358</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40021</v>
      </c>
      <c r="N16" s="484"/>
    </row>
    <row r="17" spans="1:14" s="485" customFormat="1" ht="12.75" customHeight="1" x14ac:dyDescent="0.2">
      <c r="A17" s="482" t="s">
        <v>1403</v>
      </c>
      <c r="B17" s="483">
        <v>230</v>
      </c>
      <c r="C17" s="477"/>
      <c r="D17" s="477"/>
      <c r="E17" s="477"/>
      <c r="F17" s="477"/>
      <c r="G17" s="477"/>
      <c r="H17" s="477"/>
      <c r="I17" s="477"/>
      <c r="J17" s="477"/>
      <c r="K17" s="477"/>
      <c r="L17" s="477"/>
      <c r="M17" s="467">
        <v>52946365</v>
      </c>
      <c r="N17" s="484"/>
    </row>
    <row r="18" spans="1:14" s="485" customFormat="1" ht="12.75" customHeight="1" x14ac:dyDescent="0.2">
      <c r="A18" s="482" t="s">
        <v>1404</v>
      </c>
      <c r="B18" s="483">
        <v>240</v>
      </c>
      <c r="C18" s="477"/>
      <c r="D18" s="477"/>
      <c r="E18" s="477"/>
      <c r="F18" s="477"/>
      <c r="G18" s="477"/>
      <c r="H18" s="477"/>
      <c r="I18" s="477"/>
      <c r="J18" s="477"/>
      <c r="K18" s="477"/>
      <c r="L18" s="477"/>
      <c r="M18" s="467">
        <v>345025</v>
      </c>
      <c r="N18" s="484"/>
    </row>
    <row r="19" spans="1:14" s="485" customFormat="1" ht="12.75" customHeight="1" x14ac:dyDescent="0.2">
      <c r="A19" s="482" t="s">
        <v>1405</v>
      </c>
      <c r="B19" s="483">
        <v>250</v>
      </c>
      <c r="C19" s="477"/>
      <c r="D19" s="477"/>
      <c r="E19" s="477"/>
      <c r="F19" s="477"/>
      <c r="G19" s="477"/>
      <c r="H19" s="477"/>
      <c r="I19" s="477"/>
      <c r="J19" s="477"/>
      <c r="K19" s="477"/>
      <c r="L19" s="477"/>
      <c r="M19" s="467">
        <v>9163155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635539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18764989</v>
      </c>
    </row>
    <row r="23" spans="1:14" ht="13.5" customHeight="1" thickBot="1" x14ac:dyDescent="0.25">
      <c r="A23" s="1736" t="s">
        <v>643</v>
      </c>
      <c r="B23" s="1741"/>
      <c r="C23" s="468"/>
      <c r="D23" s="468"/>
      <c r="E23" s="468"/>
      <c r="F23" s="468"/>
      <c r="G23" s="468"/>
      <c r="H23" s="468"/>
      <c r="I23" s="468"/>
      <c r="J23" s="468"/>
      <c r="K23" s="468"/>
      <c r="L23" s="468"/>
      <c r="M23" s="1688">
        <f>SUM(M15:M22)</f>
        <v>62494566</v>
      </c>
      <c r="N23" s="1688">
        <f>SUM(N21:N22)</f>
        <v>19400528</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v>25</v>
      </c>
      <c r="E31" s="467"/>
      <c r="F31" s="466">
        <v>38</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182358</v>
      </c>
      <c r="M33" s="468"/>
      <c r="N33" s="469"/>
    </row>
    <row r="34" spans="1:14" ht="13.5" customHeight="1" thickBot="1" x14ac:dyDescent="0.25">
      <c r="A34" s="1738" t="s">
        <v>654</v>
      </c>
      <c r="B34" s="1739"/>
      <c r="C34" s="1740">
        <f>SUM(C25:C33)</f>
        <v>0</v>
      </c>
      <c r="D34" s="1740">
        <f t="shared" ref="D34:K34" si="1">SUM(D25:D33)</f>
        <v>25</v>
      </c>
      <c r="E34" s="1740">
        <f t="shared" si="1"/>
        <v>0</v>
      </c>
      <c r="F34" s="1740">
        <f t="shared" si="1"/>
        <v>38</v>
      </c>
      <c r="G34" s="1740">
        <f t="shared" si="1"/>
        <v>0</v>
      </c>
      <c r="H34" s="1740">
        <f t="shared" si="1"/>
        <v>0</v>
      </c>
      <c r="I34" s="1740">
        <f t="shared" si="1"/>
        <v>0</v>
      </c>
      <c r="J34" s="1740">
        <f t="shared" si="1"/>
        <v>0</v>
      </c>
      <c r="K34" s="1740">
        <f t="shared" si="1"/>
        <v>0</v>
      </c>
      <c r="L34" s="1721">
        <f>SUM(L33)</f>
        <v>182358</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19400528</v>
      </c>
    </row>
    <row r="37" spans="1:14" ht="13.5" thickBot="1" x14ac:dyDescent="0.25">
      <c r="A37" s="1736" t="s">
        <v>653</v>
      </c>
      <c r="B37" s="1741"/>
      <c r="C37" s="477"/>
      <c r="D37" s="477"/>
      <c r="E37" s="477"/>
      <c r="F37" s="477"/>
      <c r="G37" s="477"/>
      <c r="H37" s="477"/>
      <c r="I37" s="477"/>
      <c r="J37" s="477"/>
      <c r="K37" s="477"/>
      <c r="L37" s="480"/>
      <c r="M37" s="468"/>
      <c r="N37" s="1688">
        <f>SUM(N36:N36)</f>
        <v>19400528</v>
      </c>
    </row>
    <row r="38" spans="1:14" s="329" customFormat="1" ht="13.5" customHeight="1" thickTop="1" x14ac:dyDescent="0.2">
      <c r="A38" s="496" t="s">
        <v>420</v>
      </c>
      <c r="B38" s="483">
        <v>714</v>
      </c>
      <c r="C38" s="466"/>
      <c r="D38" s="466"/>
      <c r="E38" s="466"/>
      <c r="F38" s="466"/>
      <c r="G38" s="466">
        <v>326678</v>
      </c>
      <c r="H38" s="466"/>
      <c r="I38" s="466"/>
      <c r="J38" s="467"/>
      <c r="K38" s="466"/>
      <c r="L38" s="481"/>
      <c r="M38" s="497"/>
      <c r="N38" s="497"/>
    </row>
    <row r="39" spans="1:14" s="329" customFormat="1" ht="13.5" customHeight="1" x14ac:dyDescent="0.2">
      <c r="A39" s="496" t="s">
        <v>342</v>
      </c>
      <c r="B39" s="483">
        <v>730</v>
      </c>
      <c r="C39" s="466">
        <v>12912158</v>
      </c>
      <c r="D39" s="466">
        <v>2088553</v>
      </c>
      <c r="E39" s="466">
        <v>635539</v>
      </c>
      <c r="F39" s="466">
        <v>1168571</v>
      </c>
      <c r="G39" s="466">
        <v>508900</v>
      </c>
      <c r="H39" s="466">
        <v>525117</v>
      </c>
      <c r="I39" s="466">
        <v>2344687</v>
      </c>
      <c r="J39" s="467">
        <v>181401</v>
      </c>
      <c r="K39" s="466">
        <v>261546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62494566</v>
      </c>
      <c r="N40" s="497"/>
    </row>
    <row r="41" spans="1:14" ht="13.5" customHeight="1" thickBot="1" x14ac:dyDescent="0.25">
      <c r="A41" s="1736" t="s">
        <v>655</v>
      </c>
      <c r="B41" s="1706"/>
      <c r="C41" s="1688">
        <f>(SUM(C34,C37,C38,C39))</f>
        <v>12912158</v>
      </c>
      <c r="D41" s="1688">
        <f t="shared" ref="D41:L41" si="2">SUM(D34,D37,D38:D39)</f>
        <v>2088578</v>
      </c>
      <c r="E41" s="1688">
        <f t="shared" si="2"/>
        <v>635539</v>
      </c>
      <c r="F41" s="1688">
        <f t="shared" si="2"/>
        <v>1168609</v>
      </c>
      <c r="G41" s="1688">
        <f t="shared" si="2"/>
        <v>835578</v>
      </c>
      <c r="H41" s="1688">
        <f t="shared" si="2"/>
        <v>525117</v>
      </c>
      <c r="I41" s="1688">
        <f t="shared" si="2"/>
        <v>2344687</v>
      </c>
      <c r="J41" s="1688">
        <f t="shared" si="2"/>
        <v>181401</v>
      </c>
      <c r="K41" s="1688">
        <f t="shared" si="2"/>
        <v>261546</v>
      </c>
      <c r="L41" s="1688">
        <f t="shared" si="2"/>
        <v>182358</v>
      </c>
      <c r="M41" s="1688">
        <f>SUM(M40)</f>
        <v>62494566</v>
      </c>
      <c r="N41" s="1688">
        <f>SUM(N37)</f>
        <v>19400528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orizontalCentered="1" gridLinesSet="0"/>
  <pageMargins left="0.75" right="0.75" top="1.5" bottom="0.5" header="0.5" footer="0.5"/>
  <pageSetup scale="55" firstPageNumber="13" orientation="landscape" useFirstPageNumber="1" r:id="rId1"/>
  <headerFooter>
    <oddHeader>&amp;C&amp;"Times New Roman,Regular"ROXANA COMMUNITY UNIT SCHOOL DISTRICT NO. 1
STATEMENT OF ASSETS AND LIABILITIES FROM CASH TRANSACTIONS - CASH - REGULATORY BASIS
ALL FUNDS AND ACCOUNT GROUPS
 JUNE 30, 2019</oddHeader>
    <oddFooter>&amp;C&amp;"Times New Roman,Regular"See Notes to Financial Statements and Independent Auditor's Reports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selection activeCell="G74" sqref="G7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13988381</v>
      </c>
      <c r="D4" s="1742">
        <f>'Revenues 9-14'!D109</f>
        <v>2854156</v>
      </c>
      <c r="E4" s="1742">
        <f>'Revenues 9-14'!E109</f>
        <v>2107728</v>
      </c>
      <c r="F4" s="1742">
        <f>'Revenues 9-14'!F109</f>
        <v>1005576</v>
      </c>
      <c r="G4" s="1742">
        <f>'Revenues 9-14'!G109</f>
        <v>1083136</v>
      </c>
      <c r="H4" s="1742">
        <f>'Revenues 9-14'!H109</f>
        <v>12006</v>
      </c>
      <c r="I4" s="1742">
        <f>'Revenues 9-14'!I109</f>
        <v>53087</v>
      </c>
      <c r="J4" s="1742">
        <f>'Revenues 9-14'!J109</f>
        <v>573362</v>
      </c>
      <c r="K4" s="1742">
        <f>'Revenues 9-14'!K109</f>
        <v>246272</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2676501</v>
      </c>
      <c r="D6" s="1743">
        <f>'Revenues 9-14'!D170</f>
        <v>0</v>
      </c>
      <c r="E6" s="1743">
        <f>'Revenues 9-14'!E170</f>
        <v>0</v>
      </c>
      <c r="F6" s="1743">
        <f>'Revenues 9-14'!F170</f>
        <v>207866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2198567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18863449</v>
      </c>
      <c r="D8" s="1688">
        <f t="shared" ref="D8:K8" si="0">SUM(D4:D7)</f>
        <v>2854156</v>
      </c>
      <c r="E8" s="1688">
        <f t="shared" si="0"/>
        <v>2107728</v>
      </c>
      <c r="F8" s="1688">
        <f t="shared" si="0"/>
        <v>1213442</v>
      </c>
      <c r="G8" s="1688">
        <f t="shared" si="0"/>
        <v>1083136</v>
      </c>
      <c r="H8" s="1688">
        <f t="shared" si="0"/>
        <v>12006</v>
      </c>
      <c r="I8" s="1688">
        <f t="shared" si="0"/>
        <v>53087</v>
      </c>
      <c r="J8" s="1688">
        <f t="shared" si="0"/>
        <v>573362</v>
      </c>
      <c r="K8" s="1688">
        <f t="shared" si="0"/>
        <v>246272</v>
      </c>
      <c r="L8" s="347"/>
    </row>
    <row r="9" spans="1:13" ht="15.75" thickTop="1" x14ac:dyDescent="0.2">
      <c r="A9" s="514" t="s">
        <v>1653</v>
      </c>
      <c r="B9" s="515">
        <v>3998</v>
      </c>
      <c r="C9" s="481">
        <v>8761480</v>
      </c>
      <c r="D9" s="516"/>
      <c r="E9" s="481"/>
      <c r="F9" s="481"/>
      <c r="G9" s="517"/>
      <c r="H9" s="481"/>
      <c r="I9" s="509" t="s">
        <v>1169</v>
      </c>
      <c r="J9" s="478"/>
      <c r="K9" s="481"/>
      <c r="L9" s="347"/>
    </row>
    <row r="10" spans="1:13" s="519" customFormat="1" ht="13.5" thickBot="1" x14ac:dyDescent="0.25">
      <c r="A10" s="1736" t="s">
        <v>1173</v>
      </c>
      <c r="B10" s="1709"/>
      <c r="C10" s="1688">
        <f>SUM(C8:C9)</f>
        <v>27624929</v>
      </c>
      <c r="D10" s="1688">
        <f t="shared" ref="D10:K10" si="1">SUM(D8:D9)</f>
        <v>2854156</v>
      </c>
      <c r="E10" s="1688">
        <f t="shared" si="1"/>
        <v>2107728</v>
      </c>
      <c r="F10" s="1688">
        <f t="shared" si="1"/>
        <v>1213442</v>
      </c>
      <c r="G10" s="1688">
        <f t="shared" si="1"/>
        <v>1083136</v>
      </c>
      <c r="H10" s="1688">
        <f t="shared" si="1"/>
        <v>12006</v>
      </c>
      <c r="I10" s="1688">
        <f t="shared" si="1"/>
        <v>53087</v>
      </c>
      <c r="J10" s="1688">
        <f t="shared" si="1"/>
        <v>573362</v>
      </c>
      <c r="K10" s="1688">
        <f t="shared" si="1"/>
        <v>246272</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12382144</v>
      </c>
      <c r="D12" s="520" t="s">
        <v>1169</v>
      </c>
      <c r="E12" s="468" t="s">
        <v>1169</v>
      </c>
      <c r="F12" s="468" t="s">
        <v>1169</v>
      </c>
      <c r="G12" s="1742">
        <f>'Expenditures 15-22'!K229</f>
        <v>255685</v>
      </c>
      <c r="H12" s="521"/>
      <c r="I12" s="468" t="s">
        <v>1169</v>
      </c>
      <c r="J12" s="468" t="s">
        <v>1169</v>
      </c>
      <c r="K12" s="521" t="s">
        <v>1169</v>
      </c>
      <c r="L12" s="347"/>
    </row>
    <row r="13" spans="1:13" ht="15.75" customHeight="1" x14ac:dyDescent="0.2">
      <c r="A13" s="1576" t="s">
        <v>457</v>
      </c>
      <c r="B13" s="1578">
        <v>2000</v>
      </c>
      <c r="C13" s="1743">
        <f>'Expenditures 15-22'!K74</f>
        <v>5334523</v>
      </c>
      <c r="D13" s="1743">
        <f>'Expenditures 15-22'!K129</f>
        <v>2618838</v>
      </c>
      <c r="E13" s="469" t="s">
        <v>1169</v>
      </c>
      <c r="F13" s="1743">
        <f>'Expenditures 15-22'!K184</f>
        <v>1184296</v>
      </c>
      <c r="G13" s="1743">
        <f>'Expenditures 15-22'!K279</f>
        <v>711175</v>
      </c>
      <c r="H13" s="1743">
        <f>'Expenditures 15-22'!K303</f>
        <v>155940</v>
      </c>
      <c r="I13" s="468" t="s">
        <v>1169</v>
      </c>
      <c r="J13" s="1743">
        <f>'Expenditures 15-22'!K330</f>
        <v>425711</v>
      </c>
      <c r="K13" s="1747">
        <f>'Expenditures 15-22'!K352</f>
        <v>210773</v>
      </c>
      <c r="L13" s="347"/>
    </row>
    <row r="14" spans="1:13" ht="15.75" customHeight="1" x14ac:dyDescent="0.2">
      <c r="A14" s="1576" t="s">
        <v>449</v>
      </c>
      <c r="B14" s="1578">
        <v>3000</v>
      </c>
      <c r="C14" s="1743">
        <f>'Expenditures 15-22'!K75</f>
        <v>32280</v>
      </c>
      <c r="D14" s="1743">
        <f>'Expenditures 15-22'!K130</f>
        <v>0</v>
      </c>
      <c r="E14" s="520" t="s">
        <v>1169</v>
      </c>
      <c r="F14" s="1743">
        <f>'Expenditures 15-22'!K185</f>
        <v>0</v>
      </c>
      <c r="G14" s="1743">
        <f>'Expenditures 15-22'!K280</f>
        <v>6296</v>
      </c>
      <c r="H14" s="512"/>
      <c r="I14" s="468" t="s">
        <v>1169</v>
      </c>
      <c r="J14" s="468" t="s">
        <v>1169</v>
      </c>
      <c r="K14" s="512" t="s">
        <v>1169</v>
      </c>
      <c r="L14" s="347"/>
    </row>
    <row r="15" spans="1:13" ht="15.75" customHeight="1" x14ac:dyDescent="0.2">
      <c r="A15" s="1576" t="s">
        <v>107</v>
      </c>
      <c r="B15" s="1578">
        <v>4000</v>
      </c>
      <c r="C15" s="1743">
        <f>'Expenditures 15-22'!K102</f>
        <v>18777</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3354606</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17767724</v>
      </c>
      <c r="D17" s="1688">
        <f t="shared" si="2"/>
        <v>2618838</v>
      </c>
      <c r="E17" s="1688">
        <f t="shared" si="2"/>
        <v>3354606</v>
      </c>
      <c r="F17" s="1688">
        <f t="shared" si="2"/>
        <v>1184296</v>
      </c>
      <c r="G17" s="1688">
        <f t="shared" si="2"/>
        <v>973156</v>
      </c>
      <c r="H17" s="1688">
        <f t="shared" si="2"/>
        <v>155940</v>
      </c>
      <c r="I17" s="468"/>
      <c r="J17" s="1688">
        <f>SUM(J12:J16)</f>
        <v>425711</v>
      </c>
      <c r="K17" s="1688">
        <f>SUM(K12:K16)</f>
        <v>210773</v>
      </c>
      <c r="L17" s="347"/>
    </row>
    <row r="18" spans="1:12" ht="15" customHeight="1" thickTop="1" x14ac:dyDescent="0.2">
      <c r="A18" s="1744" t="s">
        <v>1654</v>
      </c>
      <c r="B18" s="1745">
        <v>4180</v>
      </c>
      <c r="C18" s="1742">
        <f t="shared" ref="C18:H18" si="3">C9</f>
        <v>8761480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26529204</v>
      </c>
      <c r="D19" s="1688">
        <f t="shared" si="4"/>
        <v>2618838</v>
      </c>
      <c r="E19" s="1688">
        <f t="shared" si="4"/>
        <v>3354606</v>
      </c>
      <c r="F19" s="1688">
        <f t="shared" si="4"/>
        <v>1184296</v>
      </c>
      <c r="G19" s="1688">
        <f t="shared" si="4"/>
        <v>973156</v>
      </c>
      <c r="H19" s="1688">
        <f t="shared" si="4"/>
        <v>155940</v>
      </c>
      <c r="I19" s="468"/>
      <c r="J19" s="1688">
        <f>SUM(J17:J18)</f>
        <v>425711</v>
      </c>
      <c r="K19" s="1688">
        <f>SUM(K17:K18)</f>
        <v>210773</v>
      </c>
      <c r="L19" s="347"/>
    </row>
    <row r="20" spans="1:12" ht="16.5" thickTop="1" thickBot="1" x14ac:dyDescent="0.25">
      <c r="A20" s="2124" t="s">
        <v>1655</v>
      </c>
      <c r="B20" s="2125"/>
      <c r="C20" s="1746">
        <f>C8-C17</f>
        <v>1095725</v>
      </c>
      <c r="D20" s="1746">
        <f t="shared" ref="D20:K20" si="5">D8-D17</f>
        <v>235318</v>
      </c>
      <c r="E20" s="1746">
        <f t="shared" si="5"/>
        <v>-1246878</v>
      </c>
      <c r="F20" s="1746">
        <f t="shared" si="5"/>
        <v>29146</v>
      </c>
      <c r="G20" s="1746">
        <f t="shared" si="5"/>
        <v>109980</v>
      </c>
      <c r="H20" s="1746">
        <f t="shared" si="5"/>
        <v>-143934</v>
      </c>
      <c r="I20" s="1746">
        <f t="shared" si="5"/>
        <v>53087</v>
      </c>
      <c r="J20" s="1746">
        <f t="shared" si="5"/>
        <v>147651</v>
      </c>
      <c r="K20" s="1746">
        <f t="shared" si="5"/>
        <v>35499</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v>50025</v>
      </c>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229992</v>
      </c>
      <c r="F37" s="475"/>
      <c r="G37" s="475"/>
      <c r="H37" s="475"/>
      <c r="I37" s="477"/>
      <c r="J37" s="475"/>
      <c r="K37" s="475"/>
      <c r="L37" s="524"/>
    </row>
    <row r="38" spans="1:12" s="485" customFormat="1" x14ac:dyDescent="0.2">
      <c r="A38" s="1489" t="s">
        <v>442</v>
      </c>
      <c r="B38" s="525">
        <v>7500</v>
      </c>
      <c r="C38" s="477"/>
      <c r="D38" s="477"/>
      <c r="E38" s="1743">
        <f>SUM(C58:D61,H58:H61)</f>
        <v>10008</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8" t="s">
        <v>374</v>
      </c>
      <c r="B44" s="2139"/>
      <c r="C44" s="1703">
        <f>SUM(C24:C43)</f>
        <v>50025</v>
      </c>
      <c r="D44" s="1703">
        <f t="shared" ref="D44:K44" si="6">SUM(D24:D43)</f>
        <v>0</v>
      </c>
      <c r="E44" s="1703">
        <f t="shared" si="6"/>
        <v>240000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50025</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v>229992</v>
      </c>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v>10008</v>
      </c>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4" t="s">
        <v>440</v>
      </c>
      <c r="B76" s="2115"/>
      <c r="C76" s="1703">
        <f t="shared" ref="C76:K76" si="7">SUM(C47:C75)</f>
        <v>240000</v>
      </c>
      <c r="D76" s="1703">
        <f t="shared" si="7"/>
        <v>0</v>
      </c>
      <c r="E76" s="1703">
        <f t="shared" si="7"/>
        <v>0</v>
      </c>
      <c r="F76" s="1703">
        <f t="shared" si="7"/>
        <v>0</v>
      </c>
      <c r="G76" s="1703">
        <f t="shared" si="7"/>
        <v>0</v>
      </c>
      <c r="H76" s="1703">
        <f t="shared" si="7"/>
        <v>0</v>
      </c>
      <c r="I76" s="1703">
        <f t="shared" si="7"/>
        <v>50025</v>
      </c>
      <c r="J76" s="1703">
        <f t="shared" si="7"/>
        <v>0</v>
      </c>
      <c r="K76" s="1703">
        <f t="shared" si="7"/>
        <v>0</v>
      </c>
      <c r="L76" s="524"/>
    </row>
    <row r="77" spans="1:12" ht="14.25" thickTop="1" thickBot="1" x14ac:dyDescent="0.25">
      <c r="A77" s="2116" t="s">
        <v>1177</v>
      </c>
      <c r="B77" s="2117"/>
      <c r="C77" s="1703">
        <f t="shared" ref="C77:K77" si="8">C44-C76</f>
        <v>-189975</v>
      </c>
      <c r="D77" s="1703">
        <f t="shared" si="8"/>
        <v>0</v>
      </c>
      <c r="E77" s="1703">
        <f t="shared" si="8"/>
        <v>240000</v>
      </c>
      <c r="F77" s="1703">
        <f t="shared" si="8"/>
        <v>0</v>
      </c>
      <c r="G77" s="1703">
        <f t="shared" si="8"/>
        <v>0</v>
      </c>
      <c r="H77" s="1703">
        <f t="shared" si="8"/>
        <v>0</v>
      </c>
      <c r="I77" s="1703">
        <f t="shared" si="8"/>
        <v>-50025</v>
      </c>
      <c r="J77" s="1703">
        <f t="shared" si="8"/>
        <v>0</v>
      </c>
      <c r="K77" s="1703">
        <f t="shared" si="8"/>
        <v>0</v>
      </c>
      <c r="L77" s="347"/>
    </row>
    <row r="78" spans="1:12" ht="21.75" customHeight="1" thickTop="1" thickBot="1" x14ac:dyDescent="0.25">
      <c r="A78" s="2120" t="s">
        <v>597</v>
      </c>
      <c r="B78" s="2121"/>
      <c r="C78" s="1702">
        <f t="shared" ref="C78:K78" si="9">C20+C77</f>
        <v>905750</v>
      </c>
      <c r="D78" s="1702">
        <f t="shared" si="9"/>
        <v>235318</v>
      </c>
      <c r="E78" s="1702">
        <f t="shared" si="9"/>
        <v>-1006878</v>
      </c>
      <c r="F78" s="1702">
        <f t="shared" si="9"/>
        <v>29146</v>
      </c>
      <c r="G78" s="1702">
        <f t="shared" si="9"/>
        <v>109980</v>
      </c>
      <c r="H78" s="1702">
        <f t="shared" si="9"/>
        <v>-143934</v>
      </c>
      <c r="I78" s="1702">
        <f t="shared" si="9"/>
        <v>3062</v>
      </c>
      <c r="J78" s="1702">
        <f t="shared" si="9"/>
        <v>147651</v>
      </c>
      <c r="K78" s="1702">
        <f t="shared" si="9"/>
        <v>35499</v>
      </c>
      <c r="L78" s="533"/>
    </row>
    <row r="79" spans="1:12" ht="13.5" thickTop="1" x14ac:dyDescent="0.2">
      <c r="A79" s="1494" t="s">
        <v>1946</v>
      </c>
      <c r="B79" s="534"/>
      <c r="C79" s="478">
        <v>12006408</v>
      </c>
      <c r="D79" s="535">
        <v>1853235</v>
      </c>
      <c r="E79" s="535">
        <v>1642417</v>
      </c>
      <c r="F79" s="535">
        <v>1139425</v>
      </c>
      <c r="G79" s="535">
        <v>725598</v>
      </c>
      <c r="H79" s="535">
        <v>669051</v>
      </c>
      <c r="I79" s="535">
        <v>2341625</v>
      </c>
      <c r="J79" s="535">
        <v>33750</v>
      </c>
      <c r="K79" s="535">
        <v>226047</v>
      </c>
      <c r="L79" s="347"/>
    </row>
    <row r="80" spans="1:12" x14ac:dyDescent="0.2">
      <c r="A80" s="2126" t="s">
        <v>1792</v>
      </c>
      <c r="B80" s="2127"/>
      <c r="C80" s="467"/>
      <c r="D80" s="467"/>
      <c r="E80" s="467"/>
      <c r="F80" s="467"/>
      <c r="G80" s="467"/>
      <c r="H80" s="467"/>
      <c r="I80" s="467"/>
      <c r="J80" s="467"/>
      <c r="K80" s="467"/>
      <c r="L80" s="347"/>
    </row>
    <row r="81" spans="1:12" ht="13.5" thickBot="1" x14ac:dyDescent="0.25">
      <c r="A81" s="2118" t="s">
        <v>1947</v>
      </c>
      <c r="B81" s="2119"/>
      <c r="C81" s="1688">
        <f>(SUM(C78:C80))</f>
        <v>12912158</v>
      </c>
      <c r="D81" s="1688">
        <f>SUM(D78:D80)</f>
        <v>2088553</v>
      </c>
      <c r="E81" s="1688">
        <f t="shared" ref="E81:K81" si="10">SUM(E78:E80)</f>
        <v>635539</v>
      </c>
      <c r="F81" s="1688">
        <f t="shared" si="10"/>
        <v>1168571</v>
      </c>
      <c r="G81" s="1688">
        <f t="shared" si="10"/>
        <v>835578</v>
      </c>
      <c r="H81" s="1688">
        <f t="shared" si="10"/>
        <v>525117</v>
      </c>
      <c r="I81" s="1688">
        <f t="shared" si="10"/>
        <v>2344687</v>
      </c>
      <c r="J81" s="1688">
        <f t="shared" si="10"/>
        <v>181401</v>
      </c>
      <c r="K81" s="1688">
        <f t="shared" si="10"/>
        <v>261546</v>
      </c>
      <c r="L81" s="347"/>
    </row>
    <row r="82" spans="1:12" ht="0.75" customHeight="1" thickTop="1" thickBot="1" x14ac:dyDescent="0.25">
      <c r="A82" s="536" t="s">
        <v>343</v>
      </c>
      <c r="B82" s="537"/>
      <c r="C82" s="538">
        <f>(C81-C79)</f>
        <v>905750</v>
      </c>
      <c r="D82" s="538">
        <f t="shared" ref="D82:K82" si="11">(D81-D79)</f>
        <v>235318</v>
      </c>
      <c r="E82" s="538">
        <f t="shared" si="11"/>
        <v>-1006878</v>
      </c>
      <c r="F82" s="538">
        <f t="shared" si="11"/>
        <v>29146</v>
      </c>
      <c r="G82" s="538">
        <f t="shared" si="11"/>
        <v>109980</v>
      </c>
      <c r="H82" s="538">
        <f t="shared" si="11"/>
        <v>-143934</v>
      </c>
      <c r="I82" s="538">
        <f t="shared" si="11"/>
        <v>3062</v>
      </c>
      <c r="J82" s="538">
        <f t="shared" si="11"/>
        <v>147651</v>
      </c>
      <c r="K82" s="538">
        <f t="shared" si="11"/>
        <v>35499</v>
      </c>
    </row>
    <row r="83" spans="1:12" ht="14.25" hidden="1" thickTop="1" thickBot="1" x14ac:dyDescent="0.25">
      <c r="A83" s="539" t="s">
        <v>344</v>
      </c>
      <c r="B83" s="464"/>
      <c r="C83" s="540">
        <f>C82/C81</f>
        <v>7.0147066044266182E-2</v>
      </c>
      <c r="D83" s="540">
        <f t="shared" ref="D83:K83" si="12">D82/D81</f>
        <v>0.11267035119530125</v>
      </c>
      <c r="E83" s="540">
        <f t="shared" si="12"/>
        <v>-1.5842898704878852</v>
      </c>
      <c r="F83" s="540">
        <f t="shared" si="12"/>
        <v>2.4941573939452545E-2</v>
      </c>
      <c r="G83" s="540">
        <f t="shared" si="12"/>
        <v>0.13162146442342906</v>
      </c>
      <c r="H83" s="540">
        <f t="shared" si="12"/>
        <v>-0.27409891509892081</v>
      </c>
      <c r="I83" s="540">
        <f t="shared" si="12"/>
        <v>1.3059312394362232E-3</v>
      </c>
      <c r="J83" s="540">
        <f t="shared" si="12"/>
        <v>0.81394810392445471</v>
      </c>
      <c r="K83" s="540">
        <f t="shared" si="12"/>
        <v>0.13572755844096257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pageMargins left="0.75" right="0.75" top="1.35" bottom="0.5" header="0.5" footer="0.5"/>
  <pageSetup scale="47" firstPageNumber="14" orientation="portrait" useFirstPageNumber="1" r:id="rId1"/>
  <headerFooter>
    <oddHeader>&amp;C&amp;"Times New Roman,Regular"ROXANA COMMUNITY UNIT SCHOOL DISTRICT NO. 1
STATEMENT OF RECEIPTS,  DISBURSEMENTS, OTHER SOURCES (USES) AND CHANGES IN FUND BALANCES - CASH - REGULATORY BASIS
ALL FUNDS
FOR THE YEAR ENDED JUNE 30, 2019</oddHeader>
    <oddFooter>&amp;C&amp;"Times New Roman,Regular"See Notes to Financial Statements and Independent Auditor's Reports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100" workbookViewId="0">
      <pane ySplit="2" topLeftCell="A195" activePane="bottomLeft" state="frozen"/>
      <selection activeCell="V29" sqref="V29"/>
      <selection pane="bottomLeft" activeCell="C200" sqref="C20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1799</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11852309</v>
      </c>
      <c r="D5" s="481">
        <v>2781656</v>
      </c>
      <c r="E5" s="466">
        <v>2066703</v>
      </c>
      <c r="F5" s="548">
        <v>967530</v>
      </c>
      <c r="G5" s="466">
        <v>542036</v>
      </c>
      <c r="H5" s="466"/>
      <c r="I5" s="466"/>
      <c r="J5" s="467">
        <v>568797</v>
      </c>
      <c r="K5" s="466">
        <v>239309</v>
      </c>
    </row>
    <row r="6" spans="1:12" ht="15" x14ac:dyDescent="0.2">
      <c r="A6" s="463" t="s">
        <v>1662</v>
      </c>
      <c r="B6" s="470">
        <v>1130</v>
      </c>
      <c r="C6" s="466">
        <v>241881</v>
      </c>
      <c r="D6" s="466"/>
      <c r="E6" s="475"/>
      <c r="F6" s="475"/>
      <c r="G6" s="468"/>
      <c r="H6" s="468"/>
      <c r="I6" s="468"/>
      <c r="J6" s="468"/>
      <c r="K6" s="468"/>
    </row>
    <row r="7" spans="1:12" x14ac:dyDescent="0.2">
      <c r="A7" s="463" t="s">
        <v>110</v>
      </c>
      <c r="B7" s="549">
        <v>1140</v>
      </c>
      <c r="C7" s="466">
        <v>193513</v>
      </c>
      <c r="D7" s="466"/>
      <c r="E7" s="468"/>
      <c r="F7" s="467"/>
      <c r="G7" s="467"/>
      <c r="H7" s="467"/>
      <c r="I7" s="468"/>
      <c r="J7" s="468"/>
      <c r="K7" s="468"/>
    </row>
    <row r="8" spans="1:12" x14ac:dyDescent="0.2">
      <c r="A8" s="463" t="s">
        <v>413</v>
      </c>
      <c r="B8" s="470">
        <v>1150</v>
      </c>
      <c r="C8" s="475"/>
      <c r="D8" s="475"/>
      <c r="E8" s="477"/>
      <c r="F8" s="477"/>
      <c r="G8" s="481">
        <v>396936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12287703</v>
      </c>
      <c r="D12" s="1707">
        <f t="shared" si="0"/>
        <v>2781656</v>
      </c>
      <c r="E12" s="1707">
        <f t="shared" si="0"/>
        <v>2066703</v>
      </c>
      <c r="F12" s="1707">
        <f t="shared" si="0"/>
        <v>967530</v>
      </c>
      <c r="G12" s="1707">
        <f t="shared" si="0"/>
        <v>938972</v>
      </c>
      <c r="H12" s="1707">
        <f t="shared" si="0"/>
        <v>0</v>
      </c>
      <c r="I12" s="1707">
        <f t="shared" si="0"/>
        <v>0</v>
      </c>
      <c r="J12" s="1707">
        <f t="shared" si="0"/>
        <v>568797</v>
      </c>
      <c r="K12" s="1688">
        <f t="shared" si="0"/>
        <v>239309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3699</v>
      </c>
      <c r="D14" s="466">
        <v>837</v>
      </c>
      <c r="E14" s="466">
        <v>627</v>
      </c>
      <c r="F14" s="466">
        <v>291</v>
      </c>
      <c r="G14" s="466">
        <v>282</v>
      </c>
      <c r="H14" s="466"/>
      <c r="I14" s="466"/>
      <c r="J14" s="467">
        <v>168</v>
      </c>
      <c r="K14" s="466">
        <v>73</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1075823</v>
      </c>
      <c r="D16" s="466"/>
      <c r="E16" s="466"/>
      <c r="F16" s="466"/>
      <c r="G16" s="466">
        <v>119001</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1079522</v>
      </c>
      <c r="D18" s="1710">
        <f t="shared" ref="D18:K18" si="1">SUM(D14:D17)</f>
        <v>837</v>
      </c>
      <c r="E18" s="1710">
        <f t="shared" si="1"/>
        <v>627</v>
      </c>
      <c r="F18" s="1710">
        <f t="shared" si="1"/>
        <v>291</v>
      </c>
      <c r="G18" s="1710">
        <f t="shared" si="1"/>
        <v>119283</v>
      </c>
      <c r="H18" s="1710">
        <f t="shared" si="1"/>
        <v>0</v>
      </c>
      <c r="I18" s="1710">
        <f t="shared" si="1"/>
        <v>0</v>
      </c>
      <c r="J18" s="1710">
        <f t="shared" si="1"/>
        <v>168</v>
      </c>
      <c r="K18" s="1711">
        <f t="shared" si="1"/>
        <v>73</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1626</v>
      </c>
      <c r="G43" s="468"/>
      <c r="H43" s="468"/>
      <c r="I43" s="468"/>
      <c r="J43" s="468"/>
      <c r="K43" s="468"/>
    </row>
    <row r="44" spans="1:11" ht="12.75" customHeight="1" x14ac:dyDescent="0.2">
      <c r="A44" s="463" t="s">
        <v>384</v>
      </c>
      <c r="B44" s="470">
        <v>1413</v>
      </c>
      <c r="C44" s="468"/>
      <c r="D44" s="468"/>
      <c r="E44" s="468"/>
      <c r="F44" s="466">
        <v>230</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1856</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395862</v>
      </c>
      <c r="D65" s="466">
        <v>56255</v>
      </c>
      <c r="E65" s="466">
        <v>40398</v>
      </c>
      <c r="F65" s="467">
        <v>26907</v>
      </c>
      <c r="G65" s="466">
        <v>6623</v>
      </c>
      <c r="H65" s="466">
        <v>12006</v>
      </c>
      <c r="I65" s="466">
        <v>53087</v>
      </c>
      <c r="J65" s="467">
        <v>4397</v>
      </c>
      <c r="K65" s="466">
        <v>6890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395862</v>
      </c>
      <c r="D67" s="1688">
        <f t="shared" ref="D67:K67" si="2">SUM(D65:D66)</f>
        <v>56255</v>
      </c>
      <c r="E67" s="1688">
        <f t="shared" si="2"/>
        <v>40398</v>
      </c>
      <c r="F67" s="1688">
        <f t="shared" si="2"/>
        <v>26907</v>
      </c>
      <c r="G67" s="1688">
        <f t="shared" si="2"/>
        <v>6623</v>
      </c>
      <c r="H67" s="1688">
        <f t="shared" si="2"/>
        <v>12006</v>
      </c>
      <c r="I67" s="1688">
        <f t="shared" si="2"/>
        <v>53087</v>
      </c>
      <c r="J67" s="1688">
        <f t="shared" si="2"/>
        <v>4397</v>
      </c>
      <c r="K67" s="1688">
        <f t="shared" si="2"/>
        <v>6890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50362</v>
      </c>
      <c r="D69" s="468"/>
      <c r="E69" s="468"/>
      <c r="F69" s="468"/>
      <c r="G69" s="468"/>
      <c r="H69" s="468"/>
      <c r="I69" s="468"/>
      <c r="J69" s="468"/>
      <c r="K69" s="468"/>
    </row>
    <row r="70" spans="1:11" ht="12.75" customHeight="1" x14ac:dyDescent="0.2">
      <c r="A70" s="463" t="s">
        <v>997</v>
      </c>
      <c r="B70" s="470">
        <v>1612</v>
      </c>
      <c r="C70" s="551">
        <v>6489</v>
      </c>
      <c r="D70" s="468"/>
      <c r="E70" s="468"/>
      <c r="F70" s="468"/>
      <c r="G70" s="468"/>
      <c r="H70" s="468"/>
      <c r="I70" s="468"/>
      <c r="J70" s="468"/>
      <c r="K70" s="468"/>
    </row>
    <row r="71" spans="1:11" ht="12.75" customHeight="1" x14ac:dyDescent="0.2">
      <c r="A71" s="463" t="s">
        <v>273</v>
      </c>
      <c r="B71" s="470">
        <v>1613</v>
      </c>
      <c r="C71" s="551">
        <v>35063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16729</v>
      </c>
      <c r="D73" s="468"/>
      <c r="E73" s="468"/>
      <c r="F73" s="468"/>
      <c r="G73" s="468"/>
      <c r="H73" s="468"/>
      <c r="I73" s="468"/>
      <c r="J73" s="468"/>
      <c r="K73" s="468"/>
    </row>
    <row r="74" spans="1:11" ht="12.75" customHeight="1" x14ac:dyDescent="0.2">
      <c r="A74" s="463" t="s">
        <v>25</v>
      </c>
      <c r="B74" s="470">
        <v>1690</v>
      </c>
      <c r="C74" s="551">
        <v>8823</v>
      </c>
      <c r="D74" s="468"/>
      <c r="E74" s="468"/>
      <c r="F74" s="468"/>
      <c r="G74" s="468"/>
      <c r="H74" s="468"/>
      <c r="I74" s="468"/>
      <c r="J74" s="468"/>
      <c r="K74" s="468"/>
    </row>
    <row r="75" spans="1:11" ht="12.75" customHeight="1" thickBot="1" x14ac:dyDescent="0.25">
      <c r="A75" s="1708" t="s">
        <v>548</v>
      </c>
      <c r="B75" s="1709"/>
      <c r="C75" s="1688">
        <f>SUM(C69:C74)</f>
        <v>117466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63169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8610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6722</v>
      </c>
      <c r="D81" s="466"/>
      <c r="E81" s="468"/>
      <c r="F81" s="468"/>
      <c r="G81" s="468"/>
      <c r="H81" s="468"/>
      <c r="I81" s="468"/>
      <c r="J81" s="468"/>
      <c r="K81" s="468"/>
    </row>
    <row r="82" spans="1:11" ht="12.75" customHeight="1" thickBot="1" x14ac:dyDescent="0.25">
      <c r="A82" s="1708" t="s">
        <v>241</v>
      </c>
      <c r="B82" s="1709"/>
      <c r="C82" s="1707">
        <f>SUM(C77:C81)</f>
        <v>78501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8094</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2922</v>
      </c>
      <c r="D98" s="466"/>
      <c r="E98" s="512"/>
      <c r="F98" s="466"/>
      <c r="G98" s="512"/>
      <c r="H98" s="512"/>
      <c r="I98" s="510"/>
      <c r="J98" s="512"/>
      <c r="K98" s="512"/>
    </row>
    <row r="99" spans="1:12" ht="12.75" customHeight="1" x14ac:dyDescent="0.2">
      <c r="A99" s="463" t="s">
        <v>821</v>
      </c>
      <c r="B99" s="470">
        <v>1950</v>
      </c>
      <c r="C99" s="489">
        <v>6687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2800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8824</v>
      </c>
      <c r="D107" s="466">
        <v>15408</v>
      </c>
      <c r="E107" s="466"/>
      <c r="F107" s="466">
        <v>8992</v>
      </c>
      <c r="G107" s="466">
        <v>18258</v>
      </c>
      <c r="H107" s="466"/>
      <c r="I107" s="466"/>
      <c r="J107" s="467"/>
      <c r="K107" s="466"/>
    </row>
    <row r="108" spans="1:12" ht="12.75" customHeight="1" thickBot="1" x14ac:dyDescent="0.25">
      <c r="A108" s="1708" t="s">
        <v>487</v>
      </c>
      <c r="B108" s="1712"/>
      <c r="C108" s="1707">
        <f>SUM(C95:C107)</f>
        <v>29327</v>
      </c>
      <c r="D108" s="1707">
        <f t="shared" ref="D108:K108" si="3">SUM(D95:D107)</f>
        <v>15408</v>
      </c>
      <c r="E108" s="1707">
        <f t="shared" si="3"/>
        <v>0</v>
      </c>
      <c r="F108" s="1707">
        <f t="shared" si="3"/>
        <v>8992</v>
      </c>
      <c r="G108" s="1707">
        <f t="shared" si="3"/>
        <v>18258</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13988381</v>
      </c>
      <c r="D109" s="1715">
        <f t="shared" si="4"/>
        <v>2854156</v>
      </c>
      <c r="E109" s="1715">
        <f t="shared" si="4"/>
        <v>2107728</v>
      </c>
      <c r="F109" s="1715">
        <f t="shared" si="4"/>
        <v>1005576</v>
      </c>
      <c r="G109" s="1715">
        <f t="shared" si="4"/>
        <v>1083136</v>
      </c>
      <c r="H109" s="1715">
        <f t="shared" si="4"/>
        <v>12006</v>
      </c>
      <c r="I109" s="1715">
        <f t="shared" si="4"/>
        <v>53087</v>
      </c>
      <c r="J109" s="1715">
        <f t="shared" si="4"/>
        <v>573362</v>
      </c>
      <c r="K109" s="1702">
        <f t="shared" si="4"/>
        <v>246272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2082517</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2082517</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61969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43032</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105001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69267</v>
      </c>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69267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14916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24211</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40955</v>
      </c>
      <c r="G152" s="467"/>
      <c r="H152" s="468"/>
      <c r="I152" s="468"/>
      <c r="J152" s="468"/>
      <c r="K152" s="468"/>
    </row>
    <row r="153" spans="1:11" ht="12.75" customHeight="1" x14ac:dyDescent="0.2">
      <c r="A153" s="463" t="s">
        <v>1057</v>
      </c>
      <c r="B153" s="562">
        <v>3510</v>
      </c>
      <c r="C153" s="551"/>
      <c r="D153" s="466"/>
      <c r="E153" s="561"/>
      <c r="F153" s="466">
        <v>166911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207866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362674</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17915</v>
      </c>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593984</v>
      </c>
      <c r="D169" s="1722">
        <f t="shared" si="6"/>
        <v>0</v>
      </c>
      <c r="E169" s="1722">
        <f t="shared" si="6"/>
        <v>0</v>
      </c>
      <c r="F169" s="1722">
        <f t="shared" si="6"/>
        <v>207866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2676501</v>
      </c>
      <c r="D170" s="1715">
        <f t="shared" si="7"/>
        <v>0</v>
      </c>
      <c r="E170" s="1715">
        <f t="shared" si="7"/>
        <v>0</v>
      </c>
      <c r="F170" s="1715">
        <f t="shared" si="7"/>
        <v>207866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1800</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599039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190119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82665</v>
      </c>
      <c r="D197" s="468"/>
      <c r="E197" s="561"/>
      <c r="F197" s="468"/>
      <c r="G197" s="585"/>
      <c r="H197" s="468"/>
      <c r="I197" s="468"/>
      <c r="J197" s="468"/>
      <c r="K197" s="468"/>
    </row>
    <row r="198" spans="1:11" ht="12.75" customHeight="1" thickBot="1" x14ac:dyDescent="0.25">
      <c r="A198" s="1708" t="s">
        <v>548</v>
      </c>
      <c r="B198" s="1709"/>
      <c r="C198" s="1688">
        <f>SUM(C190:C197)</f>
        <v>871823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500728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500728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34789</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34789</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19179</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492582</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511761</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21719</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21719</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83317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32979</v>
      </c>
      <c r="D263" s="576"/>
      <c r="E263" s="468"/>
      <c r="F263" s="576"/>
      <c r="G263" s="576"/>
      <c r="H263" s="468"/>
      <c r="I263" s="468"/>
      <c r="J263" s="468"/>
      <c r="K263" s="468"/>
    </row>
    <row r="264" spans="1:11" ht="12.75" customHeight="1" thickTop="1" thickBot="1" x14ac:dyDescent="0.25">
      <c r="A264" s="463" t="s">
        <v>377</v>
      </c>
      <c r="B264" s="470">
        <v>4992</v>
      </c>
      <c r="C264" s="575">
        <v>98964</v>
      </c>
      <c r="D264" s="576"/>
      <c r="E264" s="468"/>
      <c r="F264" s="576"/>
      <c r="G264" s="576"/>
      <c r="H264" s="468"/>
      <c r="I264" s="468"/>
      <c r="J264" s="468"/>
      <c r="K264" s="468"/>
    </row>
    <row r="265" spans="1:11" s="593" customFormat="1" ht="12.75" customHeight="1" thickTop="1" thickBot="1" x14ac:dyDescent="0.25">
      <c r="A265" s="563" t="s">
        <v>75</v>
      </c>
      <c r="B265" s="557">
        <v>4999</v>
      </c>
      <c r="C265" s="575">
        <v>42487</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2198567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2198567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18863449</v>
      </c>
      <c r="D268" s="1715">
        <f t="shared" si="12"/>
        <v>2854156</v>
      </c>
      <c r="E268" s="1715">
        <f t="shared" si="12"/>
        <v>2107728</v>
      </c>
      <c r="F268" s="1715">
        <f t="shared" si="12"/>
        <v>1213442</v>
      </c>
      <c r="G268" s="1715">
        <f t="shared" si="12"/>
        <v>1083136</v>
      </c>
      <c r="H268" s="1715">
        <f t="shared" si="12"/>
        <v>12006</v>
      </c>
      <c r="I268" s="1715">
        <f t="shared" si="12"/>
        <v>53087</v>
      </c>
      <c r="J268" s="1715">
        <f t="shared" si="12"/>
        <v>573362</v>
      </c>
      <c r="K268" s="1702">
        <f t="shared" si="12"/>
        <v>246272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orizontalCentered="1"/>
  <pageMargins left="0.75" right="0.75" top="1" bottom="0.5" header="0.5" footer="0.5"/>
  <pageSetup scale="61" firstPageNumber="9" orientation="landscape" r:id="rId1"/>
  <headerFooter>
    <oddHeader>&amp;C&amp;"Times New Roman,Regular"ROXANA COMMUNITY UNIT SCHOOL DISTRICT NO. 1
STATEMENT OF RECEIPTS - CASH - REGULATORY BASIS
ALL FUNDS
FOR THE YEAR ENDED JUNE 30, 2019</oddHeader>
    <oddFooter>&amp;C&amp;"Times New Roman,Regular"See Notes to Financial Statements and Independent Auditor's Reports
&amp;P</oddFooter>
  </headerFooter>
  <rowBreaks count="4" manualBreakCount="4">
    <brk id="56" max="10" man="1"/>
    <brk id="109" max="10" man="1"/>
    <brk id="161" max="10" man="1"/>
    <brk id="213" max="10"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20" zoomScaleNormal="120" workbookViewId="0">
      <pane ySplit="2" topLeftCell="A3" activePane="bottomLeft" state="frozen"/>
      <selection activeCell="V29" sqref="V29"/>
      <selection pane="bottomLeft" activeCell="D8" sqref="D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0" t="s">
        <v>297</v>
      </c>
      <c r="B3" s="216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6469356</v>
      </c>
      <c r="D5" s="466">
        <v>1369515</v>
      </c>
      <c r="E5" s="466">
        <v>22338</v>
      </c>
      <c r="F5" s="466">
        <v>290146</v>
      </c>
      <c r="G5" s="466">
        <v>25827</v>
      </c>
      <c r="H5" s="466"/>
      <c r="I5" s="467"/>
      <c r="J5" s="467">
        <v>559</v>
      </c>
      <c r="K5" s="1671">
        <f>SUM(C5:J5)</f>
        <v>8177741</v>
      </c>
      <c r="L5" s="466">
        <v>8319825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251826</v>
      </c>
      <c r="D7" s="467">
        <v>46586</v>
      </c>
      <c r="E7" s="467">
        <v>4514</v>
      </c>
      <c r="F7" s="467">
        <v>9903</v>
      </c>
      <c r="G7" s="467"/>
      <c r="H7" s="467"/>
      <c r="I7" s="467"/>
      <c r="J7" s="467"/>
      <c r="K7" s="1671">
        <f t="shared" ref="K7:K32" si="0">SUM(C7:J7)</f>
        <v>312829</v>
      </c>
      <c r="L7" s="466">
        <v>315725</v>
      </c>
    </row>
    <row r="8" spans="1:14" x14ac:dyDescent="0.2">
      <c r="A8" s="1504" t="s">
        <v>164</v>
      </c>
      <c r="B8" s="614">
        <v>1200</v>
      </c>
      <c r="C8" s="466">
        <v>1537248</v>
      </c>
      <c r="D8" s="466">
        <v>285235</v>
      </c>
      <c r="E8" s="466">
        <v>100210</v>
      </c>
      <c r="F8" s="466">
        <v>7763</v>
      </c>
      <c r="G8" s="466">
        <v>61</v>
      </c>
      <c r="H8" s="466">
        <v>5451</v>
      </c>
      <c r="I8" s="467"/>
      <c r="J8" s="467">
        <v>288</v>
      </c>
      <c r="K8" s="1671">
        <f t="shared" si="0"/>
        <v>1936256</v>
      </c>
      <c r="L8" s="466">
        <v>1987800</v>
      </c>
    </row>
    <row r="9" spans="1:14" x14ac:dyDescent="0.2">
      <c r="A9" s="1504" t="s">
        <v>721</v>
      </c>
      <c r="B9" s="614" t="s">
        <v>968</v>
      </c>
      <c r="C9" s="467">
        <v>90676</v>
      </c>
      <c r="D9" s="467">
        <v>17194</v>
      </c>
      <c r="E9" s="467"/>
      <c r="F9" s="467"/>
      <c r="G9" s="467"/>
      <c r="H9" s="467"/>
      <c r="I9" s="467"/>
      <c r="J9" s="467"/>
      <c r="K9" s="1671">
        <f t="shared" si="0"/>
        <v>107870</v>
      </c>
      <c r="L9" s="466">
        <v>107500</v>
      </c>
    </row>
    <row r="10" spans="1:14" x14ac:dyDescent="0.2">
      <c r="A10" s="1504" t="s">
        <v>722</v>
      </c>
      <c r="B10" s="614">
        <v>1250</v>
      </c>
      <c r="C10" s="466">
        <v>270268</v>
      </c>
      <c r="D10" s="466">
        <v>58993</v>
      </c>
      <c r="E10" s="466">
        <v>3133</v>
      </c>
      <c r="F10" s="466">
        <v>43338</v>
      </c>
      <c r="G10" s="466">
        <v>16182</v>
      </c>
      <c r="H10" s="466"/>
      <c r="I10" s="467"/>
      <c r="J10" s="467"/>
      <c r="K10" s="1671">
        <f t="shared" si="0"/>
        <v>391914</v>
      </c>
      <c r="L10" s="466">
        <v>483125</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501052</v>
      </c>
      <c r="D13" s="466">
        <v>126772</v>
      </c>
      <c r="E13" s="466">
        <v>1056</v>
      </c>
      <c r="F13" s="466">
        <v>42166</v>
      </c>
      <c r="G13" s="466">
        <v>45935</v>
      </c>
      <c r="H13" s="466"/>
      <c r="I13" s="467"/>
      <c r="J13" s="467"/>
      <c r="K13" s="1671">
        <f t="shared" si="0"/>
        <v>716981</v>
      </c>
      <c r="L13" s="466">
        <v>745025</v>
      </c>
    </row>
    <row r="14" spans="1:14" x14ac:dyDescent="0.2">
      <c r="A14" s="1504" t="s">
        <v>963</v>
      </c>
      <c r="B14" s="614">
        <v>1500</v>
      </c>
      <c r="C14" s="466">
        <v>233186</v>
      </c>
      <c r="D14" s="466">
        <v>19487</v>
      </c>
      <c r="E14" s="466">
        <v>66979</v>
      </c>
      <c r="F14" s="466">
        <v>30044</v>
      </c>
      <c r="G14" s="466">
        <v>680</v>
      </c>
      <c r="H14" s="466">
        <v>11331</v>
      </c>
      <c r="I14" s="467"/>
      <c r="J14" s="467"/>
      <c r="K14" s="1671">
        <f t="shared" si="0"/>
        <v>361707</v>
      </c>
      <c r="L14" s="466">
        <v>381050</v>
      </c>
    </row>
    <row r="15" spans="1:14" x14ac:dyDescent="0.2">
      <c r="A15" s="1504" t="s">
        <v>964</v>
      </c>
      <c r="B15" s="614">
        <v>1600</v>
      </c>
      <c r="C15" s="466">
        <v>6100</v>
      </c>
      <c r="D15" s="466">
        <v>704</v>
      </c>
      <c r="E15" s="466"/>
      <c r="F15" s="466">
        <v>53</v>
      </c>
      <c r="G15" s="466"/>
      <c r="H15" s="466"/>
      <c r="I15" s="467"/>
      <c r="J15" s="467"/>
      <c r="K15" s="1671">
        <f t="shared" si="0"/>
        <v>6857</v>
      </c>
      <c r="L15" s="466">
        <v>7925</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30423</v>
      </c>
      <c r="D17" s="467">
        <v>4990</v>
      </c>
      <c r="E17" s="467">
        <v>628</v>
      </c>
      <c r="F17" s="467">
        <v>1685</v>
      </c>
      <c r="G17" s="467"/>
      <c r="H17" s="467"/>
      <c r="I17" s="467"/>
      <c r="J17" s="467"/>
      <c r="K17" s="1671">
        <f t="shared" si="0"/>
        <v>37726</v>
      </c>
      <c r="L17" s="466">
        <v>62200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332263</v>
      </c>
      <c r="I22" s="616"/>
      <c r="J22" s="477"/>
      <c r="K22" s="1671">
        <f t="shared" si="0"/>
        <v>332263</v>
      </c>
      <c r="L22" s="471">
        <v>370000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9390135</v>
      </c>
      <c r="D33" s="1670">
        <f t="shared" ref="D33:L33" si="1">SUM(D5:D32)</f>
        <v>1929476</v>
      </c>
      <c r="E33" s="1670">
        <f t="shared" si="1"/>
        <v>198858</v>
      </c>
      <c r="F33" s="1670">
        <f t="shared" si="1"/>
        <v>425098</v>
      </c>
      <c r="G33" s="1670">
        <f t="shared" si="1"/>
        <v>88685</v>
      </c>
      <c r="H33" s="1670">
        <f t="shared" si="1"/>
        <v>349045</v>
      </c>
      <c r="I33" s="1670">
        <f t="shared" si="1"/>
        <v>0</v>
      </c>
      <c r="J33" s="1670">
        <f t="shared" si="1"/>
        <v>847</v>
      </c>
      <c r="K33" s="1670">
        <f t="shared" si="1"/>
        <v>12382144</v>
      </c>
      <c r="L33" s="1670">
        <f t="shared" si="1"/>
        <v>12780175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302669</v>
      </c>
      <c r="D36" s="481">
        <v>53711</v>
      </c>
      <c r="E36" s="481"/>
      <c r="F36" s="481">
        <v>340</v>
      </c>
      <c r="G36" s="481"/>
      <c r="H36" s="481"/>
      <c r="I36" s="467"/>
      <c r="J36" s="467"/>
      <c r="K36" s="1671">
        <f t="shared" ref="K36:K41" si="2">SUM(C36:J36)</f>
        <v>356720</v>
      </c>
      <c r="L36" s="466">
        <v>357775</v>
      </c>
    </row>
    <row r="37" spans="1:14" x14ac:dyDescent="0.2">
      <c r="A37" s="1504" t="s">
        <v>1090</v>
      </c>
      <c r="B37" s="614">
        <v>2120</v>
      </c>
      <c r="C37" s="466">
        <v>148007</v>
      </c>
      <c r="D37" s="466">
        <v>34271</v>
      </c>
      <c r="E37" s="466">
        <v>1073</v>
      </c>
      <c r="F37" s="466">
        <v>982</v>
      </c>
      <c r="G37" s="466"/>
      <c r="H37" s="466"/>
      <c r="I37" s="467"/>
      <c r="J37" s="467"/>
      <c r="K37" s="1671">
        <f t="shared" si="2"/>
        <v>184333</v>
      </c>
      <c r="L37" s="466">
        <v>191000</v>
      </c>
    </row>
    <row r="38" spans="1:14" x14ac:dyDescent="0.2">
      <c r="A38" s="1504" t="s">
        <v>198</v>
      </c>
      <c r="B38" s="614">
        <v>2130</v>
      </c>
      <c r="C38" s="466">
        <v>136934</v>
      </c>
      <c r="D38" s="466">
        <v>31674</v>
      </c>
      <c r="E38" s="466">
        <v>145</v>
      </c>
      <c r="F38" s="466">
        <v>2797</v>
      </c>
      <c r="G38" s="466"/>
      <c r="H38" s="466"/>
      <c r="I38" s="467"/>
      <c r="J38" s="467"/>
      <c r="K38" s="1671">
        <f t="shared" si="2"/>
        <v>171550</v>
      </c>
      <c r="L38" s="466">
        <v>174150</v>
      </c>
    </row>
    <row r="39" spans="1:14" x14ac:dyDescent="0.2">
      <c r="A39" s="1504" t="s">
        <v>199</v>
      </c>
      <c r="B39" s="614">
        <v>2140</v>
      </c>
      <c r="C39" s="466">
        <v>81341</v>
      </c>
      <c r="D39" s="466">
        <v>17233</v>
      </c>
      <c r="E39" s="466"/>
      <c r="F39" s="466">
        <v>225</v>
      </c>
      <c r="G39" s="466"/>
      <c r="H39" s="466"/>
      <c r="I39" s="467"/>
      <c r="J39" s="467"/>
      <c r="K39" s="1671">
        <f t="shared" si="2"/>
        <v>98799</v>
      </c>
      <c r="L39" s="466">
        <v>101575</v>
      </c>
    </row>
    <row r="40" spans="1:14" x14ac:dyDescent="0.2">
      <c r="A40" s="1504" t="s">
        <v>200</v>
      </c>
      <c r="B40" s="614">
        <v>2150</v>
      </c>
      <c r="C40" s="466">
        <v>238094</v>
      </c>
      <c r="D40" s="466">
        <v>49253</v>
      </c>
      <c r="E40" s="466"/>
      <c r="F40" s="466">
        <v>1485</v>
      </c>
      <c r="G40" s="466"/>
      <c r="H40" s="466">
        <v>675</v>
      </c>
      <c r="I40" s="467"/>
      <c r="J40" s="467"/>
      <c r="K40" s="1671">
        <f t="shared" si="2"/>
        <v>289507</v>
      </c>
      <c r="L40" s="466">
        <v>293875</v>
      </c>
    </row>
    <row r="41" spans="1:14" x14ac:dyDescent="0.2">
      <c r="A41" s="1504" t="s">
        <v>1669</v>
      </c>
      <c r="B41" s="614">
        <v>2190</v>
      </c>
      <c r="C41" s="466">
        <v>105915</v>
      </c>
      <c r="D41" s="466">
        <v>12100</v>
      </c>
      <c r="E41" s="466">
        <v>1170</v>
      </c>
      <c r="F41" s="466">
        <v>89</v>
      </c>
      <c r="G41" s="466"/>
      <c r="H41" s="466">
        <v>2195</v>
      </c>
      <c r="I41" s="467"/>
      <c r="J41" s="467"/>
      <c r="K41" s="1671">
        <f t="shared" si="2"/>
        <v>121469</v>
      </c>
      <c r="L41" s="466">
        <v>122925</v>
      </c>
    </row>
    <row r="42" spans="1:14" ht="12.75" customHeight="1" thickBot="1" x14ac:dyDescent="0.25">
      <c r="A42" s="1668" t="s">
        <v>560</v>
      </c>
      <c r="B42" s="1669" t="s">
        <v>716</v>
      </c>
      <c r="C42" s="1670">
        <f>SUM(C36:C41)</f>
        <v>1012960</v>
      </c>
      <c r="D42" s="1670">
        <f t="shared" ref="D42:L42" si="3">SUM(D36:D41)</f>
        <v>198242</v>
      </c>
      <c r="E42" s="1670">
        <f t="shared" si="3"/>
        <v>2388</v>
      </c>
      <c r="F42" s="1670">
        <f t="shared" si="3"/>
        <v>5918</v>
      </c>
      <c r="G42" s="1670">
        <f t="shared" si="3"/>
        <v>0</v>
      </c>
      <c r="H42" s="1670">
        <f t="shared" si="3"/>
        <v>2870</v>
      </c>
      <c r="I42" s="1670">
        <f t="shared" si="3"/>
        <v>0</v>
      </c>
      <c r="J42" s="1670">
        <f t="shared" si="3"/>
        <v>0</v>
      </c>
      <c r="K42" s="1670">
        <f t="shared" si="3"/>
        <v>1222378</v>
      </c>
      <c r="L42" s="1670">
        <f t="shared" si="3"/>
        <v>1241300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231320</v>
      </c>
      <c r="D44" s="481">
        <v>43204</v>
      </c>
      <c r="E44" s="481">
        <v>142843</v>
      </c>
      <c r="F44" s="481">
        <v>20262</v>
      </c>
      <c r="G44" s="481"/>
      <c r="H44" s="481">
        <v>2126</v>
      </c>
      <c r="I44" s="467"/>
      <c r="J44" s="467"/>
      <c r="K44" s="1672">
        <f>SUM(C44:J44)</f>
        <v>439755</v>
      </c>
      <c r="L44" s="481">
        <v>567275</v>
      </c>
    </row>
    <row r="45" spans="1:14" x14ac:dyDescent="0.2">
      <c r="A45" s="1504" t="s">
        <v>815</v>
      </c>
      <c r="B45" s="614">
        <v>2220</v>
      </c>
      <c r="C45" s="466">
        <v>181675</v>
      </c>
      <c r="D45" s="466">
        <v>27546</v>
      </c>
      <c r="E45" s="466">
        <v>259</v>
      </c>
      <c r="F45" s="466">
        <v>8092</v>
      </c>
      <c r="G45" s="466"/>
      <c r="H45" s="466">
        <v>13200</v>
      </c>
      <c r="I45" s="467"/>
      <c r="J45" s="467"/>
      <c r="K45" s="1672">
        <f>SUM(C45:J45)</f>
        <v>230772</v>
      </c>
      <c r="L45" s="466">
        <v>243375</v>
      </c>
    </row>
    <row r="46" spans="1:14" x14ac:dyDescent="0.2">
      <c r="A46" s="1504" t="s">
        <v>816</v>
      </c>
      <c r="B46" s="614">
        <v>2230</v>
      </c>
      <c r="C46" s="466"/>
      <c r="D46" s="466"/>
      <c r="E46" s="466">
        <v>26367</v>
      </c>
      <c r="F46" s="466"/>
      <c r="G46" s="466"/>
      <c r="H46" s="466"/>
      <c r="I46" s="467"/>
      <c r="J46" s="467"/>
      <c r="K46" s="1672">
        <f>SUM(C46:J46)</f>
        <v>26367</v>
      </c>
      <c r="L46" s="466">
        <v>41200</v>
      </c>
    </row>
    <row r="47" spans="1:14" ht="12.75" customHeight="1" thickBot="1" x14ac:dyDescent="0.25">
      <c r="A47" s="1668" t="s">
        <v>561</v>
      </c>
      <c r="B47" s="1669" t="s">
        <v>32</v>
      </c>
      <c r="C47" s="1670">
        <f>SUM(C44:C46)</f>
        <v>412995</v>
      </c>
      <c r="D47" s="1670">
        <f t="shared" ref="D47:K47" si="4">SUM(D44:D46)</f>
        <v>70750</v>
      </c>
      <c r="E47" s="1670">
        <f t="shared" si="4"/>
        <v>169469</v>
      </c>
      <c r="F47" s="1670">
        <f t="shared" si="4"/>
        <v>28354</v>
      </c>
      <c r="G47" s="1670">
        <f t="shared" si="4"/>
        <v>0</v>
      </c>
      <c r="H47" s="1670">
        <f t="shared" si="4"/>
        <v>15326</v>
      </c>
      <c r="I47" s="1670">
        <f t="shared" si="4"/>
        <v>0</v>
      </c>
      <c r="J47" s="1670">
        <f t="shared" si="4"/>
        <v>0</v>
      </c>
      <c r="K47" s="1670">
        <f t="shared" si="4"/>
        <v>696894</v>
      </c>
      <c r="L47" s="1670">
        <f>SUM(L44:L46)</f>
        <v>851850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28380</v>
      </c>
      <c r="F49" s="481">
        <v>17</v>
      </c>
      <c r="G49" s="481"/>
      <c r="H49" s="481">
        <v>6347</v>
      </c>
      <c r="I49" s="467"/>
      <c r="J49" s="467"/>
      <c r="K49" s="1672">
        <f>SUM(C49:J49)</f>
        <v>34744</v>
      </c>
      <c r="L49" s="481">
        <v>71725</v>
      </c>
    </row>
    <row r="50" spans="1:14" x14ac:dyDescent="0.2">
      <c r="A50" s="1504" t="s">
        <v>818</v>
      </c>
      <c r="B50" s="614">
        <v>2320</v>
      </c>
      <c r="C50" s="466">
        <v>208254</v>
      </c>
      <c r="D50" s="466">
        <v>40612</v>
      </c>
      <c r="E50" s="466">
        <v>61918</v>
      </c>
      <c r="F50" s="466">
        <v>61496</v>
      </c>
      <c r="G50" s="466">
        <v>31562</v>
      </c>
      <c r="H50" s="466">
        <v>4420</v>
      </c>
      <c r="I50" s="467"/>
      <c r="J50" s="467"/>
      <c r="K50" s="1672">
        <f>SUM(C50:J50)</f>
        <v>408262</v>
      </c>
      <c r="L50" s="466">
        <v>415500</v>
      </c>
    </row>
    <row r="51" spans="1:14" x14ac:dyDescent="0.2">
      <c r="A51" s="1504" t="s">
        <v>42</v>
      </c>
      <c r="B51" s="614">
        <v>2330</v>
      </c>
      <c r="C51" s="466">
        <v>137937</v>
      </c>
      <c r="D51" s="466">
        <v>24691</v>
      </c>
      <c r="E51" s="466">
        <v>947</v>
      </c>
      <c r="F51" s="466">
        <v>1365</v>
      </c>
      <c r="G51" s="466"/>
      <c r="H51" s="466"/>
      <c r="I51" s="467"/>
      <c r="J51" s="467"/>
      <c r="K51" s="1672">
        <f>SUM(C51:J51)</f>
        <v>164940</v>
      </c>
      <c r="L51" s="466">
        <v>169775</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346191</v>
      </c>
      <c r="D53" s="1670">
        <f t="shared" ref="D53:L53" si="5">SUM(D49:D52)</f>
        <v>65303</v>
      </c>
      <c r="E53" s="1670">
        <f t="shared" si="5"/>
        <v>91245</v>
      </c>
      <c r="F53" s="1670">
        <f t="shared" si="5"/>
        <v>62878</v>
      </c>
      <c r="G53" s="1670">
        <f t="shared" si="5"/>
        <v>31562</v>
      </c>
      <c r="H53" s="1670">
        <f t="shared" si="5"/>
        <v>10767</v>
      </c>
      <c r="I53" s="1670">
        <f t="shared" si="5"/>
        <v>0</v>
      </c>
      <c r="J53" s="1670">
        <f t="shared" si="5"/>
        <v>0</v>
      </c>
      <c r="K53" s="1670">
        <f t="shared" si="5"/>
        <v>607946</v>
      </c>
      <c r="L53" s="1670">
        <f t="shared" si="5"/>
        <v>657000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815401</v>
      </c>
      <c r="D55" s="481">
        <v>151682</v>
      </c>
      <c r="E55" s="481">
        <v>26529</v>
      </c>
      <c r="F55" s="481">
        <v>3623</v>
      </c>
      <c r="G55" s="481"/>
      <c r="H55" s="481">
        <v>2530</v>
      </c>
      <c r="I55" s="467"/>
      <c r="J55" s="467">
        <v>9134</v>
      </c>
      <c r="K55" s="1672">
        <f>SUM(C55:J55)</f>
        <v>1008899</v>
      </c>
      <c r="L55" s="481">
        <v>1023150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815401</v>
      </c>
      <c r="D57" s="1674">
        <f t="shared" ref="D57:K57" si="6">SUM(D55:D56)</f>
        <v>151682</v>
      </c>
      <c r="E57" s="1674">
        <f t="shared" si="6"/>
        <v>26529</v>
      </c>
      <c r="F57" s="1674">
        <f t="shared" si="6"/>
        <v>3623</v>
      </c>
      <c r="G57" s="1674">
        <f t="shared" si="6"/>
        <v>0</v>
      </c>
      <c r="H57" s="1674">
        <f t="shared" si="6"/>
        <v>2530</v>
      </c>
      <c r="I57" s="1674">
        <f t="shared" si="6"/>
        <v>0</v>
      </c>
      <c r="J57" s="1674">
        <f t="shared" si="6"/>
        <v>9134</v>
      </c>
      <c r="K57" s="1674">
        <f t="shared" si="6"/>
        <v>1008899</v>
      </c>
      <c r="L57" s="1670">
        <f>SUM(L55:L56)</f>
        <v>1023150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245939</v>
      </c>
      <c r="D60" s="466">
        <v>41066</v>
      </c>
      <c r="E60" s="466">
        <v>18622</v>
      </c>
      <c r="F60" s="466">
        <v>2608</v>
      </c>
      <c r="G60" s="466"/>
      <c r="H60" s="466">
        <v>1489</v>
      </c>
      <c r="I60" s="467"/>
      <c r="J60" s="467"/>
      <c r="K60" s="1672">
        <f t="shared" si="7"/>
        <v>309724</v>
      </c>
      <c r="L60" s="466">
        <v>335325</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v>11341</v>
      </c>
      <c r="F62" s="466"/>
      <c r="G62" s="466"/>
      <c r="H62" s="466"/>
      <c r="I62" s="467"/>
      <c r="J62" s="467"/>
      <c r="K62" s="1672">
        <f t="shared" si="7"/>
        <v>11341</v>
      </c>
      <c r="L62" s="466">
        <v>11650</v>
      </c>
      <c r="M62" s="609"/>
      <c r="N62" s="609"/>
    </row>
    <row r="63" spans="1:14" s="609" customFormat="1" x14ac:dyDescent="0.2">
      <c r="A63" s="1504" t="s">
        <v>100</v>
      </c>
      <c r="B63" s="614">
        <v>2560</v>
      </c>
      <c r="C63" s="466">
        <v>502715</v>
      </c>
      <c r="D63" s="466">
        <v>29091</v>
      </c>
      <c r="E63" s="466">
        <v>5749</v>
      </c>
      <c r="F63" s="466">
        <v>422056</v>
      </c>
      <c r="G63" s="466">
        <v>27975</v>
      </c>
      <c r="H63" s="466">
        <v>148</v>
      </c>
      <c r="I63" s="467"/>
      <c r="J63" s="467">
        <v>259</v>
      </c>
      <c r="K63" s="1672">
        <f t="shared" si="7"/>
        <v>987993</v>
      </c>
      <c r="L63" s="466">
        <v>945850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748654</v>
      </c>
      <c r="D65" s="1670">
        <f t="shared" ref="D65:L65" si="8">SUM(D59:D64)</f>
        <v>70157</v>
      </c>
      <c r="E65" s="1670">
        <f t="shared" si="8"/>
        <v>35712</v>
      </c>
      <c r="F65" s="1670">
        <f t="shared" si="8"/>
        <v>424664</v>
      </c>
      <c r="G65" s="1670">
        <f t="shared" si="8"/>
        <v>27975</v>
      </c>
      <c r="H65" s="1670">
        <f t="shared" si="8"/>
        <v>1637</v>
      </c>
      <c r="I65" s="1670">
        <f t="shared" si="8"/>
        <v>0</v>
      </c>
      <c r="J65" s="1670">
        <f t="shared" si="8"/>
        <v>259</v>
      </c>
      <c r="K65" s="1670">
        <f t="shared" si="8"/>
        <v>1309058</v>
      </c>
      <c r="L65" s="1670">
        <f t="shared" si="8"/>
        <v>1292825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270311</v>
      </c>
      <c r="D71" s="466">
        <v>29010</v>
      </c>
      <c r="E71" s="466">
        <v>39689</v>
      </c>
      <c r="F71" s="466">
        <v>69751</v>
      </c>
      <c r="G71" s="466">
        <v>80349</v>
      </c>
      <c r="H71" s="466"/>
      <c r="I71" s="467"/>
      <c r="J71" s="467"/>
      <c r="K71" s="1672">
        <f>SUM(C71:J71)</f>
        <v>489110</v>
      </c>
      <c r="L71" s="466">
        <v>843650</v>
      </c>
      <c r="M71" s="609"/>
      <c r="N71" s="609"/>
    </row>
    <row r="72" spans="1:14" s="343" customFormat="1" ht="12.75" customHeight="1" thickBot="1" x14ac:dyDescent="0.25">
      <c r="A72" s="1668" t="s">
        <v>37</v>
      </c>
      <c r="B72" s="1675" t="s">
        <v>36</v>
      </c>
      <c r="C72" s="1670">
        <f>SUM(C67:C71)</f>
        <v>270311</v>
      </c>
      <c r="D72" s="1670">
        <f t="shared" ref="D72:K72" si="9">SUM(D67:D71)</f>
        <v>29010</v>
      </c>
      <c r="E72" s="1670">
        <f t="shared" si="9"/>
        <v>39689</v>
      </c>
      <c r="F72" s="1670">
        <f t="shared" si="9"/>
        <v>69751</v>
      </c>
      <c r="G72" s="1670">
        <f t="shared" si="9"/>
        <v>80349</v>
      </c>
      <c r="H72" s="1670">
        <f t="shared" si="9"/>
        <v>0</v>
      </c>
      <c r="I72" s="1670">
        <f t="shared" si="9"/>
        <v>0</v>
      </c>
      <c r="J72" s="1670">
        <f t="shared" si="9"/>
        <v>0</v>
      </c>
      <c r="K72" s="1670">
        <f t="shared" si="9"/>
        <v>489110</v>
      </c>
      <c r="L72" s="1670">
        <f>SUM(L67:L71)</f>
        <v>843650</v>
      </c>
      <c r="M72" s="609"/>
      <c r="N72" s="609"/>
    </row>
    <row r="73" spans="1:14" s="343" customFormat="1" ht="14.25" thickTop="1" thickBot="1" x14ac:dyDescent="0.25">
      <c r="A73" s="1510" t="s">
        <v>980</v>
      </c>
      <c r="B73" s="632" t="s">
        <v>574</v>
      </c>
      <c r="C73" s="573"/>
      <c r="D73" s="573"/>
      <c r="E73" s="573"/>
      <c r="F73" s="573">
        <v>238</v>
      </c>
      <c r="G73" s="573"/>
      <c r="H73" s="573"/>
      <c r="I73" s="531"/>
      <c r="J73" s="531"/>
      <c r="K73" s="1670">
        <f>SUM(C73:J73)</f>
        <v>238</v>
      </c>
      <c r="L73" s="576">
        <v>250</v>
      </c>
      <c r="M73" s="609"/>
      <c r="N73" s="609"/>
    </row>
    <row r="74" spans="1:14" ht="12.75" customHeight="1" thickTop="1" thickBot="1" x14ac:dyDescent="0.25">
      <c r="A74" s="1668" t="s">
        <v>811</v>
      </c>
      <c r="B74" s="1676">
        <v>2000</v>
      </c>
      <c r="C74" s="1677">
        <f>SUM(C42,C47,C53,C57,C65,C72,C73)</f>
        <v>3606512</v>
      </c>
      <c r="D74" s="1677">
        <f t="shared" ref="D74:K74" si="10">SUM(D42,D47,D53,D57,D65,D72,D73)</f>
        <v>585144</v>
      </c>
      <c r="E74" s="1677">
        <f t="shared" si="10"/>
        <v>365032</v>
      </c>
      <c r="F74" s="1677">
        <f t="shared" si="10"/>
        <v>595426</v>
      </c>
      <c r="G74" s="1677">
        <f t="shared" si="10"/>
        <v>139886</v>
      </c>
      <c r="H74" s="1677">
        <f t="shared" si="10"/>
        <v>33130</v>
      </c>
      <c r="I74" s="1677">
        <f t="shared" si="10"/>
        <v>0</v>
      </c>
      <c r="J74" s="1677">
        <f t="shared" si="10"/>
        <v>9393</v>
      </c>
      <c r="K74" s="1677">
        <f t="shared" si="10"/>
        <v>5334523</v>
      </c>
      <c r="L74" s="1677">
        <f>SUM(L42,L47,L53,L57,L65,L72,L73)</f>
        <v>5910025</v>
      </c>
    </row>
    <row r="75" spans="1:14" s="259" customFormat="1" ht="15.75" customHeight="1" thickTop="1" thickBot="1" x14ac:dyDescent="0.25">
      <c r="A75" s="1610" t="s">
        <v>47</v>
      </c>
      <c r="B75" s="1611" t="s">
        <v>575</v>
      </c>
      <c r="C75" s="573">
        <v>28103</v>
      </c>
      <c r="D75" s="573">
        <v>1599</v>
      </c>
      <c r="E75" s="573">
        <v>452</v>
      </c>
      <c r="F75" s="573">
        <v>2126</v>
      </c>
      <c r="G75" s="573"/>
      <c r="H75" s="573"/>
      <c r="I75" s="531"/>
      <c r="J75" s="531"/>
      <c r="K75" s="1670">
        <f>SUM(C75:J75)</f>
        <v>32280</v>
      </c>
      <c r="L75" s="576">
        <v>41075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15077</v>
      </c>
      <c r="I79" s="477"/>
      <c r="J79" s="477"/>
      <c r="K79" s="1671">
        <f t="shared" si="11"/>
        <v>15077</v>
      </c>
      <c r="L79" s="466">
        <v>44500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15077</v>
      </c>
      <c r="I84" s="477"/>
      <c r="J84" s="477"/>
      <c r="K84" s="1670">
        <f>SUM(K78:K83)</f>
        <v>15077</v>
      </c>
      <c r="L84" s="1670">
        <f>SUM(L78:L83)</f>
        <v>44500</v>
      </c>
    </row>
    <row r="85" spans="1:12" ht="12.75" customHeight="1" thickTop="1" thickBot="1" x14ac:dyDescent="0.25">
      <c r="A85" s="1511" t="s">
        <v>255</v>
      </c>
      <c r="B85" s="635">
        <v>4210</v>
      </c>
      <c r="C85" s="616"/>
      <c r="D85" s="616"/>
      <c r="E85" s="636"/>
      <c r="F85" s="616"/>
      <c r="G85" s="616"/>
      <c r="H85" s="535">
        <v>3700</v>
      </c>
      <c r="I85" s="477"/>
      <c r="J85" s="477"/>
      <c r="K85" s="1677">
        <f>H85</f>
        <v>3700</v>
      </c>
      <c r="L85" s="530">
        <v>4000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3700</v>
      </c>
      <c r="I92" s="477"/>
      <c r="J92" s="477"/>
      <c r="K92" s="1677">
        <f t="shared" si="12"/>
        <v>3700</v>
      </c>
      <c r="L92" s="1670">
        <f>SUM(L85:L91)</f>
        <v>4000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18777</v>
      </c>
      <c r="I102" s="477"/>
      <c r="J102" s="477"/>
      <c r="K102" s="1677">
        <f>SUM(K84,K92,K100,K101)</f>
        <v>18777</v>
      </c>
      <c r="L102" s="1677">
        <f>SUM(L84,L92,L100,L101)</f>
        <v>48500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13024750</v>
      </c>
      <c r="D114" s="1670">
        <f t="shared" ref="D114:K114" si="13">SUM(D33,D74,D75,D102,D112,D113)</f>
        <v>2516219</v>
      </c>
      <c r="E114" s="1670">
        <f t="shared" si="13"/>
        <v>564342</v>
      </c>
      <c r="F114" s="1670">
        <f t="shared" si="13"/>
        <v>1022650</v>
      </c>
      <c r="G114" s="1670">
        <f t="shared" si="13"/>
        <v>228571</v>
      </c>
      <c r="H114" s="1670">
        <f>SUM(H33,H74,H75,H102,H112,H113)</f>
        <v>400952</v>
      </c>
      <c r="I114" s="1670">
        <f t="shared" si="13"/>
        <v>0</v>
      </c>
      <c r="J114" s="1670">
        <f t="shared" si="13"/>
        <v>10240</v>
      </c>
      <c r="K114" s="1670">
        <f t="shared" si="13"/>
        <v>17767724</v>
      </c>
      <c r="L114" s="1670">
        <f>SUM(L33,L74,L75,L102,L112,L113)</f>
        <v>18779775</v>
      </c>
    </row>
    <row r="115" spans="1:14" ht="13.5" thickTop="1" x14ac:dyDescent="0.2">
      <c r="A115" s="2179" t="s">
        <v>996</v>
      </c>
      <c r="B115" s="2180"/>
      <c r="C115" s="618"/>
      <c r="D115" s="618"/>
      <c r="E115" s="618"/>
      <c r="F115" s="618"/>
      <c r="G115" s="618"/>
      <c r="H115" s="618"/>
      <c r="I115" s="618"/>
      <c r="J115" s="618"/>
      <c r="K115" s="1684">
        <f>'Revenues 9-14'!C268-'Expenditures 15-22'!K114</f>
        <v>1095725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7" t="s">
        <v>296</v>
      </c>
      <c r="B117" s="215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878744</v>
      </c>
      <c r="D124" s="466">
        <v>111257</v>
      </c>
      <c r="E124" s="466">
        <v>259843</v>
      </c>
      <c r="F124" s="466">
        <v>625210</v>
      </c>
      <c r="G124" s="466">
        <v>22563</v>
      </c>
      <c r="H124" s="466">
        <v>721221</v>
      </c>
      <c r="I124" s="467"/>
      <c r="J124" s="467"/>
      <c r="K124" s="1670">
        <f>SUM(C124:J124)</f>
        <v>2618838</v>
      </c>
      <c r="L124" s="466">
        <v>2940375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878744</v>
      </c>
      <c r="D127" s="1670">
        <f t="shared" ref="D127:L127" si="14">SUM(D122:D126)</f>
        <v>111257</v>
      </c>
      <c r="E127" s="1670">
        <f t="shared" si="14"/>
        <v>259843</v>
      </c>
      <c r="F127" s="1670">
        <f t="shared" si="14"/>
        <v>625210</v>
      </c>
      <c r="G127" s="1670">
        <f t="shared" si="14"/>
        <v>22563</v>
      </c>
      <c r="H127" s="1670">
        <f t="shared" si="14"/>
        <v>721221</v>
      </c>
      <c r="I127" s="1670">
        <f t="shared" si="14"/>
        <v>0</v>
      </c>
      <c r="J127" s="1670">
        <f t="shared" si="14"/>
        <v>0</v>
      </c>
      <c r="K127" s="1670">
        <f t="shared" si="14"/>
        <v>2618838</v>
      </c>
      <c r="L127" s="1670">
        <f t="shared" si="14"/>
        <v>2940375</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878744</v>
      </c>
      <c r="D129" s="1677">
        <f t="shared" ref="D129:L129" si="15">SUM(D120,D127,D128)</f>
        <v>111257</v>
      </c>
      <c r="E129" s="1677">
        <f t="shared" si="15"/>
        <v>259843</v>
      </c>
      <c r="F129" s="1677">
        <f t="shared" si="15"/>
        <v>625210</v>
      </c>
      <c r="G129" s="1677">
        <f t="shared" si="15"/>
        <v>22563</v>
      </c>
      <c r="H129" s="1677">
        <f t="shared" si="15"/>
        <v>721221</v>
      </c>
      <c r="I129" s="1677">
        <f t="shared" si="15"/>
        <v>0</v>
      </c>
      <c r="J129" s="1677">
        <f t="shared" si="15"/>
        <v>0</v>
      </c>
      <c r="K129" s="1677">
        <f t="shared" si="15"/>
        <v>2618838</v>
      </c>
      <c r="L129" s="1677">
        <f t="shared" si="15"/>
        <v>2940375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69" t="s">
        <v>620</v>
      </c>
      <c r="B151" s="2151"/>
      <c r="C151" s="1670">
        <f>SUM(C129,C130,C139,C149,C150)</f>
        <v>878744</v>
      </c>
      <c r="D151" s="1670">
        <f t="shared" ref="D151:K151" si="16">SUM(D129,D130,D139,D149,D150)</f>
        <v>111257</v>
      </c>
      <c r="E151" s="1670">
        <f t="shared" si="16"/>
        <v>259843</v>
      </c>
      <c r="F151" s="1670">
        <f t="shared" si="16"/>
        <v>625210</v>
      </c>
      <c r="G151" s="1670">
        <f t="shared" si="16"/>
        <v>22563</v>
      </c>
      <c r="H151" s="1670">
        <f t="shared" si="16"/>
        <v>721221</v>
      </c>
      <c r="I151" s="1670">
        <f t="shared" si="16"/>
        <v>0</v>
      </c>
      <c r="J151" s="1670">
        <f t="shared" si="16"/>
        <v>0</v>
      </c>
      <c r="K151" s="1670">
        <f t="shared" si="16"/>
        <v>2618838</v>
      </c>
      <c r="L151" s="1670">
        <f>SUM(L129,L130,L139,L149,L150)</f>
        <v>2940375</v>
      </c>
    </row>
    <row r="152" spans="1:14" ht="12.75" customHeight="1" thickTop="1" x14ac:dyDescent="0.2">
      <c r="A152" s="2172" t="s">
        <v>1178</v>
      </c>
      <c r="B152" s="2173"/>
      <c r="C152" s="618"/>
      <c r="D152" s="618"/>
      <c r="E152" s="618"/>
      <c r="F152" s="618"/>
      <c r="G152" s="618"/>
      <c r="H152" s="618"/>
      <c r="I152" s="618"/>
      <c r="J152" s="616"/>
      <c r="K152" s="1684">
        <f>'Revenues 9-14'!D268-'Expenditures 15-22'!K151</f>
        <v>235318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7" t="s">
        <v>621</v>
      </c>
      <c r="B154" s="215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766514</v>
      </c>
      <c r="I169" s="616"/>
      <c r="J169" s="616"/>
      <c r="K169" s="1671">
        <f>SUM(C169:H169)</f>
        <v>766514</v>
      </c>
      <c r="L169" s="656">
        <v>752650</v>
      </c>
    </row>
    <row r="170" spans="1:14" ht="33.75" customHeight="1" x14ac:dyDescent="0.2">
      <c r="A170" s="669" t="s">
        <v>1670</v>
      </c>
      <c r="B170" s="671" t="s">
        <v>31</v>
      </c>
      <c r="C170" s="616"/>
      <c r="D170" s="616"/>
      <c r="E170" s="616"/>
      <c r="F170" s="616"/>
      <c r="G170" s="616"/>
      <c r="H170" s="569">
        <v>2583992</v>
      </c>
      <c r="I170" s="616"/>
      <c r="J170" s="616"/>
      <c r="K170" s="1671">
        <f>SUM(C170:J170)</f>
        <v>2583992</v>
      </c>
      <c r="L170" s="569">
        <v>1533925</v>
      </c>
    </row>
    <row r="171" spans="1:14" ht="15.75" customHeight="1" x14ac:dyDescent="0.2">
      <c r="A171" s="621" t="s">
        <v>766</v>
      </c>
      <c r="B171" s="672" t="s">
        <v>84</v>
      </c>
      <c r="C171" s="616"/>
      <c r="D171" s="616"/>
      <c r="E171" s="466"/>
      <c r="F171" s="616"/>
      <c r="G171" s="616"/>
      <c r="H171" s="569">
        <v>4100</v>
      </c>
      <c r="I171" s="477"/>
      <c r="J171" s="616"/>
      <c r="K171" s="1671">
        <f>SUM(C171:J171)</f>
        <v>4100</v>
      </c>
      <c r="L171" s="569">
        <v>3550</v>
      </c>
    </row>
    <row r="172" spans="1:14" ht="12.75" customHeight="1" thickBot="1" x14ac:dyDescent="0.25">
      <c r="A172" s="1668" t="s">
        <v>638</v>
      </c>
      <c r="B172" s="1669" t="s">
        <v>492</v>
      </c>
      <c r="C172" s="616"/>
      <c r="D172" s="616"/>
      <c r="E172" s="1677">
        <f>SUM(E168,E169,E170,E171)</f>
        <v>0</v>
      </c>
      <c r="F172" s="616"/>
      <c r="G172" s="616"/>
      <c r="H172" s="1677">
        <f>SUM(H168,H169,H170,H171)</f>
        <v>3354606</v>
      </c>
      <c r="I172" s="638"/>
      <c r="J172" s="616"/>
      <c r="K172" s="1677">
        <f>SUM(K168,K169,K170,K171)</f>
        <v>3354606</v>
      </c>
      <c r="L172" s="1677">
        <f>SUM(L168,L169,L170,L171)</f>
        <v>2290125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3354606</v>
      </c>
      <c r="I174" s="638"/>
      <c r="J174" s="616"/>
      <c r="K174" s="1677">
        <f>SUM(K160,K172,K173)</f>
        <v>3354606</v>
      </c>
      <c r="L174" s="1677">
        <f>SUM(L160,L172,L173)</f>
        <v>2290125</v>
      </c>
    </row>
    <row r="175" spans="1:14" ht="13.5" thickTop="1" x14ac:dyDescent="0.2">
      <c r="A175" s="2179" t="s">
        <v>996</v>
      </c>
      <c r="B175" s="2180"/>
      <c r="C175" s="616"/>
      <c r="D175" s="616"/>
      <c r="E175" s="616"/>
      <c r="F175" s="616"/>
      <c r="G175" s="616"/>
      <c r="H175" s="618"/>
      <c r="I175" s="616"/>
      <c r="J175" s="616"/>
      <c r="K175" s="1684">
        <f>'Revenues 9-14'!E268-'Expenditures 15-22'!K174</f>
        <v>-1246878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520530</v>
      </c>
      <c r="D182" s="466">
        <v>31891</v>
      </c>
      <c r="E182" s="466">
        <v>40960</v>
      </c>
      <c r="F182" s="466">
        <v>99203</v>
      </c>
      <c r="G182" s="466">
        <v>221910</v>
      </c>
      <c r="H182" s="466">
        <v>269440</v>
      </c>
      <c r="I182" s="467"/>
      <c r="J182" s="467">
        <v>362</v>
      </c>
      <c r="K182" s="1671">
        <f>SUM(C182:J182)</f>
        <v>1184296</v>
      </c>
      <c r="L182" s="466">
        <v>1271400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520530</v>
      </c>
      <c r="D184" s="1677">
        <f t="shared" ref="D184:J184" si="17">SUM(D180,D182,D183)</f>
        <v>31891</v>
      </c>
      <c r="E184" s="1677">
        <f t="shared" si="17"/>
        <v>40960</v>
      </c>
      <c r="F184" s="1677">
        <f t="shared" si="17"/>
        <v>99203</v>
      </c>
      <c r="G184" s="1677">
        <f t="shared" si="17"/>
        <v>221910</v>
      </c>
      <c r="H184" s="1677">
        <f t="shared" si="17"/>
        <v>269440</v>
      </c>
      <c r="I184" s="1677">
        <f t="shared" si="17"/>
        <v>0</v>
      </c>
      <c r="J184" s="1677">
        <f t="shared" si="17"/>
        <v>362</v>
      </c>
      <c r="K184" s="1677">
        <f>SUM(K180,K182,K183)</f>
        <v>1184296</v>
      </c>
      <c r="L184" s="1677">
        <f>SUM(L180, L182:L183)</f>
        <v>1271400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520530</v>
      </c>
      <c r="D210" s="1670">
        <f>SUM(D184,D185)</f>
        <v>31891</v>
      </c>
      <c r="E210" s="1670">
        <f>SUM(E184,E185,E196)</f>
        <v>40960</v>
      </c>
      <c r="F210" s="1670">
        <f>SUM(F184,F185)</f>
        <v>99203</v>
      </c>
      <c r="G210" s="1670">
        <f>SUM(G184,G185)</f>
        <v>221910</v>
      </c>
      <c r="H210" s="1670">
        <f>SUM(H184,H185,H196,H208,H209)</f>
        <v>269440</v>
      </c>
      <c r="I210" s="1670">
        <f>SUM(I184,I185)</f>
        <v>0</v>
      </c>
      <c r="J210" s="1670">
        <f>SUM(J184,J185)</f>
        <v>362</v>
      </c>
      <c r="K210" s="1671">
        <f>SUM(K184,K185,K196,K208,K209)</f>
        <v>1184296</v>
      </c>
      <c r="L210" s="1670">
        <f>SUM(L184,L185,L196,L208,L209)</f>
        <v>1271400</v>
      </c>
    </row>
    <row r="211" spans="1:14" ht="13.5" thickTop="1" x14ac:dyDescent="0.2">
      <c r="A211" s="2179" t="s">
        <v>996</v>
      </c>
      <c r="B211" s="2180"/>
      <c r="C211" s="618"/>
      <c r="D211" s="618"/>
      <c r="E211" s="618"/>
      <c r="F211" s="618"/>
      <c r="G211" s="618"/>
      <c r="H211" s="618"/>
      <c r="I211" s="616"/>
      <c r="J211" s="616"/>
      <c r="K211" s="1684">
        <f>'Revenues 9-14'!F268-'Expenditures 15-22'!K210</f>
        <v>29146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4" t="s">
        <v>965</v>
      </c>
      <c r="B213" s="217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66594</v>
      </c>
      <c r="E215" s="616"/>
      <c r="F215" s="616"/>
      <c r="G215" s="616"/>
      <c r="H215" s="616"/>
      <c r="I215" s="616"/>
      <c r="J215" s="616"/>
      <c r="K215" s="1671">
        <f>D215</f>
        <v>66594</v>
      </c>
      <c r="L215" s="466">
        <v>71975</v>
      </c>
    </row>
    <row r="216" spans="1:14" x14ac:dyDescent="0.2">
      <c r="A216" s="1504" t="s">
        <v>163</v>
      </c>
      <c r="B216" s="614" t="s">
        <v>967</v>
      </c>
      <c r="C216" s="616"/>
      <c r="D216" s="467">
        <v>43707</v>
      </c>
      <c r="E216" s="616"/>
      <c r="F216" s="616"/>
      <c r="G216" s="616"/>
      <c r="H216" s="616"/>
      <c r="I216" s="616"/>
      <c r="J216" s="616"/>
      <c r="K216" s="1671">
        <f t="shared" ref="K216:K228" si="19">D216</f>
        <v>43707</v>
      </c>
      <c r="L216" s="466">
        <v>45900</v>
      </c>
    </row>
    <row r="217" spans="1:14" x14ac:dyDescent="0.2">
      <c r="A217" s="1504" t="s">
        <v>164</v>
      </c>
      <c r="B217" s="614">
        <v>1200</v>
      </c>
      <c r="C217" s="616"/>
      <c r="D217" s="466">
        <v>95751</v>
      </c>
      <c r="E217" s="616"/>
      <c r="F217" s="616"/>
      <c r="G217" s="616"/>
      <c r="H217" s="616"/>
      <c r="I217" s="616"/>
      <c r="J217" s="616"/>
      <c r="K217" s="1671">
        <f t="shared" si="19"/>
        <v>95751</v>
      </c>
      <c r="L217" s="466">
        <v>112000</v>
      </c>
    </row>
    <row r="218" spans="1:14" x14ac:dyDescent="0.2">
      <c r="A218" s="1504" t="s">
        <v>278</v>
      </c>
      <c r="B218" s="614" t="s">
        <v>968</v>
      </c>
      <c r="C218" s="616"/>
      <c r="D218" s="467">
        <v>5260</v>
      </c>
      <c r="E218" s="616"/>
      <c r="F218" s="616"/>
      <c r="G218" s="616"/>
      <c r="H218" s="616"/>
      <c r="I218" s="616"/>
      <c r="J218" s="616"/>
      <c r="K218" s="1671">
        <f t="shared" si="19"/>
        <v>5260</v>
      </c>
      <c r="L218" s="466">
        <v>5600</v>
      </c>
    </row>
    <row r="219" spans="1:14" x14ac:dyDescent="0.2">
      <c r="A219" s="1504" t="s">
        <v>279</v>
      </c>
      <c r="B219" s="614">
        <v>1250</v>
      </c>
      <c r="C219" s="616"/>
      <c r="D219" s="466">
        <v>27514</v>
      </c>
      <c r="E219" s="616"/>
      <c r="F219" s="616"/>
      <c r="G219" s="616"/>
      <c r="H219" s="616"/>
      <c r="I219" s="616"/>
      <c r="J219" s="616"/>
      <c r="K219" s="1671">
        <f t="shared" si="19"/>
        <v>27514</v>
      </c>
      <c r="L219" s="466">
        <v>31925</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6793</v>
      </c>
      <c r="E222" s="616"/>
      <c r="F222" s="616"/>
      <c r="G222" s="616"/>
      <c r="H222" s="616"/>
      <c r="I222" s="616"/>
      <c r="J222" s="616"/>
      <c r="K222" s="1671">
        <f t="shared" si="19"/>
        <v>6793</v>
      </c>
      <c r="L222" s="466">
        <v>7075</v>
      </c>
    </row>
    <row r="223" spans="1:14" x14ac:dyDescent="0.2">
      <c r="A223" s="1504" t="s">
        <v>963</v>
      </c>
      <c r="B223" s="614">
        <v>1500</v>
      </c>
      <c r="C223" s="616"/>
      <c r="D223" s="466">
        <v>9544</v>
      </c>
      <c r="E223" s="616"/>
      <c r="F223" s="616"/>
      <c r="G223" s="616"/>
      <c r="H223" s="616"/>
      <c r="I223" s="616"/>
      <c r="J223" s="616"/>
      <c r="K223" s="1671">
        <f t="shared" si="19"/>
        <v>9544</v>
      </c>
      <c r="L223" s="466">
        <v>10125</v>
      </c>
    </row>
    <row r="224" spans="1:14" x14ac:dyDescent="0.2">
      <c r="A224" s="1504" t="s">
        <v>964</v>
      </c>
      <c r="B224" s="614">
        <v>1600</v>
      </c>
      <c r="C224" s="616"/>
      <c r="D224" s="466">
        <v>88</v>
      </c>
      <c r="E224" s="616"/>
      <c r="F224" s="616"/>
      <c r="G224" s="616"/>
      <c r="H224" s="616"/>
      <c r="I224" s="616"/>
      <c r="J224" s="616"/>
      <c r="K224" s="1671">
        <f t="shared" si="19"/>
        <v>88</v>
      </c>
      <c r="L224" s="466">
        <v>125</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434</v>
      </c>
      <c r="E226" s="616"/>
      <c r="F226" s="616"/>
      <c r="G226" s="616"/>
      <c r="H226" s="616"/>
      <c r="I226" s="616"/>
      <c r="J226" s="616"/>
      <c r="K226" s="1671">
        <f t="shared" si="19"/>
        <v>434</v>
      </c>
      <c r="L226" s="466">
        <v>1000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v>925</v>
      </c>
    </row>
    <row r="229" spans="1:12" ht="12.75" customHeight="1" thickBot="1" x14ac:dyDescent="0.25">
      <c r="A229" s="1668" t="s">
        <v>715</v>
      </c>
      <c r="B229" s="1675" t="s">
        <v>570</v>
      </c>
      <c r="C229" s="616"/>
      <c r="D229" s="1670">
        <f>SUM(D215:D228)</f>
        <v>255685</v>
      </c>
      <c r="E229" s="616"/>
      <c r="F229" s="616"/>
      <c r="G229" s="616"/>
      <c r="H229" s="616"/>
      <c r="I229" s="616"/>
      <c r="J229" s="616"/>
      <c r="K229" s="1670">
        <f>SUM(K215:K228)</f>
        <v>255685</v>
      </c>
      <c r="L229" s="1670">
        <f>SUM(L215:L228)</f>
        <v>286650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4396</v>
      </c>
      <c r="E232" s="616"/>
      <c r="F232" s="616"/>
      <c r="G232" s="616"/>
      <c r="H232" s="616"/>
      <c r="I232" s="616"/>
      <c r="J232" s="616"/>
      <c r="K232" s="1671">
        <f t="shared" ref="K232:K237" si="20">D232</f>
        <v>4396</v>
      </c>
      <c r="L232" s="466">
        <v>4500</v>
      </c>
    </row>
    <row r="233" spans="1:12" x14ac:dyDescent="0.2">
      <c r="A233" s="1504" t="s">
        <v>1090</v>
      </c>
      <c r="B233" s="614">
        <v>2120</v>
      </c>
      <c r="C233" s="616"/>
      <c r="D233" s="466">
        <v>2028</v>
      </c>
      <c r="E233" s="616"/>
      <c r="F233" s="616"/>
      <c r="G233" s="616"/>
      <c r="H233" s="616"/>
      <c r="I233" s="616"/>
      <c r="J233" s="616"/>
      <c r="K233" s="1671">
        <f t="shared" si="20"/>
        <v>2028</v>
      </c>
      <c r="L233" s="466">
        <v>2200</v>
      </c>
    </row>
    <row r="234" spans="1:12" x14ac:dyDescent="0.2">
      <c r="A234" s="1504" t="s">
        <v>198</v>
      </c>
      <c r="B234" s="614">
        <v>2130</v>
      </c>
      <c r="C234" s="616"/>
      <c r="D234" s="466">
        <v>10754</v>
      </c>
      <c r="E234" s="616"/>
      <c r="F234" s="616"/>
      <c r="G234" s="616"/>
      <c r="H234" s="616"/>
      <c r="I234" s="616"/>
      <c r="J234" s="616"/>
      <c r="K234" s="1671">
        <f t="shared" si="20"/>
        <v>10754</v>
      </c>
      <c r="L234" s="466">
        <v>11125</v>
      </c>
    </row>
    <row r="235" spans="1:12" x14ac:dyDescent="0.2">
      <c r="A235" s="1504" t="s">
        <v>199</v>
      </c>
      <c r="B235" s="614">
        <v>2140</v>
      </c>
      <c r="C235" s="616"/>
      <c r="D235" s="466">
        <v>1143</v>
      </c>
      <c r="E235" s="616"/>
      <c r="F235" s="616"/>
      <c r="G235" s="616"/>
      <c r="H235" s="616"/>
      <c r="I235" s="616"/>
      <c r="J235" s="616"/>
      <c r="K235" s="1671">
        <f t="shared" si="20"/>
        <v>1143</v>
      </c>
      <c r="L235" s="466">
        <v>1225</v>
      </c>
    </row>
    <row r="236" spans="1:12" x14ac:dyDescent="0.2">
      <c r="A236" s="1504" t="s">
        <v>200</v>
      </c>
      <c r="B236" s="614">
        <v>2150</v>
      </c>
      <c r="C236" s="616"/>
      <c r="D236" s="466">
        <v>3281</v>
      </c>
      <c r="E236" s="616"/>
      <c r="F236" s="616"/>
      <c r="G236" s="616"/>
      <c r="H236" s="616"/>
      <c r="I236" s="616"/>
      <c r="J236" s="616"/>
      <c r="K236" s="1671">
        <f t="shared" si="20"/>
        <v>3281</v>
      </c>
      <c r="L236" s="466">
        <v>3450</v>
      </c>
    </row>
    <row r="237" spans="1:12" x14ac:dyDescent="0.2">
      <c r="A237" s="1504" t="s">
        <v>165</v>
      </c>
      <c r="B237" s="614">
        <v>2190</v>
      </c>
      <c r="C237" s="616"/>
      <c r="D237" s="466">
        <v>1680</v>
      </c>
      <c r="E237" s="616"/>
      <c r="F237" s="616"/>
      <c r="G237" s="616"/>
      <c r="H237" s="616"/>
      <c r="I237" s="616"/>
      <c r="J237" s="616"/>
      <c r="K237" s="1671">
        <f t="shared" si="20"/>
        <v>1680</v>
      </c>
      <c r="L237" s="466">
        <v>1875</v>
      </c>
    </row>
    <row r="238" spans="1:12" ht="12.75" customHeight="1" thickBot="1" x14ac:dyDescent="0.25">
      <c r="A238" s="1668" t="s">
        <v>560</v>
      </c>
      <c r="B238" s="1675" t="s">
        <v>716</v>
      </c>
      <c r="C238" s="616"/>
      <c r="D238" s="1670">
        <f>SUM(D232:D237)</f>
        <v>23282</v>
      </c>
      <c r="E238" s="616"/>
      <c r="F238" s="616"/>
      <c r="G238" s="616"/>
      <c r="H238" s="616"/>
      <c r="I238" s="616"/>
      <c r="J238" s="616"/>
      <c r="K238" s="1670">
        <f>SUM(K232:K237)</f>
        <v>23282</v>
      </c>
      <c r="L238" s="1670">
        <f>SUM(L232:L237)</f>
        <v>24375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18941</v>
      </c>
      <c r="E240" s="616"/>
      <c r="F240" s="616"/>
      <c r="G240" s="616"/>
      <c r="H240" s="616"/>
      <c r="I240" s="616"/>
      <c r="J240" s="616"/>
      <c r="K240" s="1672">
        <f>D240</f>
        <v>18941</v>
      </c>
      <c r="L240" s="481">
        <v>20250</v>
      </c>
    </row>
    <row r="241" spans="1:12" x14ac:dyDescent="0.2">
      <c r="A241" s="1504" t="s">
        <v>815</v>
      </c>
      <c r="B241" s="614">
        <v>2220</v>
      </c>
      <c r="C241" s="616"/>
      <c r="D241" s="466">
        <v>25487</v>
      </c>
      <c r="E241" s="616"/>
      <c r="F241" s="616"/>
      <c r="G241" s="616"/>
      <c r="H241" s="616"/>
      <c r="I241" s="616"/>
      <c r="J241" s="616"/>
      <c r="K241" s="1672">
        <f>D241</f>
        <v>25487</v>
      </c>
      <c r="L241" s="466">
        <v>26175</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44428</v>
      </c>
      <c r="E243" s="616"/>
      <c r="F243" s="616"/>
      <c r="G243" s="616"/>
      <c r="H243" s="616"/>
      <c r="I243" s="616"/>
      <c r="J243" s="616"/>
      <c r="K243" s="1670">
        <f>SUM(K240:K242)</f>
        <v>44428</v>
      </c>
      <c r="L243" s="1670">
        <f>SUM(L240:L242)</f>
        <v>46425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14965</v>
      </c>
      <c r="E246" s="616"/>
      <c r="F246" s="616"/>
      <c r="G246" s="616"/>
      <c r="H246" s="616"/>
      <c r="I246" s="616"/>
      <c r="J246" s="616"/>
      <c r="K246" s="1672">
        <f t="shared" ref="K246:K256" si="21">D246</f>
        <v>14965</v>
      </c>
      <c r="L246" s="466">
        <v>15200</v>
      </c>
    </row>
    <row r="247" spans="1:12" x14ac:dyDescent="0.2">
      <c r="A247" s="1504" t="s">
        <v>819</v>
      </c>
      <c r="B247" s="614">
        <v>2330</v>
      </c>
      <c r="C247" s="616"/>
      <c r="D247" s="466">
        <v>7443</v>
      </c>
      <c r="E247" s="616"/>
      <c r="F247" s="616"/>
      <c r="G247" s="616"/>
      <c r="H247" s="616"/>
      <c r="I247" s="616"/>
      <c r="J247" s="616"/>
      <c r="K247" s="1672">
        <f t="shared" si="21"/>
        <v>7443</v>
      </c>
      <c r="L247" s="466">
        <v>7725</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21000</v>
      </c>
      <c r="E254" s="616"/>
      <c r="F254" s="616"/>
      <c r="G254" s="616"/>
      <c r="H254" s="616"/>
      <c r="I254" s="616"/>
      <c r="J254" s="616"/>
      <c r="K254" s="1672">
        <f t="shared" si="21"/>
        <v>21000</v>
      </c>
      <c r="L254" s="466">
        <v>23600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43408</v>
      </c>
      <c r="E257" s="616"/>
      <c r="F257" s="616"/>
      <c r="G257" s="616"/>
      <c r="H257" s="616"/>
      <c r="I257" s="616"/>
      <c r="J257" s="616"/>
      <c r="K257" s="1670">
        <f>SUM(K245:K256)</f>
        <v>43408</v>
      </c>
      <c r="L257" s="1670">
        <f>SUM(L245:L256)</f>
        <v>46525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53960</v>
      </c>
      <c r="E259" s="616"/>
      <c r="F259" s="616"/>
      <c r="G259" s="616"/>
      <c r="H259" s="616"/>
      <c r="I259" s="616"/>
      <c r="J259" s="616"/>
      <c r="K259" s="1672">
        <f>D259</f>
        <v>53960</v>
      </c>
      <c r="L259" s="481">
        <v>58500</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53960</v>
      </c>
      <c r="E261" s="616"/>
      <c r="F261" s="616"/>
      <c r="G261" s="616"/>
      <c r="H261" s="616"/>
      <c r="I261" s="616"/>
      <c r="J261" s="616"/>
      <c r="K261" s="1670">
        <f>SUM(K259:K260)</f>
        <v>53960</v>
      </c>
      <c r="L261" s="1670">
        <f>SUM(L259:L260)</f>
        <v>58500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30978</v>
      </c>
      <c r="E264" s="616"/>
      <c r="F264" s="616"/>
      <c r="G264" s="616"/>
      <c r="H264" s="616"/>
      <c r="I264" s="616"/>
      <c r="J264" s="616"/>
      <c r="K264" s="1672">
        <f t="shared" ref="K264:K269" si="22">D264</f>
        <v>30978</v>
      </c>
      <c r="L264" s="466">
        <v>31050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215863</v>
      </c>
      <c r="E266" s="616"/>
      <c r="F266" s="616"/>
      <c r="G266" s="616"/>
      <c r="H266" s="616"/>
      <c r="I266" s="616"/>
      <c r="J266" s="616"/>
      <c r="K266" s="1672">
        <f t="shared" si="22"/>
        <v>215863</v>
      </c>
      <c r="L266" s="466">
        <v>217850</v>
      </c>
    </row>
    <row r="267" spans="1:14" x14ac:dyDescent="0.2">
      <c r="A267" s="1504" t="s">
        <v>953</v>
      </c>
      <c r="B267" s="614">
        <v>2550</v>
      </c>
      <c r="C267" s="616"/>
      <c r="D267" s="466">
        <v>131658</v>
      </c>
      <c r="E267" s="616"/>
      <c r="F267" s="616"/>
      <c r="G267" s="616"/>
      <c r="H267" s="616"/>
      <c r="I267" s="616"/>
      <c r="J267" s="616"/>
      <c r="K267" s="1672">
        <f t="shared" si="22"/>
        <v>131658</v>
      </c>
      <c r="L267" s="466">
        <v>136000</v>
      </c>
    </row>
    <row r="268" spans="1:14" x14ac:dyDescent="0.2">
      <c r="A268" s="1504" t="s">
        <v>100</v>
      </c>
      <c r="B268" s="614">
        <v>2560</v>
      </c>
      <c r="C268" s="616"/>
      <c r="D268" s="466">
        <v>104381</v>
      </c>
      <c r="E268" s="616"/>
      <c r="F268" s="616"/>
      <c r="G268" s="616"/>
      <c r="H268" s="616"/>
      <c r="I268" s="616"/>
      <c r="J268" s="616"/>
      <c r="K268" s="1672">
        <f t="shared" si="22"/>
        <v>104381</v>
      </c>
      <c r="L268" s="466">
        <v>125600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482880</v>
      </c>
      <c r="E270" s="616"/>
      <c r="F270" s="616"/>
      <c r="G270" s="616"/>
      <c r="H270" s="616"/>
      <c r="I270" s="616"/>
      <c r="J270" s="616"/>
      <c r="K270" s="1670">
        <f>SUM(K263:K269)</f>
        <v>482880</v>
      </c>
      <c r="L270" s="1670">
        <f>SUM(L263:L269)</f>
        <v>510500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63217</v>
      </c>
      <c r="E276" s="616"/>
      <c r="F276" s="616"/>
      <c r="G276" s="616"/>
      <c r="H276" s="616"/>
      <c r="I276" s="616"/>
      <c r="J276" s="616"/>
      <c r="K276" s="1672">
        <f>D276</f>
        <v>63217</v>
      </c>
      <c r="L276" s="466">
        <v>65800</v>
      </c>
    </row>
    <row r="277" spans="1:12" ht="12.75" customHeight="1" thickBot="1" x14ac:dyDescent="0.25">
      <c r="A277" s="1691" t="s">
        <v>37</v>
      </c>
      <c r="B277" s="1669" t="s">
        <v>36</v>
      </c>
      <c r="C277" s="616"/>
      <c r="D277" s="1670">
        <f>SUM(D272:D276)</f>
        <v>63217</v>
      </c>
      <c r="E277" s="616"/>
      <c r="F277" s="616"/>
      <c r="G277" s="616"/>
      <c r="H277" s="616"/>
      <c r="I277" s="616"/>
      <c r="J277" s="616"/>
      <c r="K277" s="1670">
        <f>SUM(K272:K276)</f>
        <v>63217</v>
      </c>
      <c r="L277" s="1670">
        <f>SUM(L272:L276)</f>
        <v>65800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711175</v>
      </c>
      <c r="E279" s="616"/>
      <c r="F279" s="616"/>
      <c r="G279" s="616"/>
      <c r="H279" s="616"/>
      <c r="I279" s="616"/>
      <c r="J279" s="616"/>
      <c r="K279" s="1677">
        <f>SUM(K238,K243,K257,K261,K270,K277,K278)</f>
        <v>711175</v>
      </c>
      <c r="L279" s="1677">
        <f>SUM(L238,L243,L257,L261,L270,L277,L278)</f>
        <v>752125</v>
      </c>
    </row>
    <row r="280" spans="1:12" ht="15.75" customHeight="1" thickTop="1" thickBot="1" x14ac:dyDescent="0.25">
      <c r="A280" s="1624" t="s">
        <v>875</v>
      </c>
      <c r="B280" s="1613">
        <v>3000</v>
      </c>
      <c r="C280" s="616"/>
      <c r="D280" s="576">
        <v>6296</v>
      </c>
      <c r="E280" s="616"/>
      <c r="F280" s="616"/>
      <c r="G280" s="616"/>
      <c r="H280" s="616"/>
      <c r="I280" s="616"/>
      <c r="J280" s="616"/>
      <c r="K280" s="1679">
        <f>D280</f>
        <v>6296</v>
      </c>
      <c r="L280" s="576">
        <v>6625</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0" t="s">
        <v>505</v>
      </c>
      <c r="B295" s="2171"/>
      <c r="C295" s="616"/>
      <c r="D295" s="1670">
        <f>SUM(D229,D279,D280,D285)</f>
        <v>973156</v>
      </c>
      <c r="E295" s="616"/>
      <c r="F295" s="616"/>
      <c r="G295" s="616"/>
      <c r="H295" s="1670">
        <f>H293</f>
        <v>0</v>
      </c>
      <c r="I295" s="616"/>
      <c r="J295" s="616"/>
      <c r="K295" s="1670">
        <f>SUM(K229,K279,K280,K285,K293,K294)</f>
        <v>973156</v>
      </c>
      <c r="L295" s="1670">
        <f>SUM(L229,L279,L280,L285,L293,L294)</f>
        <v>1045400</v>
      </c>
    </row>
    <row r="296" spans="1:14" ht="13.5" thickTop="1" x14ac:dyDescent="0.2">
      <c r="A296" s="2179" t="s">
        <v>996</v>
      </c>
      <c r="B296" s="2180"/>
      <c r="C296" s="616"/>
      <c r="D296" s="618"/>
      <c r="E296" s="616"/>
      <c r="F296" s="616"/>
      <c r="G296" s="616"/>
      <c r="H296" s="687"/>
      <c r="I296" s="616"/>
      <c r="J296" s="616"/>
      <c r="K296" s="1684">
        <f>'Revenues 9-14'!G268-'Expenditures 15-22'!K295</f>
        <v>109980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2" t="s">
        <v>143</v>
      </c>
      <c r="B298" s="215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14945</v>
      </c>
      <c r="F301" s="466"/>
      <c r="G301" s="466">
        <v>140995</v>
      </c>
      <c r="H301" s="466"/>
      <c r="I301" s="467"/>
      <c r="J301" s="467"/>
      <c r="K301" s="1671">
        <f>SUM(C301:J301)</f>
        <v>155940</v>
      </c>
      <c r="L301" s="467">
        <v>240300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14945</v>
      </c>
      <c r="F303" s="1677">
        <f t="shared" si="23"/>
        <v>0</v>
      </c>
      <c r="G303" s="1677">
        <f t="shared" si="23"/>
        <v>140995</v>
      </c>
      <c r="H303" s="1677">
        <f t="shared" si="23"/>
        <v>0</v>
      </c>
      <c r="I303" s="1677">
        <f t="shared" si="23"/>
        <v>0</v>
      </c>
      <c r="J303" s="1677">
        <f t="shared" si="23"/>
        <v>0</v>
      </c>
      <c r="K303" s="1677">
        <f t="shared" si="23"/>
        <v>155940</v>
      </c>
      <c r="L303" s="1677">
        <f t="shared" si="23"/>
        <v>240300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7" t="s">
        <v>277</v>
      </c>
      <c r="B312" s="2168"/>
      <c r="C312" s="1670">
        <f>SUM(C303)</f>
        <v>0</v>
      </c>
      <c r="D312" s="1670">
        <f>SUM(D303)</f>
        <v>0</v>
      </c>
      <c r="E312" s="1670">
        <f>SUM(E303,E310)</f>
        <v>14945</v>
      </c>
      <c r="F312" s="1670">
        <f>SUM(F303)</f>
        <v>0</v>
      </c>
      <c r="G312" s="1670">
        <f>SUM(G303)</f>
        <v>140995</v>
      </c>
      <c r="H312" s="1670">
        <f>SUM(H303,H310)</f>
        <v>0</v>
      </c>
      <c r="I312" s="1670">
        <f>SUM(I303)</f>
        <v>0</v>
      </c>
      <c r="J312" s="1670">
        <f>SUM(J303)</f>
        <v>0</v>
      </c>
      <c r="K312" s="1670">
        <f>SUM(K303,K310,K311)</f>
        <v>155940</v>
      </c>
      <c r="L312" s="1670">
        <f>SUM(L303,L310,L311)</f>
        <v>240300</v>
      </c>
      <c r="M312" s="665"/>
      <c r="N312" s="665"/>
    </row>
    <row r="313" spans="1:14" ht="13.5" thickTop="1" x14ac:dyDescent="0.2">
      <c r="A313" s="2163" t="s">
        <v>996</v>
      </c>
      <c r="B313" s="2164"/>
      <c r="C313" s="626"/>
      <c r="D313" s="626"/>
      <c r="E313" s="626"/>
      <c r="F313" s="626"/>
      <c r="G313" s="626"/>
      <c r="H313" s="626"/>
      <c r="I313" s="626"/>
      <c r="J313" s="626"/>
      <c r="K313" s="1685">
        <f>'Revenues 9-14'!H268-'Expenditures 15-22'!K312</f>
        <v>-143934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6" t="s">
        <v>149</v>
      </c>
      <c r="B315" s="217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8" t="s">
        <v>898</v>
      </c>
      <c r="B317" s="217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v>211352</v>
      </c>
      <c r="F320" s="467"/>
      <c r="G320" s="467"/>
      <c r="H320" s="467"/>
      <c r="I320" s="467"/>
      <c r="J320" s="467"/>
      <c r="K320" s="1671">
        <f t="shared" ref="K320:K327" si="24">SUM(C320:J320)</f>
        <v>211352</v>
      </c>
      <c r="L320" s="467">
        <v>211375</v>
      </c>
      <c r="M320" s="665"/>
      <c r="N320" s="665"/>
    </row>
    <row r="321" spans="1:14" s="674" customFormat="1" x14ac:dyDescent="0.2">
      <c r="A321" s="1519" t="s">
        <v>300</v>
      </c>
      <c r="B321" s="697" t="s">
        <v>283</v>
      </c>
      <c r="C321" s="467"/>
      <c r="D321" s="467"/>
      <c r="E321" s="467">
        <v>3536</v>
      </c>
      <c r="F321" s="467"/>
      <c r="G321" s="467"/>
      <c r="H321" s="467"/>
      <c r="I321" s="467"/>
      <c r="J321" s="467"/>
      <c r="K321" s="1671">
        <f t="shared" si="24"/>
        <v>3536</v>
      </c>
      <c r="L321" s="467">
        <v>25000</v>
      </c>
      <c r="M321" s="665"/>
      <c r="N321" s="665"/>
    </row>
    <row r="322" spans="1:14" s="674" customFormat="1" x14ac:dyDescent="0.2">
      <c r="A322" s="1519" t="s">
        <v>238</v>
      </c>
      <c r="B322" s="697" t="s">
        <v>284</v>
      </c>
      <c r="C322" s="467"/>
      <c r="D322" s="467"/>
      <c r="E322" s="467">
        <v>67567</v>
      </c>
      <c r="F322" s="467"/>
      <c r="G322" s="467"/>
      <c r="H322" s="467"/>
      <c r="I322" s="467"/>
      <c r="J322" s="467"/>
      <c r="K322" s="1671">
        <f t="shared" si="24"/>
        <v>67567</v>
      </c>
      <c r="L322" s="467">
        <v>67775</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84400</v>
      </c>
      <c r="D325" s="467">
        <v>6368</v>
      </c>
      <c r="E325" s="467">
        <v>50760</v>
      </c>
      <c r="F325" s="467">
        <v>918</v>
      </c>
      <c r="G325" s="467">
        <v>810</v>
      </c>
      <c r="H325" s="467"/>
      <c r="I325" s="467"/>
      <c r="J325" s="467"/>
      <c r="K325" s="1671">
        <f t="shared" si="24"/>
        <v>143256</v>
      </c>
      <c r="L325" s="467">
        <v>186325</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47700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84400</v>
      </c>
      <c r="D330" s="1670">
        <f t="shared" ref="D330:J330" si="25">SUM(D319:D329)</f>
        <v>6368</v>
      </c>
      <c r="E330" s="1670">
        <f t="shared" si="25"/>
        <v>333215</v>
      </c>
      <c r="F330" s="1670">
        <f t="shared" si="25"/>
        <v>918</v>
      </c>
      <c r="G330" s="1670">
        <f t="shared" si="25"/>
        <v>810</v>
      </c>
      <c r="H330" s="1670">
        <f t="shared" si="25"/>
        <v>0</v>
      </c>
      <c r="I330" s="1670">
        <f t="shared" si="25"/>
        <v>0</v>
      </c>
      <c r="J330" s="1670">
        <f t="shared" si="25"/>
        <v>0</v>
      </c>
      <c r="K330" s="1670">
        <f>SUM(K319:K329)</f>
        <v>425711</v>
      </c>
      <c r="L330" s="1670">
        <f>SUM(L319:L329)</f>
        <v>538175</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84400</v>
      </c>
      <c r="D342" s="1670">
        <f>SUM(D330)</f>
        <v>6368</v>
      </c>
      <c r="E342" s="1670">
        <f>SUM(E330)</f>
        <v>333215</v>
      </c>
      <c r="F342" s="1670">
        <f>SUM(F330)</f>
        <v>918</v>
      </c>
      <c r="G342" s="1670">
        <f>SUM(G330)</f>
        <v>810</v>
      </c>
      <c r="H342" s="1670">
        <f>SUM(H330,H334,H340)</f>
        <v>0</v>
      </c>
      <c r="I342" s="1670">
        <f>SUM(I330)</f>
        <v>0</v>
      </c>
      <c r="J342" s="1670">
        <f>SUM(J330)</f>
        <v>0</v>
      </c>
      <c r="K342" s="1670">
        <f>SUM(K330,K334,K340)</f>
        <v>425711</v>
      </c>
      <c r="L342" s="1677">
        <f>SUM(L330,L340,L341)</f>
        <v>538175</v>
      </c>
    </row>
    <row r="343" spans="1:14" ht="12.75" customHeight="1" thickTop="1" x14ac:dyDescent="0.2">
      <c r="A343" s="2165" t="s">
        <v>996</v>
      </c>
      <c r="B343" s="2166"/>
      <c r="C343" s="616"/>
      <c r="D343" s="616"/>
      <c r="E343" s="616"/>
      <c r="F343" s="616"/>
      <c r="G343" s="616"/>
      <c r="H343" s="616"/>
      <c r="I343" s="616"/>
      <c r="J343" s="616"/>
      <c r="K343" s="1684">
        <f>'Revenues 9-14'!J268-'Expenditures 15-22'!K342</f>
        <v>147651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5" t="s">
        <v>966</v>
      </c>
      <c r="B345" s="215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10203</v>
      </c>
      <c r="F348" s="466"/>
      <c r="G348" s="466">
        <v>200570</v>
      </c>
      <c r="H348" s="466"/>
      <c r="I348" s="467"/>
      <c r="J348" s="467"/>
      <c r="K348" s="1671">
        <f>SUM(C348:J348)</f>
        <v>210773</v>
      </c>
      <c r="L348" s="466">
        <v>359500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10203</v>
      </c>
      <c r="F350" s="1670">
        <f t="shared" si="26"/>
        <v>0</v>
      </c>
      <c r="G350" s="1670">
        <f t="shared" si="26"/>
        <v>200570</v>
      </c>
      <c r="H350" s="1670">
        <f t="shared" si="26"/>
        <v>0</v>
      </c>
      <c r="I350" s="1670">
        <f t="shared" si="26"/>
        <v>0</v>
      </c>
      <c r="J350" s="1670">
        <f t="shared" si="26"/>
        <v>0</v>
      </c>
      <c r="K350" s="1670">
        <f t="shared" si="26"/>
        <v>210773</v>
      </c>
      <c r="L350" s="1670">
        <f t="shared" si="26"/>
        <v>359500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10203</v>
      </c>
      <c r="F352" s="1670">
        <f t="shared" si="27"/>
        <v>0</v>
      </c>
      <c r="G352" s="1670">
        <f t="shared" si="27"/>
        <v>200570</v>
      </c>
      <c r="H352" s="1670">
        <f t="shared" si="27"/>
        <v>0</v>
      </c>
      <c r="I352" s="1670">
        <f t="shared" si="27"/>
        <v>0</v>
      </c>
      <c r="J352" s="1670">
        <f t="shared" si="27"/>
        <v>0</v>
      </c>
      <c r="K352" s="1670">
        <f t="shared" si="27"/>
        <v>210773</v>
      </c>
      <c r="L352" s="1670">
        <f t="shared" si="27"/>
        <v>359500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10203</v>
      </c>
      <c r="F367" s="1670">
        <f t="shared" si="28"/>
        <v>0</v>
      </c>
      <c r="G367" s="1670">
        <f t="shared" si="28"/>
        <v>200570</v>
      </c>
      <c r="H367" s="1670">
        <f t="shared" si="28"/>
        <v>0</v>
      </c>
      <c r="I367" s="1670">
        <f t="shared" si="28"/>
        <v>0</v>
      </c>
      <c r="J367" s="1670">
        <f t="shared" si="28"/>
        <v>0</v>
      </c>
      <c r="K367" s="1670">
        <f t="shared" si="28"/>
        <v>210773</v>
      </c>
      <c r="L367" s="1670">
        <f t="shared" si="28"/>
        <v>359500</v>
      </c>
    </row>
    <row r="368" spans="1:14" ht="13.5" thickTop="1" x14ac:dyDescent="0.2">
      <c r="A368" s="2179" t="s">
        <v>996</v>
      </c>
      <c r="B368" s="2180"/>
      <c r="C368" s="654"/>
      <c r="D368" s="654"/>
      <c r="E368" s="626"/>
      <c r="F368" s="626"/>
      <c r="G368" s="626"/>
      <c r="H368" s="626"/>
      <c r="I368" s="626"/>
      <c r="J368" s="623"/>
      <c r="K368" s="1671">
        <f>'Revenues 9-14'!K268-'Expenditures 15-22'!K367</f>
        <v>35499</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orizontalCentered="1" gridLinesSet="0"/>
  <pageMargins left="0.75" right="0.75" top="1.1000000000000001" bottom="0.5" header="0.5" footer="0.5"/>
  <pageSetup scale="60" firstPageNumber="20" fitToHeight="0" orientation="landscape" useFirstPageNumber="1" r:id="rId1"/>
  <headerFooter>
    <oddHeader>&amp;C&amp;"Times New Roman,Regular"ROXANA COMMUNITY UNIT SCHOOL DISTRICT NO. 1
STATEMENT OF DISBURSEMENTS - CASH - REGULATORY BASIS
(ACTUAL AND BUDGET)
ALL FUNDS
FOR THE YEAR ENDED JUNE 30, 2019</oddHeader>
    <oddFooter>&amp;C&amp;"Times New Roman,Regular"See Notes to Financial Statements and Independent Auditor's Reports
&amp;P</oddFooter>
  </headerFooter>
  <rowBreaks count="6" manualBreakCount="6">
    <brk id="53" max="16383" man="1"/>
    <brk id="107" max="16383" man="1"/>
    <brk id="160" max="16383" man="1"/>
    <brk id="206" max="16383" man="1"/>
    <brk id="261" max="16383" man="1"/>
    <brk id="31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purl.org/dc/dcmitype/"/>
    <ds:schemaRef ds:uri="http://purl.org/dc/terms/"/>
    <ds:schemaRef ds:uri="d21dc803-237d-4c68-8692-8d731fd29118"/>
    <ds:schemaRef ds:uri="http://schemas.microsoft.com/office/2006/documentManagement/types"/>
    <ds:schemaRef ds:uri="http://www.w3.org/XML/1998/namespace"/>
    <ds:schemaRef ds:uri="http://schemas.microsoft.com/sharepoint/v3"/>
    <ds:schemaRef ds:uri="http://schemas.microsoft.com/office/infopath/2007/PartnerControls"/>
    <ds:schemaRef ds:uri="http://schemas.microsoft.com/office/2006/metadata/properties"/>
    <ds:schemaRef ds:uri="http://schemas.openxmlformats.org/package/2006/metadata/core-properties"/>
    <ds:schemaRef ds:uri="4d435f69-8686-490b-bd6d-b153bf22ab50"/>
    <ds:schemaRef ds:uri="6ce3111e-7420-4802-b50a-75d4e9a0b980"/>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24</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'Aud Quest 2'!Print_Area</vt:lpstr>
      <vt:lpstr>'Itemization 33'!Print_Area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TOC!Print_Area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2019-10-04T14:37:08Z</cp:lastPrinted>
  <dcterms:created xsi:type="dcterms:W3CDTF">2003-10-29T19:06:34Z</dcterms:created>
  <dcterms:modified xsi:type="dcterms:W3CDTF">2019-11-20T18:07:25Z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