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A7D4BE4-41A2-41EA-BF3E-A6101DD763DC}"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20" i="29" l="1"/>
  <c r="D215" i="29"/>
  <c r="C182" i="29"/>
  <c r="C5" i="29"/>
  <c r="F320" i="29" l="1"/>
  <c r="E320" i="29"/>
  <c r="D320" i="29"/>
  <c r="D268" i="29"/>
  <c r="D267" i="29"/>
  <c r="D266" i="29"/>
  <c r="D264" i="29"/>
  <c r="D259" i="29"/>
  <c r="D249" i="29"/>
  <c r="D246" i="29"/>
  <c r="D241" i="29"/>
  <c r="D236" i="29"/>
  <c r="D234" i="29"/>
  <c r="D223" i="29"/>
  <c r="D219" i="29"/>
  <c r="D217" i="29"/>
  <c r="D216" i="29"/>
  <c r="E189" i="29"/>
  <c r="E185" i="29"/>
  <c r="G182" i="29"/>
  <c r="F182" i="29"/>
  <c r="E182" i="29"/>
  <c r="D182" i="29"/>
  <c r="F124" i="29"/>
  <c r="E124" i="29"/>
  <c r="C124" i="29"/>
  <c r="D124" i="29"/>
  <c r="E123" i="29"/>
  <c r="E44" i="29"/>
  <c r="E79" i="29"/>
  <c r="E78" i="29"/>
  <c r="F75" i="29"/>
  <c r="E75" i="29"/>
  <c r="G63" i="29"/>
  <c r="F63" i="29"/>
  <c r="E63" i="29"/>
  <c r="D63" i="29"/>
  <c r="C63" i="29"/>
  <c r="E62" i="29"/>
  <c r="F61" i="29"/>
  <c r="E61" i="29"/>
  <c r="D61" i="29"/>
  <c r="C61" i="29"/>
  <c r="F60" i="29"/>
  <c r="E60" i="29"/>
  <c r="D60" i="29"/>
  <c r="C60" i="29"/>
  <c r="F55" i="29"/>
  <c r="E55" i="29"/>
  <c r="D55" i="29"/>
  <c r="C55" i="29"/>
  <c r="H50" i="29"/>
  <c r="F50" i="29"/>
  <c r="E50" i="29"/>
  <c r="D50" i="29"/>
  <c r="C50" i="29"/>
  <c r="H49" i="29"/>
  <c r="F49" i="29"/>
  <c r="E49" i="29"/>
  <c r="F46" i="29"/>
  <c r="F45" i="29"/>
  <c r="E45" i="29"/>
  <c r="H45" i="29"/>
  <c r="D45" i="29"/>
  <c r="C45" i="29"/>
  <c r="G44" i="29"/>
  <c r="F44" i="29"/>
  <c r="F40" i="29"/>
  <c r="D40" i="29"/>
  <c r="C40" i="29"/>
  <c r="F38" i="29"/>
  <c r="D38" i="29"/>
  <c r="C38" i="29"/>
  <c r="E37" i="29"/>
  <c r="H14" i="29"/>
  <c r="G14" i="29"/>
  <c r="F14" i="29"/>
  <c r="E14" i="29"/>
  <c r="D14" i="29"/>
  <c r="C14" i="29"/>
  <c r="F13" i="29"/>
  <c r="F10" i="29"/>
  <c r="D10" i="29"/>
  <c r="C10" i="29"/>
  <c r="D8" i="29"/>
  <c r="C8" i="29"/>
  <c r="F8" i="29" l="1"/>
  <c r="H5" i="29"/>
  <c r="F5" i="29"/>
  <c r="E5" i="29"/>
  <c r="D5" i="29"/>
  <c r="F7" i="29"/>
  <c r="D7" i="29"/>
  <c r="C7" i="29"/>
  <c r="G5"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L13" i="11" l="1"/>
  <c r="B2060" i="106" s="1"/>
  <c r="D2060" i="106" s="1"/>
  <c r="F19" i="7"/>
  <c r="B1807" i="106" s="1"/>
  <c r="D1807" i="106" s="1"/>
  <c r="B3647" i="106"/>
  <c r="D3647" i="106" s="1"/>
  <c r="G210" i="29"/>
  <c r="F34" i="34"/>
  <c r="J129" i="29"/>
  <c r="B7038" i="106" s="1"/>
  <c r="D7038" i="106" s="1"/>
  <c r="I129" i="29"/>
  <c r="B7037" i="106" s="1"/>
  <c r="D7037" i="106" s="1"/>
  <c r="J77" i="4"/>
  <c r="B6262" i="106" s="1"/>
  <c r="D6262" i="106" s="1"/>
  <c r="K184" i="29"/>
  <c r="F13" i="4" s="1"/>
  <c r="B2596" i="106" s="1"/>
  <c r="D2596" i="106" s="1"/>
  <c r="F36" i="34"/>
  <c r="L5" i="11"/>
  <c r="B2056" i="106" s="1"/>
  <c r="D2056" i="106" s="1"/>
  <c r="E29" i="108"/>
  <c r="C129" i="29"/>
  <c r="B1225" i="106" s="1"/>
  <c r="D1225"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L114" i="29" s="1"/>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6" i="11" l="1"/>
  <c r="B2061" i="106" s="1"/>
  <c r="D2061" i="106" s="1"/>
  <c r="B1365" i="106"/>
  <c r="D1365" i="106" s="1"/>
  <c r="F65" i="34"/>
  <c r="B1381" i="106"/>
  <c r="D1381" i="106" s="1"/>
  <c r="N23" i="3"/>
  <c r="B284" i="106" s="1"/>
  <c r="D284" i="106" s="1"/>
  <c r="C151" i="29"/>
  <c r="B1226" i="106" s="1"/>
  <c r="D1226" i="106" s="1"/>
  <c r="I151" i="29"/>
  <c r="F59" i="34" s="1"/>
  <c r="C114" i="29"/>
  <c r="B757" i="106" s="1"/>
  <c r="D757" i="106" s="1"/>
  <c r="B1328" i="106"/>
  <c r="D1328"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10" i="4"/>
  <c r="B6225" i="106" s="1"/>
  <c r="D6225" i="106" s="1"/>
  <c r="J20" i="4"/>
  <c r="B6230" i="106" s="1"/>
  <c r="D6230"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F10" i="4" l="1"/>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D10" i="146"/>
  <c r="F8"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<sst xmlns="http://schemas.openxmlformats.org/spreadsheetml/2006/main" count="5069" uniqueCount="2100">
  <si>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</si>
  <si>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</si>
  <si>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</si>
  <si>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</si>
  <si>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</si>
  <si>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</si>
  <si>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</si>
  <si>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</si>
  <si>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</si>
  <si>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</si>
  <si>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</si>
  <si>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</si>
  <si>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</si>
  <si>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</si>
  <si>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</si>
  <si>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</si>
  <si>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</si>
  <si>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</si>
  <si>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</si>
  <si>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</si>
  <si>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</si>
  <si>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</si>
  <si>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</si>
  <si>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</si>
  <si>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</si>
  <si>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</si>
  <si>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</si>
  <si>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</si>
  <si>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</si>
  <si>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</si>
  <si>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</si>
  <si>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</si>
  <si>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</si>
  <si>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</si>
  <si>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</si>
  <si>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</si>
  <si>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</si>
  <si>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</si>
  <si>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</si>
  <si>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</si>
  <si>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</si>
  <si>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</si>
  <si>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</si>
  <si>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</si>
  <si>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</si>
  <si>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</si>
  <si>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</si>
  <si>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</si>
  <si>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</si>
  <si>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</si>
  <si>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</si>
  <si>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</si>
  <si>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</si>
  <si>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</si>
  <si>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</si>
  <si>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</si>
  <si>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</si>
  <si>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</si>
  <si>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</si>
  <si>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</si>
  <si>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</si>
  <si>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</si>
  <si>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</si>
  <si>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</si>
  <si>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</si>
  <si>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</si>
  <si>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</si>
  <si>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</si>
  <si>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</si>
  <si>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</si>
  <si>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</si>
  <si>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</si>
  <si>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</si>
  <si>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</si>
  <si>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</si>
  <si>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</si>
  <si>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</si>
  <si>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</si>
  <si>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</si>
  <si>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</si>
  <si>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</si>
  <si>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</si>
  <si>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</si>
  <si>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</si>
  <si>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</si>
  <si>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</si>
  <si>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</si>
  <si>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</si>
  <si>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</si>
  <si>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</si>
  <si>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</si>
  <si>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</si>
  <si>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</si>
  <si>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</si>
  <si>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</si>
  <si>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</si>
  <si>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</si>
  <si>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</si>
  <si>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</si>
  <si>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</si>
  <si>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</si>
  <si>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</si>
  <si>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</si>
  <si>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</si>
  <si>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</si>
  <si>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</si>
  <si>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</si>
  <si>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</si>
  <si>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</si>
  <si>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</si>
  <si>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</si>
  <si>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</si>
  <si>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</si>
  <si>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</si>
  <si>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</si>
  <si>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</si>
  <si>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</si>
  <si>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</si>
  <si>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</si>
  <si>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</si>
  <si>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</si>
  <si>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</si>
  <si>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</si>
  <si>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</si>
  <si>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</si>
  <si>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</si>
  <si>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</si>
  <si>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</si>
  <si>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</si>
  <si>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</si>
  <si>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</si>
  <si>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</si>
  <si>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</si>
  <si>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</si>
  <si>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</si>
  <si>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</si>
  <si>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</si>
  <si>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</si>
  <si>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</si>
  <si>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</si>
  <si>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</si>
  <si>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</si>
  <si>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</si>
  <si>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</si>
  <si>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</si>
  <si>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</si>
  <si>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</si>
  <si>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</si>
  <si>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</si>
  <si>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</si>
  <si>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</si>
  <si>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</si>
  <si>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</si>
  <si>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</si>
  <si>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</si>
  <si>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</si>
  <si>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</si>
  <si>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</si>
  <si>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</si>
  <si>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</si>
  <si>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</si>
  <si>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</si>
  <si>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</si>
  <si>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</si>
  <si>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</si>
  <si>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</si>
  <si>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</si>
  <si>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</si>
  <si>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</si>
  <si>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</si>
  <si>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</si>
  <si>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</si>
  <si>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</si>
  <si>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</si>
  <si>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</si>
  <si>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</si>
  <si>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</si>
  <si>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</si>
  <si>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</si>
  <si>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</si>
  <si>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</si>
  <si>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</si>
  <si>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</si>
  <si>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</si>
  <si>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</si>
  <si>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</si>
  <si>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</si>
  <si>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</si>
  <si>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</si>
  <si>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</si>
  <si>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</si>
  <si>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</si>
  <si>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</si>
  <si>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</si>
  <si>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</si>
  <si>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</si>
  <si>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</si>
  <si>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</si>
  <si>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</si>
  <si>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</si>
  <si>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</si>
  <si>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</si>
  <si>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</si>
  <si>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</si>
  <si>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</si>
  <si>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</si>
  <si>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</si>
  <si>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</si>
  <si>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</si>
  <si>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</si>
  <si>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</si>
  <si>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</si>
  <si>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</si>
  <si>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</si>
  <si>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</si>
  <si>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</si>
  <si>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</si>
  <si>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</si>
  <si>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</si>
  <si>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</si>
  <si>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</si>
  <si>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</si>
  <si>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</si>
  <si>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</si>
  <si>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</si>
  <si>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</si>
  <si>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</si>
  <si>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</si>
  <si>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</si>
  <si>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</si>
  <si>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</si>
  <si>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</si>
  <si>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</si>
  <si>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</si>
  <si>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</si>
  <si>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</si>
  <si>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</si>
  <si>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</si>
  <si>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</si>
  <si>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</si>
  <si>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</si>
  <si>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</si>
  <si>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</si>
  <si>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</si>
  <si>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</si>
  <si>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</si>
  <si>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</si>
  <si>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</si>
  <si>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</si>
  <si>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</si>
  <si>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</si>
  <si>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</si>
  <si>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</si>
  <si>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</si>
  <si>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</si>
  <si>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</si>
  <si>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</si>
  <si>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</si>
  <si>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</si>
  <si>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</si>
  <si>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</si>
  <si>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</si>
  <si>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</si>
  <si>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</si>
  <si>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</si>
  <si>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</si>
  <si>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</si>
  <si>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</si>
  <si>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</si>
  <si>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</si>
  <si>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</si>
  <si>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</si>
  <si>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</si>
  <si>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</si>
  <si>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</si>
  <si>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</si>
  <si>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</si>
  <si>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</si>
  <si>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</si>
  <si>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</si>
  <si>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</si>
  <si>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</si>
  <si>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</si>
  <si>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</si>
  <si>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</si>
  <si>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</si>
  <si>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</si>
  <si>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</si>
  <si>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</si>
  <si>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</si>
  <si>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</si>
  <si>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</si>
  <si>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</si>
  <si>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</si>
  <si>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</si>
  <si>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</si>
  <si>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</si>
  <si>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</si>
  <si>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</si>
  <si>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</si>
  <si>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</si>
  <si>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</si>
  <si>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</si>
  <si>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</si>
  <si>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</si>
  <si>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</si>
  <si>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</si>
  <si>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</si>
  <si>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</si>
  <si>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</si>
  <si>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</si>
  <si>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</si>
  <si>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</si>
  <si>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</si>
  <si>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</si>
  <si>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</si>
  <si>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</si>
  <si>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</si>
  <si>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</si>
  <si>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</si>
  <si>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</si>
  <si>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</si>
  <si>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</si>
  <si>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</si>
  <si>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</si>
  <si>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</si>
  <si>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</si>
  <si>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</si>
  <si>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</si>
  <si>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</si>
  <si>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</si>
  <si>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</si>
  <si>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</si>
  <si>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</si>
  <si>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</si>
  <si>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</si>
  <si>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</si>
  <si>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</si>
  <si>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</si>
  <si>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</si>
  <si>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</si>
  <si>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</si>
  <si>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</si>
  <si>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</si>
  <si>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</si>
  <si>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</si>
  <si>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</si>
  <si>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</si>
  <si>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</si>
  <si>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</si>
  <si>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</si>
  <si>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</si>
  <si>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</si>
  <si>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</si>
  <si>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</si>
  <si>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</si>
  <si>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</si>
  <si>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</si>
  <si>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</si>
  <si>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</si>
  <si>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</si>
  <si>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</si>
  <si>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</si>
  <si>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</si>
  <si>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</si>
  <si>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</si>
  <si>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</si>
  <si>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</si>
  <si>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</si>
  <si>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</si>
  <si>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</si>
  <si>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</si>
  <si>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</si>
  <si>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</si>
  <si>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</si>
  <si>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</si>
  <si>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</si>
  <si>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</si>
  <si>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</si>
  <si>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</si>
  <si>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</si>
  <si>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</si>
  <si>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</si>
  <si>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</si>
  <si>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</si>
  <si>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</si>
  <si>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</si>
  <si>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</si>
  <si>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</si>
  <si>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</si>
  <si>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</si>
  <si>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</si>
  <si>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</si>
  <si>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</si>
  <si>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</si>
  <si>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</si>
  <si>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</si>
  <si>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</si>
  <si>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</si>
  <si>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</si>
  <si>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</si>
  <si>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</si>
  <si>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</si>
  <si>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</si>
  <si>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</si>
  <si>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</si>
  <si>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</si>
  <si>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</si>
  <si>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</si>
  <si>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</si>
  <si>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</si>
  <si>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</si>
  <si>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</si>
  <si>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</si>
  <si>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</si>
  <si>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</si>
  <si>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</si>
  <si>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</si>
  <si>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</si>
  <si>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</si>
  <si>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</si>
  <si>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</si>
  <si>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</si>
  <si>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</si>
  <si>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</si>
  <si>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</si>
  <si>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</si>
  <si>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</si>
  <si>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</si>
  <si>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</si>
  <si>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</si>
  <si>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</si>
  <si>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</si>
  <si>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</si>
  <si>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</si>
  <si>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</si>
  <si>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</si>
  <si>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</si>
  <si>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</si>
  <si>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</si>
  <si>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</si>
  <si>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</si>
  <si>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</si>
  <si>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</si>
  <si>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</si>
  <si>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</si>
  <si>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</si>
  <si>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</si>
  <si>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</si>
  <si>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</si>
  <si>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</si>
  <si>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</si>
  <si>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</si>
  <si>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</si>
  <si>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</si>
  <si>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</si>
  <si>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</si>
  <si>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</si>
  <si>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</si>
  <si>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</si>
  <si>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</si>
  <si>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</si>
  <si>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</si>
  <si>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</si>
  <si>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</si>
  <si>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</si>
  <si>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</si>
  <si>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</si>
  <si>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</si>
  <si>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</si>
  <si>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</si>
  <si>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</si>
  <si>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</si>
  <si>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</si>
  <si>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</si>
  <si>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</si>
  <si>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</si>
  <si>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</si>
  <si>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</si>
  <si>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</si>
  <si>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</si>
  <si>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</si>
  <si>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</si>
  <si>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</si>
  <si>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</si>
  <si>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</si>
  <si>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</si>
  <si>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</si>
  <si>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</si>
  <si>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</si>
  <si>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</si>
  <si>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</si>
  <si>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</si>
  <si>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</si>
  <si>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</si>
  <si>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</si>
  <si>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</si>
  <si>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</si>
  <si>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</si>
  <si>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</si>
  <si>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</si>
  <si>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</si>
  <si>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</si>
  <si>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</si>
  <si>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</si>
  <si>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</si>
  <si>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</si>
  <si>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</si>
  <si>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</si>
  <si>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</si>
  <si>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</si>
  <si>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</si>
  <si>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</si>
  <si>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</si>
  <si>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</si>
  <si>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</si>
  <si>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</si>
  <si>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</si>
  <si>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</si>
  <si>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</si>
  <si>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</si>
  <si>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</si>
  <si>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</si>
  <si>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</si>
  <si>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</si>
  <si>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</si>
  <si>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</si>
  <si>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</si>
  <si>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</si>
  <si>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</si>
  <si>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</si>
  <si>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</si>
  <si>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</si>
  <si>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</si>
  <si>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</si>
  <si>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</si>
  <si>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</si>
  <si>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</si>
  <si>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</si>
  <si>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</si>
  <si>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</si>
  <si>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</si>
  <si>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</si>
  <si>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</si>
  <si>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</si>
  <si>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</si>
  <si>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</si>
  <si>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</si>
  <si>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</si>
  <si>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</si>
  <si>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</si>
  <si>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</si>
  <si>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</si>
  <si>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</si>
  <si>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</si>
  <si>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</si>
  <si>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</si>
  <si>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</si>
  <si>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</si>
  <si>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</si>
  <si>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</si>
  <si>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</si>
  <si>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</si>
  <si>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</si>
  <si>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</si>
  <si>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</si>
  <si>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</si>
  <si>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</si>
  <si>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</si>
  <si>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</si>
  <si>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</si>
  <si>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</si>
  <si>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</si>
  <si>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</si>
  <si>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</si>
  <si>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</si>
  <si>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</si>
  <si>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</si>
  <si>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</si>
  <si>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</si>
  <si>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</si>
  <si>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</si>
  <si>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</si>
  <si>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</si>
  <si>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</si>
  <si>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</si>
  <si>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</si>
  <si>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</si>
  <si>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</si>
  <si>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</si>
  <si>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</si>
  <si>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</si>
  <si>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</si>
  <si>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</si>
  <si>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</si>
  <si>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</si>
  <si>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</si>
  <si>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</si>
  <si>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</si>
  <si>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</si>
  <si>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</si>
  <si>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</si>
  <si>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</si>
  <si>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</si>
  <si>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</si>
  <si>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</si>
  <si>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</si>
  <si>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</si>
  <si>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</si>
  <si>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</si>
  <si>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</si>
  <si>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</si>
  <si>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</si>
  <si>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</si>
  <si>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</si>
  <si>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</si>
  <si>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</si>
  <si>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</si>
  <si>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</si>
  <si>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</si>
  <si>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</si>
  <si>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</si>
  <si>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</si>
  <si>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</si>
  <si>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</si>
  <si>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</si>
  <si>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</si>
  <si>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</si>
  <si>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</si>
  <si>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</si>
  <si>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</si>
  <si>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</si>
  <si>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</si>
  <si>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</si>
  <si>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</si>
  <si>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</si>
  <si>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</si>
  <si>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</si>
  <si>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</si>
  <si>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</si>
  <si>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</si>
  <si>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</si>
  <si>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</si>
  <si>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</si>
  <si>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</si>
  <si>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</si>
  <si>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</si>
  <si>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</si>
  <si>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</si>
  <si>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</si>
  <si>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</si>
  <si>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</si>
  <si>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</si>
  <si>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</si>
  <si>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</si>
  <si>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</si>
  <si>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</si>
  <si>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</si>
  <si>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</si>
  <si>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</si>
  <si>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</si>
  <si>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</si>
  <si>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</si>
  <si>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</si>
  <si>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</si>
  <si>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</si>
  <si>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</si>
  <si>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</si>
  <si>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</si>
  <si>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</si>
  <si>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</si>
  <si>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</si>
  <si>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</si>
  <si>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</si>
  <si>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</si>
  <si>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</si>
  <si>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</si>
  <si>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</si>
  <si>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</si>
  <si>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</si>
  <si>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</si>
  <si>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</si>
  <si>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</si>
  <si>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</si>
  <si>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</si>
  <si>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</si>
  <si>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</si>
  <si>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</si>
  <si>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</si>
  <si>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</si>
  <si>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</si>
  <si>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</si>
  <si>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</si>
  <si>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</si>
  <si>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</si>
  <si>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</si>
  <si>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</si>
  <si>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</si>
  <si>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</si>
  <si>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</si>
  <si>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</si>
  <si>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</si>
  <si>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</si>
  <si>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</si>
  <si>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</si>
  <si>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</si>
  <si>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</si>
  <si>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</si>
  <si>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</si>
  <si>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</si>
  <si>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</si>
  <si>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</si>
  <si>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</si>
  <si>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</si>
  <si>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</si>
  <si>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</si>
  <si>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</si>
  <si>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</si>
  <si>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</si>
  <si>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</si>
  <si>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</si>
  <si>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</si>
  <si>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</si>
  <si>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</si>
  <si>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</si>
  <si>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</si>
  <si>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</si>
  <si>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</si>
  <si>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</si>
  <si>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</si>
  <si>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</si>
  <si>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</si>
  <si>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</si>
  <si>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</si>
  <si>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</si>
  <si>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</si>
  <si>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</si>
  <si>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</si>
  <si>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</si>
  <si>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</si>
  <si>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</si>
  <si>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</si>
  <si>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</si>
  <si>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</si>
  <si>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</si>
  <si>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</si>
  <si>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</si>
  <si>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</si>
  <si>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</si>
  <si>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</si>
  <si>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</si>
  <si>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</si>
  <si>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</si>
  <si>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</si>
  <si>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</si>
  <si>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</si>
  <si>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</si>
  <si>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</si>
  <si>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</si>
  <si>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</si>
  <si>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</si>
  <si>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</si>
  <si>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</si>
  <si>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</si>
  <si>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</si>
  <si>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</si>
  <si>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</si>
  <si>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</si>
  <si>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</si>
  <si>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</si>
  <si>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</si>
  <si>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</si>
  <si>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</si>
  <si>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</si>
  <si>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</si>
  <si>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</si>
  <si>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</si>
  <si>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</si>
  <si>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</si>
  <si>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</si>
  <si>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</si>
  <si>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</si>
  <si>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</si>
  <si>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</si>
  <si>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</si>
  <si>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</si>
  <si>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</si>
  <si>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</si>
  <si>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</si>
  <si>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</si>
  <si>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</si>
  <si>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</si>
  <si>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</si>
  <si>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</si>
  <si>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</si>
  <si>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</si>
  <si>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</si>
  <si>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</si>
  <si>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</si>
  <si>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</si>
  <si>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</si>
  <si>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</si>
  <si>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</si>
  <si>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</si>
  <si>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</si>
  <si>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</si>
  <si>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</si>
  <si>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</si>
  <si>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</si>
  <si>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</si>
  <si>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</si>
  <si>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</si>
  <si>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</si>
  <si>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</si>
  <si>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</si>
  <si>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</si>
  <si>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</si>
  <si>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</si>
  <si>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</si>
  <si>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</si>
  <si>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</si>
  <si>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</si>
  <si>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</si>
  <si>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</si>
  <si>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</si>
  <si>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</si>
  <si>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</si>
  <si>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</si>
  <si>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</si>
  <si>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</si>
  <si>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</si>
  <si>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</si>
  <si>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</si>
  <si>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</si>
  <si>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</si>
  <si>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</si>
  <si>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</si>
  <si>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</si>
  <si>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</si>
  <si>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</si>
  <si>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</si>
  <si>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</si>
  <si>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</si>
  <si>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</si>
  <si>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</si>
  <si>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</si>
  <si>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</si>
  <si>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</si>
  <si>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</si>
  <si>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</si>
  <si>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</si>
  <si>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</si>
  <si>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</si>
  <si>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</si>
  <si>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</si>
  <si>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</si>
  <si>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</si>
  <si>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</si>
  <si>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</si>
  <si>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</si>
  <si>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</si>
  <si>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</si>
  <si>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</si>
  <si>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</si>
  <si>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</si>
  <si>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</si>
  <si>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</si>
  <si>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</si>
  <si>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</si>
  <si>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</si>
  <si>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</si>
  <si>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</si>
  <si>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</si>
  <si>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</si>
  <si>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</si>
  <si>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</si>
  <si>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</si>
  <si>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</si>
  <si>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</si>
  <si>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</si>
  <si>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</si>
  <si>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</si>
  <si>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</si>
  <si>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</si>
  <si>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</si>
  <si>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</si>
  <si>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</si>
  <si>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</si>
  <si>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</si>
  <si>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</si>
  <si>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</si>
  <si>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</si>
  <si>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</si>
  <si>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</si>
  <si>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</si>
  <si>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</si>
  <si>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</si>
  <si>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</si>
  <si>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</si>
  <si>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</si>
  <si>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</si>
  <si>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</si>
  <si>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</si>
  <si>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</si>
  <si>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</si>
  <si>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</si>
  <si>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</si>
  <si>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</si>
  <si>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</si>
  <si>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</si>
  <si>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</si>
  <si>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</si>
  <si>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</si>
  <si>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</si>
  <si>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</si>
  <si>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</si>
  <si>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</si>
  <si>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</si>
  <si>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</si>
  <si>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</si>
  <si>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</si>
  <si>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</si>
  <si>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</si>
  <si>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</si>
  <si>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</si>
  <si>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</si>
  <si>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</si>
  <si>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</si>
  <si>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</si>
  <si>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</si>
  <si>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</si>
  <si>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</si>
  <si>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</si>
  <si>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</si>
  <si>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</si>
  <si>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</si>
  <si>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</si>
  <si>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</si>
  <si>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</si>
  <si>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</si>
  <si>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</si>
  <si>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</si>
  <si>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</si>
  <si>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</si>
  <si>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</si>
  <si>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</si>
  <si>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</si>
  <si>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</si>
  <si>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</si>
  <si>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</si>
  <si>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</si>
  <si>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</si>
  <si>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</si>
  <si>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</si>
  <si>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</si>
  <si>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</si>
  <si>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</si>
  <si>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</si>
  <si>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</si>
  <si>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</si>
  <si>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</si>
  <si>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</si>
  <si>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</si>
  <si>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</si>
  <si>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</si>
  <si>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</si>
  <si>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</si>
  <si>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</si>
  <si>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</si>
  <si>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</si>
  <si>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</si>
  <si>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</si>
  <si>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</si>
  <si>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</si>
  <si>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</si>
  <si>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</si>
  <si>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</si>
  <si>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</si>
  <si>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</si>
  <si>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</si>
  <si>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</si>
  <si>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</si>
  <si>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</si>
  <si>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</si>
  <si>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</si>
  <si>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</si>
  <si>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</si>
  <si>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</si>
  <si>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</si>
  <si>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</si>
  <si>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</si>
  <si>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</si>
  <si>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</si>
  <si>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</si>
  <si>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</si>
  <si>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</si>
  <si>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</si>
  <si>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</si>
  <si>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</si>
  <si>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</si>
  <si>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</si>
  <si>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</si>
  <si>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</si>
  <si>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</si>
  <si>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</si>
  <si>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</si>
  <si>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</si>
  <si>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</si>
  <si>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</si>
  <si>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</si>
  <si>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</si>
  <si>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</si>
  <si>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</si>
  <si>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</si>
  <si>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</si>
  <si>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</si>
  <si>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</si>
  <si>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</si>
  <si>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</si>
  <si>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</si>
  <si>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</si>
  <si>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</si>
  <si>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</si>
  <si>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</si>
  <si>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</si>
  <si>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</si>
  <si>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</si>
  <si>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</si>
  <si>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</si>
  <si>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</si>
  <si>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</si>
  <si>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</si>
  <si>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</si>
  <si>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</si>
  <si>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</si>
  <si>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</si>
  <si>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</si>
  <si>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</si>
  <si>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</si>
  <si>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</si>
  <si>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</si>
  <si>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</si>
  <si>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</si>
  <si>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</si>
  <si>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</si>
  <si>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</si>
  <si>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</si>
  <si>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</si>
  <si>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</si>
  <si>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</si>
  <si>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</si>
  <si>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</si>
  <si>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</si>
  <si>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</si>
  <si>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</si>
  <si>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</si>
  <si>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</si>
  <si>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</si>
  <si>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</si>
  <si>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</si>
  <si>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</si>
  <si>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</si>
  <si>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</si>
  <si>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</si>
  <si>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</si>
  <si>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</si>
  <si>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</si>
  <si>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</si>
  <si>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</si>
  <si>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</si>
  <si>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</si>
  <si>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</si>
  <si>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</si>
  <si>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</si>
  <si>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</si>
  <si>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</si>
  <si>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</si>
  <si>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</si>
  <si>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</si>
  <si>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</si>
  <si>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</si>
  <si>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</si>
  <si>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</si>
  <si>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</si>
  <si>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</si>
  <si>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</si>
  <si>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</si>
  <si>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</si>
  <si>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</si>
  <si>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</si>
  <si>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</si>
  <si>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</si>
  <si>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</si>
  <si>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</si>
  <si>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</si>
  <si>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</si>
  <si>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</si>
  <si>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</si>
  <si>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</si>
  <si>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</si>
  <si>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</si>
  <si>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</si>
  <si>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</si>
  <si>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</si>
  <si>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</si>
  <si>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</si>
  <si>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</si>
  <si>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</si>
  <si>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</si>
  <si>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</si>
  <si>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</si>
  <si>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</si>
  <si>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</si>
  <si>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</si>
  <si>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</si>
  <si>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</si>
  <si>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</si>
  <si>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</si>
  <si>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</si>
  <si>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</si>
  <si>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</si>
  <si>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</si>
  <si>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</si>
  <si>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</si>
  <si>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</si>
  <si>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</si>
  <si>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</si>
  <si>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</si>
  <si>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</si>
  <si>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</si>
  <si>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</si>
  <si>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</si>
  <si>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</si>
  <si>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</si>
  <si>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</si>
  <si>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</si>
  <si>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</si>
  <si>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</si>
  <si>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</si>
  <si>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</si>
  <si>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</si>
  <si>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</si>
  <si>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</si>
  <si>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</si>
  <si>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</si>
  <si>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</si>
  <si>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</si>
  <si>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</si>
  <si>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</si>
  <si>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</si>
  <si>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</si>
  <si>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</si>
  <si>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</si>
  <si>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</si>
  <si>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</si>
  <si>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</si>
  <si>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</si>
  <si>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</si>
  <si>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</si>
  <si>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</si>
  <si>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</si>
  <si>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</si>
  <si>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</si>
  <si>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</si>
  <si>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</si>
  <si>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</si>
  <si>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</si>
  <si>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</si>
  <si>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</si>
  <si>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</si>
  <si>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</si>
  <si>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</si>
  <si>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</si>
  <si>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</si>
  <si>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</si>
  <si>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</si>
  <si>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</si>
  <si>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</si>
  <si>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</si>
  <si>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</si>
  <si>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</si>
  <si>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</si>
  <si>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</si>
  <si>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</si>
  <si>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</si>
  <si>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</si>
  <si>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</si>
  <si>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</si>
  <si>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</si>
  <si>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</si>
  <si>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</si>
  <si>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</si>
  <si>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</si>
  <si>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</si>
  <si>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</si>
  <si>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</si>
  <si>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</si>
  <si>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</si>
  <si>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</si>
  <si>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</si>
  <si>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</si>
  <si>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</si>
  <si>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</si>
  <si>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</si>
  <si>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</si>
  <si>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</si>
  <si>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</si>
  <si>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</si>
  <si>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</si>
  <si>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</si>
  <si>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</si>
  <si>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</si>
  <si>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</si>
  <si>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</si>
  <si>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</si>
  <si>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</si>
  <si>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</si>
  <si>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</si>
  <si>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</si>
  <si>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</si>
  <si>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</si>
  <si>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</si>
  <si>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</si>
  <si>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</si>
  <si>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</si>
  <si>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</si>
  <si>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</si>
  <si>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</si>
  <si>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</si>
  <si>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</si>
  <si>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</si>
  <si>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</si>
  <si>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</si>
  <si>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</si>
  <si>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</si>
  <si>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</si>
  <si>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</si>
  <si>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</si>
  <si>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</si>
  <si>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</si>
  <si>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</si>
  <si>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</si>
  <si>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</si>
  <si>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</si>
  <si>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</si>
  <si>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</si>
  <si>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</si>
  <si>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</si>
  <si>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</si>
  <si>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</si>
  <si>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</si>
  <si>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</si>
  <si>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</si>
  <si>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</si>
  <si>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</si>
  <si>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</si>
  <si>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</si>
  <si>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</si>
  <si>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</si>
  <si>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</si>
  <si>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</si>
  <si>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</si>
  <si>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</si>
  <si>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</si>
  <si>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</si>
  <si>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</si>
  <si>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</si>
  <si>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</si>
  <si>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</si>
  <si>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</si>
  <si>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</si>
  <si>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</si>
  <si>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</si>
  <si>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</si>
  <si>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</si>
  <si>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</si>
  <si>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</si>
  <si>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</si>
  <si>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</si>
  <si>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</si>
  <si>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</si>
  <si>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</si>
  <si>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</si>
  <si>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</si>
  <si>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</si>
  <si>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</si>
  <si>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</si>
  <si>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</si>
  <si>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</si>
  <si>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</si>
  <si>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</si>
  <si>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</si>
  <si>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</si>
  <si>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</si>
  <si>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</si>
  <si>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</si>
  <si>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</si>
  <si>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</si>
  <si>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</si>
  <si>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</si>
  <si>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</si>
  <si>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</si>
  <si>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</si>
  <si>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</si>
  <si>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</si>
  <si>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</si>
  <si>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</si>
  <si>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</si>
  <si>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</si>
  <si>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</si>
  <si>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</si>
  <si>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</si>
  <si>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</si>
  <si>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</si>
  <si>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</si>
  <si>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</si>
  <si>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</si>
  <si>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</si>
  <si>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</si>
  <si>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</si>
  <si>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</si>
  <si>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</si>
  <si>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</si>
  <si>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</si>
  <si>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</si>
  <si>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</si>
  <si>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</si>
  <si>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</si>
  <si>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</si>
  <si>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</si>
  <si>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</si>
  <si>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</si>
  <si>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</si>
  <si>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</si>
  <si>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</si>
  <si>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</si>
  <si>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</si>
  <si>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</si>
  <si>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</si>
  <si>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</si>
  <si>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</si>
  <si>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</si>
  <si>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</si>
  <si>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</si>
  <si>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</si>
  <si>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</si>
  <si>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</si>
  <si>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</si>
  <si>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</si>
  <si>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</si>
  <si>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</si>
  <si>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</si>
  <si>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</si>
  <si>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</si>
  <si>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</si>
  <si>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</si>
  <si>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</si>
  <si>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</si>
  <si>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</si>
  <si>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</si>
  <si>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</si>
  <si>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</si>
  <si>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</si>
  <si>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</si>
  <si>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</si>
  <si>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</si>
  <si>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</si>
  <si>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</si>
  <si>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</si>
  <si>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</si>
  <si>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</si>
  <si>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</si>
  <si>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</si>
  <si>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</si>
  <si>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</si>
  <si>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</si>
  <si>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</si>
  <si>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</si>
  <si>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</si>
  <si>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</si>
  <si>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</si>
  <si>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</si>
  <si>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</si>
  <si>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</si>
  <si>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</si>
  <si>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</si>
  <si>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</si>
  <si>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</si>
  <si>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</si>
  <si>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</si>
  <si>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</si>
  <si>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</si>
  <si>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</si>
  <si>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</si>
  <si>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</si>
  <si>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</si>
  <si>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</si>
  <si>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</si>
  <si>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</si>
  <si>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</si>
  <si>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</si>
  <si>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</si>
  <si>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</si>
  <si>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</si>
  <si>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</si>
  <si>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</si>
  <si>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</si>
  <si>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</si>
  <si>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</si>
  <si>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</si>
  <si>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</si>
  <si>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</si>
  <si>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</si>
  <si>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</si>
  <si>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</si>
  <si>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</si>
  <si>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</si>
  <si>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</si>
  <si>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</si>
  <si>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</si>
  <si>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</si>
  <si>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</si>
  <si>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</si>
  <si>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</si>
  <si>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</si>
  <si>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</si>
  <si>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</si>
  <si>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</si>
  <si>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</si>
  <si>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</si>
  <si>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</si>
  <si>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</si>
  <si>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</si>
  <si>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</si>
  <si>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</si>
  <si>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</si>
  <si>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</si>
  <si>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</si>
  <si>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</si>
  <si>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</si>
  <si>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</si>
  <si>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</si>
  <si>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</si>
  <si>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</si>
  <si>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</si>
  <si>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</si>
  <si>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</si>
  <si>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</si>
  <si>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</si>
  <si>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</si>
  <si>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</si>
  <si>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</si>
  <si>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</si>
  <si>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</si>
  <si>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</si>
  <si>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</si>
  <si>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</si>
  <si>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</si>
  <si>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</si>
  <si>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</si>
  <si>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</si>
  <si>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</si>
  <si>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</si>
  <si>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</si>
  <si>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</si>
  <si>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</si>
  <si>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</si>
  <si>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</si>
  <si>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</si>
  <si>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</si>
  <si>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</si>
  <si>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</si>
  <si>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</si>
  <si>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</si>
  <si>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</si>
  <si>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</si>
  <si>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</si>
  <si>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</si>
  <si>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</si>
  <si>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</si>
  <si>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</si>
  <si>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</si>
  <si>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</si>
  <si>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</si>
  <si>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</si>
  <si>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</si>
  <si>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</si>
  <si>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</si>
  <si>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</si>
  <si>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</si>
  <si>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</si>
  <si>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</si>
  <si>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</si>
  <si>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</si>
  <si>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</si>
  <si>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</si>
  <si>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</si>
  <si>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</si>
  <si>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</si>
  <si>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</si>
  <si>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</si>
  <si>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</si>
  <si>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</si>
  <si>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</si>
  <si>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</si>
  <si>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</si>
  <si>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</si>
  <si>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</si>
  <si>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</si>
  <si>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</si>
  <si>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</si>
  <si>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</si>
  <si>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</si>
  <si>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</si>
  <si>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</si>
  <si>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</si>
  <si>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</si>
  <si>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</si>
  <si>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</si>
  <si>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</si>
  <si>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</si>
  <si>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</si>
  <si>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</si>
  <si>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</si>
  <si>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</si>
  <si>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</si>
  <si>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</si>
  <si>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</si>
  <si>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</si>
  <si>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</si>
  <si>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</si>
  <si>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</si>
  <si>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</si>
  <si>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</si>
  <si>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</si>
  <si>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</si>
  <si>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</si>
  <si>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</si>
  <si>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</si>
  <si>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</si>
  <si>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</si>
  <si>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</si>
  <si>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</si>
  <si>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</si>
  <si>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</si>
  <si>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</si>
  <si>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</si>
  <si>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</si>
  <si>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</si>
  <si>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</si>
  <si>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</si>
  <si>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</si>
  <si>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</si>
  <si>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</si>
  <si>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</si>
  <si>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</si>
  <si>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</si>
  <si>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</si>
  <si>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</si>
  <si>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</si>
  <si>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</si>
  <si>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</si>
  <si>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</si>
  <si>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</si>
  <si>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</si>
  <si>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</si>
  <si>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</si>
  <si>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</si>
  <si>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</si>
  <si>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</si>
  <si>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</si>
  <si>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</si>
  <si>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</si>
  <si>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</si>
  <si>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</si>
  <si>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</si>
  <si>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</si>
  <si>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</si>
  <si>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</si>
  <si>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</si>
  <si>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</si>
  <si>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</si>
  <si>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</si>
  <si>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</si>
  <si>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</si>
  <si>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</si>
  <si>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</si>
  <si>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</si>
  <si>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</si>
  <si>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</si>
  <si>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</si>
  <si>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</si>
  <si>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</si>
  <si>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</si>
  <si>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</si>
  <si>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</si>
  <si>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</si>
  <si>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</si>
  <si>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</si>
  <si>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</si>
  <si>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</si>
  <si>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</si>
  <si>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</si>
  <si>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</si>
  <si>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</si>
  <si>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</si>
  <si>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</si>
  <si>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</si>
  <si>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</si>
  <si>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</si>
  <si>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</si>
  <si>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</si>
  <si>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</si>
  <si>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</si>
  <si>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</si>
  <si>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</si>
  <si>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</si>
  <si>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</si>
  <si>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</si>
  <si>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</si>
  <si>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</si>
  <si>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</si>
  <si>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</si>
  <si>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</si>
  <si>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</si>
  <si>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</si>
  <si>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</si>
  <si>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</si>
  <si>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</si>
  <si>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</si>
  <si>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</si>
  <si>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</si>
  <si>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</si>
  <si>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</si>
  <si>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</si>
  <si>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</si>
  <si>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</si>
  <si>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</si>
  <si>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</si>
  <si>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</si>
  <si>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</si>
  <si>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</si>
  <si>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</si>
  <si>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</si>
  <si>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</si>
  <si>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</si>
  <si>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</si>
  <si>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</si>
  <si>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</si>
  <si>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</si>
  <si>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</si>
  <si>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</si>
  <si>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</si>
  <si>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</si>
  <si>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</si>
  <si>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</si>
  <si>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</si>
  <si>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</si>
  <si>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</si>
  <si>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</si>
  <si>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</si>
  <si>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</si>
  <si>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</si>
  <si>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</si>
  <si>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</si>
  <si>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</si>
  <si>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</si>
  <si>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</si>
  <si>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</si>
  <si>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</si>
  <si>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</si>
  <si>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</si>
  <si>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</si>
  <si>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</si>
  <si>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</si>
  <si>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</si>
  <si>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</si>
  <si>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</si>
  <si>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</si>
  <si>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</si>
  <si>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</si>
  <si>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</si>
  <si>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</si>
  <si>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</si>
  <si>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</si>
  <si>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</si>
  <si>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</si>
  <si>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</si>
  <si>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</si>
  <si>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</si>
  <si>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</si>
  <si>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</si>
  <si>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</si>
  <si>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</si>
  <si>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</si>
  <si>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</si>
  <si>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</si>
  <si>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</si>
  <si>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</si>
  <si>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</si>
  <si>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</si>
  <si>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</si>
  <si>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</si>
  <si>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</si>
  <si>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</si>
  <si>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</si>
  <si>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</si>
  <si>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</si>
  <si>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</si>
  <si>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</si>
  <si>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</si>
  <si>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</si>
  <si>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</si>
  <si>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</si>
  <si>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</si>
  <si>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</si>
  <si>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</si>
  <si>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</si>
  <si>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</si>
  <si>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</si>
  <si>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</si>
  <si>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</si>
  <si>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</si>
  <si>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</si>
  <si>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</si>
  <si>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</si>
  <si>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</si>
  <si>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</si>
  <si>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</si>
  <si>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</si>
  <si>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</si>
  <si>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</si>
  <si>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</si>
  <si>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</si>
  <si>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</si>
  <si>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</si>
  <si>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</si>
  <si>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</si>
  <si>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</si>
  <si>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</si>
  <si>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</si>
  <si>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</si>
  <si>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</si>
  <si>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</si>
  <si>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</si>
  <si>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</si>
  <si>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</si>
  <si>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</si>
  <si>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</si>
  <si>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</si>
  <si>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</si>
  <si>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</si>
  <si>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</si>
  <si>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</si>
  <si>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</si>
  <si>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</si>
  <si>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</si>
  <si>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</si>
  <si>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</si>
  <si>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</si>
  <si>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</si>
  <si>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</si>
  <si>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</si>
  <si>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</si>
  <si>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</si>
  <si>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</si>
  <si>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</si>
  <si>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</si>
  <si>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</si>
  <si>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</si>
  <si>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</si>
  <si>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</si>
  <si>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</si>
  <si>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</si>
  <si>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</si>
  <si>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</si>
  <si>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</si>
  <si>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</si>
  <si>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</si>
  <si>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</si>
  <si>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</si>
  <si>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</si>
  <si>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</si>
  <si>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</si>
  <si>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</si>
  <si>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</si>
  <si>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</si>
  <si>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</si>
  <si>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</si>
  <si>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</si>
  <si>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</si>
  <si>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</si>
  <si>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</si>
  <si>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</si>
  <si>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</si>
  <si>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</si>
  <si>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</si>
  <si>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</si>
  <si>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</si>
  <si>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</si>
  <si>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</si>
  <si>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</si>
  <si>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</si>
  <si>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</si>
  <si>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</si>
  <si>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</si>
  <si>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</si>
  <si>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</si>
  <si>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</si>
  <si>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</si>
  <si>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</si>
  <si>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</si>
  <si>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</si>
  <si>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</si>
  <si>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</si>
  <si>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</si>
  <si>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</si>
  <si>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</si>
  <si>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</si>
  <si>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</si>
  <si>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</si>
  <si>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</si>
  <si>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</si>
  <si>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</si>
  <si>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</si>
  <si>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</si>
  <si>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</si>
  <si>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</si>
  <si>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</si>
  <si>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</si>
  <si>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</si>
  <si>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</si>
  <si>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</si>
  <si>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</si>
  <si>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</si>
  <si>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</si>
  <si>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</si>
  <si>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</si>
  <si>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</si>
  <si>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</si>
  <si>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</si>
  <si>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</si>
  <si>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</si>
  <si>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</si>
  <si>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</si>
  <si>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</si>
  <si>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</si>
  <si>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</si>
  <si>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</si>
  <si>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</si>
  <si>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</si>
  <si>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</si>
  <si>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</si>
  <si>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</si>
  <si>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</si>
  <si>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</si>
  <si>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</si>
  <si>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</si>
  <si>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</si>
  <si>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</si>
  <si>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</si>
  <si>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</si>
  <si>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</si>
  <si>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</si>
  <si>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</si>
  <si>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</si>
  <si>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</si>
  <si>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</si>
  <si>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</si>
  <si>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</si>
  <si>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</si>
  <si>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</si>
  <si>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</si>
  <si>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</si>
  <si>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</si>
  <si>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</si>
  <si>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</si>
  <si>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</si>
  <si>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</si>
  <si>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</si>
  <si>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</si>
  <si>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</si>
  <si>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</si>
  <si>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</si>
  <si>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</si>
  <si>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</si>
  <si>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</si>
  <si>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</si>
  <si>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</si>
  <si>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</si>
  <si>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</si>
  <si>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</si>
  <si>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</si>
  <si>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</si>
  <si>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</si>
  <si>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</si>
  <si>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</si>
  <si>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</si>
  <si>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</si>
  <si>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</si>
  <si>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</si>
  <si>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</si>
  <si>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</si>
  <si>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</si>
  <si>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</si>
  <si>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</si>
  <si>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</si>
  <si>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</si>
  <si>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</si>
  <si>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</si>
  <si>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</si>
  <si>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</si>
  <si>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</si>
  <si>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</si>
  <si>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</si>
  <si>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</si>
  <si>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</si>
  <si>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</si>
  <si>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</si>
  <si>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</si>
  <si>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</si>
  <si>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</si>
  <si>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</si>
  <si>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</si>
  <si>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</si>
  <si>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</si>
  <si>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</si>
  <si>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</si>
  <si>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</si>
  <si>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</si>
  <si>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</si>
  <si>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</si>
  <si>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</si>
  <si>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</si>
  <si>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</si>
  <si>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</si>
  <si>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</si>
  <si>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</si>
  <si>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</si>
  <si>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</si>
  <si>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</si>
  <si>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</si>
  <si>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</si>
  <si>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</si>
  <si>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</si>
  <si>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</si>
  <si>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</si>
  <si>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</si>
  <si>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</si>
  <si>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</si>
  <si>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</si>
  <si>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</si>
  <si>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</si>
  <si>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</si>
  <si>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</si>
  <si>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</si>
  <si>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</si>
  <si>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</si>
  <si>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</si>
  <si>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</si>
  <si>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</si>
  <si>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</si>
  <si>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</si>
  <si>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</si>
  <si>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</si>
  <si>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</si>
  <si>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</si>
  <si>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</si>
  <si>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</si>
  <si>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</si>
  <si>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</si>
  <si>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</si>
  <si>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</si>
  <si>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</si>
  <si>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</si>
  <si>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</si>
  <si>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</si>
  <si>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</si>
  <si>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</si>
  <si>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</si>
  <si>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</si>
  <si>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</si>
  <si>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</si>
  <si>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</si>
  <si>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</si>
  <si>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</si>
  <si>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</si>
  <si>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</si>
  <si>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</si>
  <si>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</si>
  <si>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</si>
  <si>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</si>
  <si>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</si>
  <si>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</si>
  <si>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</si>
  <si>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</si>
  <si>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</si>
  <si>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</si>
  <si>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</si>
  <si>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</si>
  <si>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</si>
  <si>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</si>
  <si>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</si>
  <si>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</si>
  <si>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</si>
  <si>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</si>
  <si>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</si>
  <si>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</si>
  <si>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</si>
  <si>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</si>
  <si>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</si>
  <si>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</si>
  <si>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</si>
  <si>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</si>
  <si>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</si>
  <si>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</si>
  <si>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</si>
  <si>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</si>
  <si>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</si>
  <si>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</si>
  <si>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</si>
  <si>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</si>
  <si>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</si>
  <si>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</si>
  <si>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</si>
  <si>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</si>
  <si>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</si>
  <si>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</si>
  <si>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</si>
  <si>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</si>
  <si>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</si>
  <si>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</si>
  <si>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</si>
  <si>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</si>
  <si>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</si>
  <si>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</si>
  <si>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</si>
  <si>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</si>
  <si>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</si>
  <si>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</si>
  <si>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</si>
  <si>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</si>
  <si>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</si>
  <si>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</si>
  <si>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</si>
  <si>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</si>
  <si>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</si>
  <si>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</si>
  <si>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</si>
  <si>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</si>
  <si>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</si>
  <si>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</si>
  <si>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</si>
  <si>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</si>
  <si>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</si>
  <si>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</si>
  <si>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</si>
  <si>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</si>
  <si>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</si>
  <si>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</si>
  <si>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</si>
  <si>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</si>
  <si>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</si>
  <si>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</si>
  <si>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</si>
  <si>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MACOUPIN</t>
  </si>
  <si>
    <t>504 E WARREN</t>
  </si>
  <si>
    <t xml:space="preserve">BUNKER HILL  </t>
  </si>
  <si>
    <t>TDUGAN@BHCUSD.ORG</t>
  </si>
  <si>
    <t>LOY MILLER TALLEY, PC</t>
  </si>
  <si>
    <t>KENNETH E. LOY, C.P.A.</t>
  </si>
  <si>
    <t>#2 CROSSROADS CT</t>
  </si>
  <si>
    <t>ALTON</t>
  </si>
  <si>
    <t>IL</t>
  </si>
  <si>
    <t>(618)465-1196</t>
  </si>
  <si>
    <t>(618)465-2900</t>
  </si>
  <si>
    <t>060-003363</t>
  </si>
  <si>
    <t>KEN@LMTCPAS.COM</t>
  </si>
  <si>
    <t>TODD DUGAN</t>
  </si>
  <si>
    <t>(618)585-3116</t>
  </si>
  <si>
    <t>(618)585-3212</t>
  </si>
  <si>
    <t>MICHELLE MUELLER</t>
  </si>
  <si>
    <t>MMUELLER@ROE40.COM</t>
  </si>
  <si>
    <t>(217)854-4016</t>
  </si>
  <si>
    <t>(217)854-2032</t>
  </si>
  <si>
    <t>GENERAL OBLIGATION BOND SERIES 2016</t>
  </si>
  <si>
    <t>GENERAL OBLIGATION BOND SERIES 2018</t>
  </si>
  <si>
    <t>10-1614 "SALES TO PUPILS - OTHER" $2,375</t>
  </si>
  <si>
    <t>10-1790 "OTHER PUPIL ACTIVITY" $6,379</t>
  </si>
  <si>
    <t>10-1829 "LAB FEES" $161</t>
  </si>
  <si>
    <t>10-1993 "DRIVERS ED FEES" $13,165</t>
  </si>
  <si>
    <t>10-1999 "OTHER LOCAL INCOME" $78,817</t>
  </si>
  <si>
    <t>10-3999 "LIBRARY GRANT" $750, "OTHER STATE SOURCES" $983</t>
  </si>
  <si>
    <t>10-4999 "PERKINS-FEDERAL" $7,010</t>
  </si>
  <si>
    <t>BUS LEASE</t>
  </si>
  <si>
    <t>EQUIPMENT LEASE</t>
  </si>
  <si>
    <t>20-1999 "OTHER LOCAL REVENUE" $383</t>
  </si>
  <si>
    <t>40-1999 "OTHER LOCAL REVENUE" $245</t>
  </si>
  <si>
    <t>LONG TERM DEBT ASSOCIATED FROM THE BUS LEASE LISTED ON THE SCHEDULE OF LONG TERM DEBT WAS PAID FROM FUND 40 INSTEAD OF FUND 30.</t>
  </si>
  <si>
    <t>Bunker Hill CUSD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</si>
</sst>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762000</xdr:colOff>
          <xdr:row>3</xdr:row>
          <xdr:rowOff>25977</xdr:rowOff>
        </xdr:from>
        <xdr:to>
          <xdr:col>1</xdr:col>
          <xdr:colOff>1676400</xdr:colOff>
          <xdr:row>7</xdr:row>
          <xdr:rowOff>64077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3" t="s">
        <v>405</v>
      </c>
      <c r="J1" s="2014"/>
      <c r="K1" s="2014"/>
      <c r="L1" s="2014"/>
      <c r="M1" s="2014"/>
      <c r="N1" s="2014"/>
      <c r="O1" s="2014"/>
      <c r="P1" s="2014"/>
      <c r="Q1" s="2014"/>
      <c r="R1" s="2014"/>
      <c r="S1" s="2014"/>
    </row>
    <row r="2" spans="1:28" ht="12" customHeight="1" x14ac:dyDescent="0.2">
      <c r="A2" s="47" t="s">
        <v>1993</v>
      </c>
      <c r="D2" s="48"/>
      <c r="I2" s="2015" t="s">
        <v>979</v>
      </c>
      <c r="J2" s="2014"/>
      <c r="K2" s="2014"/>
      <c r="L2" s="2014"/>
      <c r="M2" s="2014"/>
      <c r="N2" s="2014"/>
      <c r="O2" s="2014"/>
      <c r="P2" s="2014"/>
      <c r="Q2" s="2014"/>
      <c r="R2" s="2014"/>
      <c r="S2" s="2014"/>
    </row>
    <row r="3" spans="1:28" ht="12" customHeight="1" x14ac:dyDescent="0.2">
      <c r="A3" s="155" t="s">
        <v>1945</v>
      </c>
      <c r="B3" s="156"/>
      <c r="C3" s="156"/>
      <c r="D3" s="157"/>
      <c r="I3" s="2015" t="s">
        <v>52</v>
      </c>
      <c r="J3" s="2014"/>
      <c r="K3" s="2014"/>
      <c r="L3" s="2014"/>
      <c r="M3" s="2014"/>
      <c r="N3" s="2014"/>
      <c r="O3" s="2014"/>
      <c r="P3" s="2014"/>
      <c r="Q3" s="2014"/>
      <c r="R3" s="2014"/>
      <c r="S3" s="2014"/>
    </row>
    <row r="4" spans="1:28" ht="12" customHeight="1" x14ac:dyDescent="0.2">
      <c r="A4" s="37"/>
      <c r="I4" s="2015" t="s">
        <v>524</v>
      </c>
      <c r="J4" s="2014"/>
      <c r="K4" s="2014"/>
      <c r="L4" s="2014"/>
      <c r="M4" s="2014"/>
      <c r="N4" s="2014"/>
      <c r="O4" s="2014"/>
      <c r="P4" s="2014"/>
      <c r="Q4" s="2014"/>
      <c r="R4" s="2014"/>
      <c r="S4" s="2014"/>
    </row>
    <row r="5" spans="1:28" ht="14.1" customHeight="1" x14ac:dyDescent="0.2">
      <c r="B5" s="104" t="s">
        <v>2064</v>
      </c>
      <c r="C5" s="26" t="s">
        <v>910</v>
      </c>
      <c r="D5" s="84"/>
      <c r="E5" s="84"/>
      <c r="H5" s="38"/>
      <c r="I5" s="2022" t="s">
        <v>680</v>
      </c>
      <c r="J5" s="1967"/>
      <c r="K5" s="1967"/>
      <c r="L5" s="1967"/>
      <c r="M5" s="1967"/>
      <c r="N5" s="1967"/>
      <c r="O5" s="1967"/>
      <c r="P5" s="1967"/>
      <c r="Q5" s="1967"/>
      <c r="R5" s="1967"/>
      <c r="S5" s="1967"/>
    </row>
    <row r="6" spans="1:28" ht="14.1" customHeight="1" x14ac:dyDescent="0.2">
      <c r="B6" s="104"/>
      <c r="C6" s="26" t="s">
        <v>911</v>
      </c>
      <c r="D6" s="84"/>
      <c r="E6" s="84"/>
      <c r="I6" s="2021" t="s">
        <v>883</v>
      </c>
      <c r="J6" s="1967"/>
      <c r="K6" s="1967"/>
      <c r="L6" s="1967"/>
      <c r="M6" s="1967"/>
      <c r="N6" s="1967"/>
      <c r="O6" s="1967"/>
      <c r="P6" s="1967"/>
      <c r="Q6" s="1967"/>
      <c r="R6" s="1967"/>
      <c r="S6" s="1967"/>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674</v>
      </c>
      <c r="J9" s="2019"/>
      <c r="K9" s="2019"/>
      <c r="L9" s="2019"/>
      <c r="M9" s="2019"/>
      <c r="N9" s="2019"/>
      <c r="O9" s="2019"/>
      <c r="P9" s="2019"/>
      <c r="Q9" s="2019"/>
      <c r="R9" s="2019"/>
      <c r="S9" s="2020"/>
      <c r="T9" s="1963" t="s">
        <v>533</v>
      </c>
      <c r="U9" s="1964"/>
      <c r="V9" s="1964"/>
      <c r="W9" s="1964"/>
      <c r="X9" s="1964"/>
      <c r="Y9" s="1964"/>
      <c r="Z9" s="1964"/>
      <c r="AA9" s="1965"/>
    </row>
    <row r="10" spans="1:28" ht="13.5" customHeight="1" x14ac:dyDescent="0.2">
      <c r="A10" s="1972" t="s">
        <v>675</v>
      </c>
      <c r="B10" s="1973"/>
      <c r="C10" s="1973"/>
      <c r="D10" s="1973"/>
      <c r="E10" s="1973"/>
      <c r="F10" s="1973"/>
      <c r="G10" s="1973"/>
      <c r="H10" s="1974"/>
      <c r="I10" s="29"/>
      <c r="J10" s="30"/>
      <c r="K10" s="28"/>
      <c r="R10" s="30"/>
      <c r="S10" s="30"/>
      <c r="T10" s="1966"/>
      <c r="U10" s="1967"/>
      <c r="V10" s="1967"/>
      <c r="W10" s="1967"/>
      <c r="X10" s="1967"/>
      <c r="Y10" s="1967"/>
      <c r="Z10" s="1967"/>
      <c r="AA10" s="1968"/>
    </row>
    <row r="11" spans="1:28" ht="14.25" customHeight="1" x14ac:dyDescent="0.2">
      <c r="A11" s="1975" t="s">
        <v>955</v>
      </c>
      <c r="B11" s="1976"/>
      <c r="C11" s="1976"/>
      <c r="D11" s="1976"/>
      <c r="E11" s="1976"/>
      <c r="F11" s="1976"/>
      <c r="G11" s="1976"/>
      <c r="H11" s="1977"/>
      <c r="I11" s="27"/>
      <c r="J11" s="74"/>
      <c r="K11" s="27"/>
      <c r="O11" s="148" t="s">
        <v>2064</v>
      </c>
      <c r="P11" s="100" t="s">
        <v>201</v>
      </c>
      <c r="Q11" s="30"/>
      <c r="R11" s="28"/>
      <c r="S11" s="27"/>
      <c r="T11" s="1969"/>
      <c r="U11" s="1970"/>
      <c r="V11" s="1970"/>
      <c r="W11" s="1970"/>
      <c r="X11" s="1970"/>
      <c r="Y11" s="1970"/>
      <c r="Z11" s="1970"/>
      <c r="AA11" s="197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3">
        <v>40056008026</v>
      </c>
      <c r="B13" s="1984"/>
      <c r="C13" s="1984"/>
      <c r="D13" s="1984"/>
      <c r="E13" s="1984"/>
      <c r="F13" s="1984"/>
      <c r="G13" s="1984"/>
      <c r="H13" s="1985"/>
      <c r="I13" s="31"/>
      <c r="J13" s="30"/>
      <c r="K13" s="28"/>
      <c r="L13" s="30"/>
      <c r="M13" s="30"/>
      <c r="N13" s="30"/>
      <c r="O13" s="30"/>
      <c r="P13" s="30"/>
      <c r="Q13" s="30"/>
      <c r="R13" s="30"/>
      <c r="S13" s="30"/>
      <c r="T13" s="1988" t="s">
        <v>2069</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1" t="s">
        <v>2065</v>
      </c>
      <c r="B15" s="1986"/>
      <c r="C15" s="1986"/>
      <c r="D15" s="1986"/>
      <c r="E15" s="1986"/>
      <c r="F15" s="1986"/>
      <c r="G15" s="1986"/>
      <c r="H15" s="1987"/>
      <c r="T15" s="1949" t="s">
        <v>2070</v>
      </c>
      <c r="U15" s="1950"/>
      <c r="V15" s="1950"/>
      <c r="W15" s="1950"/>
      <c r="X15" s="1950"/>
      <c r="Y15" s="1992"/>
      <c r="Z15" s="1992"/>
      <c r="AA15" s="199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1" t="s">
        <v>2099</v>
      </c>
      <c r="B17" s="2011"/>
      <c r="C17" s="2011"/>
      <c r="D17" s="2011"/>
      <c r="E17" s="2011"/>
      <c r="F17" s="2011"/>
      <c r="G17" s="2011"/>
      <c r="H17" s="2012"/>
      <c r="T17" s="1998" t="s">
        <v>2071</v>
      </c>
      <c r="U17" s="1999"/>
      <c r="V17" s="1999"/>
      <c r="W17" s="1999"/>
      <c r="X17" s="1999"/>
      <c r="Y17" s="1999"/>
      <c r="Z17" s="1999"/>
      <c r="AA17" s="2000"/>
    </row>
    <row r="18" spans="1:27" ht="13.5" customHeight="1" x14ac:dyDescent="0.2">
      <c r="A18" s="85" t="s">
        <v>530</v>
      </c>
      <c r="B18" s="76"/>
      <c r="C18" s="72"/>
      <c r="D18" s="76"/>
      <c r="E18" s="76"/>
      <c r="F18" s="76"/>
      <c r="G18" s="76"/>
      <c r="H18" s="56"/>
      <c r="I18" s="2008" t="s">
        <v>676</v>
      </c>
      <c r="J18" s="2009"/>
      <c r="K18" s="2009"/>
      <c r="L18" s="2009"/>
      <c r="M18" s="2009"/>
      <c r="N18" s="2009"/>
      <c r="O18" s="2009"/>
      <c r="P18" s="2009"/>
      <c r="Q18" s="2009"/>
      <c r="R18" s="2009"/>
      <c r="S18" s="2010"/>
      <c r="T18" s="85" t="s">
        <v>711</v>
      </c>
      <c r="U18" s="51"/>
      <c r="V18" s="72"/>
      <c r="W18" s="50"/>
      <c r="X18" s="85" t="s">
        <v>266</v>
      </c>
      <c r="Y18" s="81"/>
      <c r="Z18" s="159" t="s">
        <v>677</v>
      </c>
      <c r="AA18" s="46"/>
    </row>
    <row r="19" spans="1:27" ht="13.5" customHeight="1" x14ac:dyDescent="0.2">
      <c r="A19" s="1981" t="s">
        <v>2066</v>
      </c>
      <c r="B19" s="1982"/>
      <c r="C19" s="1982"/>
      <c r="D19" s="1982"/>
      <c r="E19" s="1982"/>
      <c r="F19" s="1982"/>
      <c r="G19" s="1982"/>
      <c r="H19" s="1980"/>
      <c r="I19" s="30"/>
      <c r="J19" s="99"/>
      <c r="K19" s="40"/>
      <c r="L19" s="38"/>
      <c r="M19" s="112" t="s">
        <v>315</v>
      </c>
      <c r="P19" s="27"/>
      <c r="Q19" s="27"/>
      <c r="R19" s="27"/>
      <c r="S19" s="31"/>
      <c r="T19" s="1981" t="s">
        <v>2072</v>
      </c>
      <c r="U19" s="1979"/>
      <c r="V19" s="1979"/>
      <c r="W19" s="1980"/>
      <c r="X19" s="1996" t="s">
        <v>2073</v>
      </c>
      <c r="Y19" s="1997"/>
      <c r="Z19" s="1994">
        <v>62002</v>
      </c>
      <c r="AA19" s="199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8" t="s">
        <v>2067</v>
      </c>
      <c r="B21" s="1979"/>
      <c r="C21" s="1979"/>
      <c r="D21" s="1979"/>
      <c r="E21" s="1979"/>
      <c r="F21" s="1979"/>
      <c r="G21" s="1979"/>
      <c r="H21" s="1980"/>
      <c r="I21" s="2004" t="s">
        <v>678</v>
      </c>
      <c r="J21" s="1967"/>
      <c r="K21" s="1967"/>
      <c r="L21" s="1967"/>
      <c r="M21" s="1967"/>
      <c r="N21" s="1967"/>
      <c r="O21" s="1967"/>
      <c r="P21" s="1967"/>
      <c r="Q21" s="1967"/>
      <c r="R21" s="1967"/>
      <c r="S21" s="1968"/>
      <c r="T21" s="1946" t="s">
        <v>2074</v>
      </c>
      <c r="U21" s="1947"/>
      <c r="V21" s="1947"/>
      <c r="W21" s="1947"/>
      <c r="X21" s="1960" t="s">
        <v>2075</v>
      </c>
      <c r="Y21" s="1961"/>
      <c r="Z21" s="1961"/>
      <c r="AA21" s="1962"/>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1" t="s">
        <v>2068</v>
      </c>
      <c r="B23" s="2002"/>
      <c r="C23" s="2002"/>
      <c r="D23" s="2002"/>
      <c r="E23" s="2002"/>
      <c r="F23" s="2002"/>
      <c r="G23" s="2002"/>
      <c r="H23" s="2003"/>
      <c r="T23" s="1941" t="s">
        <v>2076</v>
      </c>
      <c r="U23" s="1942"/>
      <c r="V23" s="1942"/>
      <c r="W23" s="1942"/>
      <c r="X23" s="1957">
        <v>43831</v>
      </c>
      <c r="Y23" s="1958"/>
      <c r="Z23" s="1958"/>
      <c r="AA23" s="1959"/>
    </row>
    <row r="24" spans="1:27" ht="14.1" customHeight="1" x14ac:dyDescent="0.2">
      <c r="A24" s="88" t="s">
        <v>677</v>
      </c>
      <c r="B24" s="49"/>
      <c r="C24" s="49"/>
      <c r="D24" s="49"/>
      <c r="E24" s="49"/>
      <c r="F24" s="49"/>
      <c r="G24" s="49"/>
      <c r="H24" s="61"/>
      <c r="J24" s="2043">
        <f>IF(B5="x",IF(AUDITCHECK!D29="AFR form Incomplete.","",IF(AUDITCHECK!D29="Deficit reduction plan is required.","School District must complete a deficit reduction plan in the 2019-2020 Budget",)),"")</f>
        <v>0</v>
      </c>
      <c r="K24" s="2043"/>
      <c r="L24" s="2043"/>
      <c r="M24" s="2043"/>
      <c r="N24" s="2043"/>
      <c r="O24" s="2043"/>
      <c r="P24" s="2043"/>
      <c r="Q24" s="2043"/>
      <c r="R24" s="2043"/>
      <c r="S24" s="2044"/>
      <c r="T24" s="105" t="s">
        <v>531</v>
      </c>
      <c r="U24" s="106"/>
      <c r="V24" s="106"/>
      <c r="W24" s="106"/>
      <c r="X24" s="107"/>
      <c r="Y24" s="107"/>
      <c r="Z24" s="107"/>
      <c r="AA24" s="108"/>
    </row>
    <row r="25" spans="1:27" ht="14.1" customHeight="1" x14ac:dyDescent="0.2">
      <c r="A25" s="1978">
        <v>62014</v>
      </c>
      <c r="B25" s="1979"/>
      <c r="C25" s="1979"/>
      <c r="D25" s="1979"/>
      <c r="E25" s="1979"/>
      <c r="F25" s="1979"/>
      <c r="G25" s="1979"/>
      <c r="H25" s="1980"/>
      <c r="I25" s="113"/>
      <c r="J25" s="2045"/>
      <c r="K25" s="2045"/>
      <c r="L25" s="2045"/>
      <c r="M25" s="2045"/>
      <c r="N25" s="2045"/>
      <c r="O25" s="2045"/>
      <c r="P25" s="2045"/>
      <c r="Q25" s="2045"/>
      <c r="R25" s="2045"/>
      <c r="S25" s="2046"/>
      <c r="T25" s="1938" t="s">
        <v>2077</v>
      </c>
      <c r="U25" s="1939"/>
      <c r="V25" s="1939"/>
      <c r="W25" s="1939"/>
      <c r="X25" s="1939"/>
      <c r="Y25" s="1939"/>
      <c r="Z25" s="1939"/>
      <c r="AA25" s="19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6" t="s">
        <v>1511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2"/>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1" t="s">
        <v>2078</v>
      </c>
      <c r="B38" s="2011"/>
      <c r="C38" s="2011"/>
      <c r="D38" s="2011"/>
      <c r="E38" s="2011"/>
      <c r="F38" s="1979"/>
      <c r="G38" s="1979"/>
      <c r="H38" s="1980"/>
      <c r="I38" s="2030"/>
      <c r="J38" s="1950"/>
      <c r="K38" s="1950"/>
      <c r="L38" s="1950"/>
      <c r="M38" s="1950"/>
      <c r="N38" s="1950"/>
      <c r="O38" s="1950"/>
      <c r="P38" s="1951"/>
      <c r="Q38" s="1951"/>
      <c r="R38" s="1951"/>
      <c r="S38" s="1952"/>
      <c r="T38" s="1949" t="s">
        <v>2081</v>
      </c>
      <c r="U38" s="1950"/>
      <c r="V38" s="1950"/>
      <c r="W38" s="1950"/>
      <c r="X38" s="1951"/>
      <c r="Y38" s="1951"/>
      <c r="Z38" s="1951"/>
      <c r="AA38" s="1952"/>
    </row>
    <row r="39" spans="1:27" ht="12" customHeight="1" x14ac:dyDescent="0.2">
      <c r="A39" s="2034" t="s">
        <v>531</v>
      </c>
      <c r="B39" s="2035"/>
      <c r="C39" s="72"/>
      <c r="D39" s="69"/>
      <c r="E39" s="69"/>
      <c r="F39" s="79"/>
      <c r="G39" s="69"/>
      <c r="H39" s="56"/>
      <c r="I39" s="2034" t="s">
        <v>531</v>
      </c>
      <c r="J39" s="2035"/>
      <c r="K39" s="2035"/>
      <c r="L39" s="2035"/>
      <c r="M39" s="2035"/>
      <c r="N39" s="67"/>
      <c r="O39" s="72"/>
      <c r="P39" s="72"/>
      <c r="Q39" s="78"/>
      <c r="R39" s="72"/>
      <c r="S39" s="56"/>
      <c r="T39" s="72" t="s">
        <v>531</v>
      </c>
      <c r="U39" s="51"/>
      <c r="V39" s="72"/>
      <c r="W39" s="50"/>
      <c r="X39" s="78"/>
      <c r="Y39" s="45"/>
      <c r="Z39" s="45"/>
      <c r="AA39" s="46"/>
    </row>
    <row r="40" spans="1:27" ht="13.5" customHeight="1" x14ac:dyDescent="0.2">
      <c r="A40" s="2037" t="s">
        <v>2068</v>
      </c>
      <c r="B40" s="2038"/>
      <c r="C40" s="2039"/>
      <c r="D40" s="2039"/>
      <c r="E40" s="2039"/>
      <c r="F40" s="2040"/>
      <c r="G40" s="2040"/>
      <c r="H40" s="2041"/>
      <c r="I40" s="1953"/>
      <c r="J40" s="1955"/>
      <c r="K40" s="1955"/>
      <c r="L40" s="1955"/>
      <c r="M40" s="1955"/>
      <c r="N40" s="1955"/>
      <c r="O40" s="1955"/>
      <c r="P40" s="1955"/>
      <c r="Q40" s="1955"/>
      <c r="R40" s="1955"/>
      <c r="S40" s="1956"/>
      <c r="T40" s="1953" t="s">
        <v>2082</v>
      </c>
      <c r="U40" s="1954"/>
      <c r="V40" s="1955"/>
      <c r="W40" s="1955"/>
      <c r="X40" s="1955"/>
      <c r="Y40" s="1955"/>
      <c r="Z40" s="1955"/>
      <c r="AA40" s="195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7" t="s">
        <v>2079</v>
      </c>
      <c r="B42" s="2028"/>
      <c r="C42" s="2029"/>
      <c r="D42" s="2042" t="s">
        <v>2080</v>
      </c>
      <c r="E42" s="2028"/>
      <c r="F42" s="2028"/>
      <c r="G42" s="2028"/>
      <c r="H42" s="2029"/>
      <c r="I42" s="1948"/>
      <c r="J42" s="1944"/>
      <c r="K42" s="1944"/>
      <c r="L42" s="1944"/>
      <c r="M42" s="1944"/>
      <c r="N42" s="1944"/>
      <c r="O42" s="1945"/>
      <c r="P42" s="1943"/>
      <c r="Q42" s="1944"/>
      <c r="R42" s="1944"/>
      <c r="S42" s="1945"/>
      <c r="T42" s="1948" t="s">
        <v>2083</v>
      </c>
      <c r="U42" s="1944"/>
      <c r="V42" s="1944"/>
      <c r="W42" s="1945"/>
      <c r="X42" s="1943" t="s">
        <v>2084</v>
      </c>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1"/>
      <c r="B44" s="2032"/>
      <c r="C44" s="2032"/>
      <c r="D44" s="2032"/>
      <c r="E44" s="2032"/>
      <c r="F44" s="2032"/>
      <c r="G44" s="2032"/>
      <c r="H44" s="2033"/>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82" sqref="D8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1071630</v>
      </c>
      <c r="C4" s="1524">
        <v>402</v>
      </c>
      <c r="D4" s="1752">
        <f>B4-C4</f>
        <v>1071228</v>
      </c>
      <c r="E4" s="1524">
        <v>1118797</v>
      </c>
      <c r="F4" s="1752">
        <f>E4-C4</f>
        <v>1118395</v>
      </c>
    </row>
    <row r="5" spans="1:6" ht="13.7" customHeight="1" x14ac:dyDescent="0.2">
      <c r="A5" s="715" t="s">
        <v>870</v>
      </c>
      <c r="B5" s="1750">
        <f>'Revenues 9-14'!D5</f>
        <v>269315</v>
      </c>
      <c r="C5" s="585">
        <v>101</v>
      </c>
      <c r="D5" s="1753">
        <f t="shared" ref="D5:D18" si="0">B5-C5</f>
        <v>269214</v>
      </c>
      <c r="E5" s="585">
        <v>275772</v>
      </c>
      <c r="F5" s="1753">
        <f>E5-C5</f>
        <v>275671</v>
      </c>
    </row>
    <row r="6" spans="1:6" ht="13.7" customHeight="1" x14ac:dyDescent="0.2">
      <c r="A6" s="715" t="s">
        <v>411</v>
      </c>
      <c r="B6" s="1750">
        <f>'Revenues 9-14'!E5</f>
        <v>18246</v>
      </c>
      <c r="C6" s="585">
        <v>8</v>
      </c>
      <c r="D6" s="1753">
        <f t="shared" si="0"/>
        <v>18238</v>
      </c>
      <c r="E6" s="585">
        <v>20395</v>
      </c>
      <c r="F6" s="1753">
        <f t="shared" ref="F6:F18" si="1">E6-C6</f>
        <v>20387</v>
      </c>
    </row>
    <row r="7" spans="1:6" ht="13.7" customHeight="1" x14ac:dyDescent="0.2">
      <c r="A7" s="715" t="s">
        <v>155</v>
      </c>
      <c r="B7" s="1750">
        <f>'Revenues 9-14'!F5</f>
        <v>107724</v>
      </c>
      <c r="C7" s="585">
        <v>40</v>
      </c>
      <c r="D7" s="1753">
        <f t="shared" si="0"/>
        <v>107684</v>
      </c>
      <c r="E7" s="585">
        <v>112454</v>
      </c>
      <c r="F7" s="1753">
        <f t="shared" si="1"/>
        <v>112414</v>
      </c>
    </row>
    <row r="8" spans="1:6" ht="13.7" customHeight="1" x14ac:dyDescent="0.2">
      <c r="A8" s="715" t="s">
        <v>1179</v>
      </c>
      <c r="B8" s="1750">
        <f>'Revenues 9-14'!G5</f>
        <v>44928</v>
      </c>
      <c r="C8" s="585">
        <v>18</v>
      </c>
      <c r="D8" s="1753">
        <f t="shared" si="0"/>
        <v>44910</v>
      </c>
      <c r="E8" s="585">
        <v>45584</v>
      </c>
      <c r="F8" s="1753">
        <f t="shared" si="1"/>
        <v>45566</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26661</v>
      </c>
      <c r="C10" s="585">
        <v>10</v>
      </c>
      <c r="D10" s="1753">
        <f t="shared" si="0"/>
        <v>26651</v>
      </c>
      <c r="E10" s="585">
        <v>26469</v>
      </c>
      <c r="F10" s="1753">
        <f t="shared" si="1"/>
        <v>26459</v>
      </c>
    </row>
    <row r="11" spans="1:6" x14ac:dyDescent="0.2">
      <c r="A11" s="715" t="s">
        <v>409</v>
      </c>
      <c r="B11" s="1750">
        <f>'Revenues 9-14'!J5</f>
        <v>319478</v>
      </c>
      <c r="C11" s="585">
        <v>125</v>
      </c>
      <c r="D11" s="1753">
        <f t="shared" si="0"/>
        <v>319353</v>
      </c>
      <c r="E11" s="585">
        <v>324165</v>
      </c>
      <c r="F11" s="1753">
        <f t="shared" si="1"/>
        <v>324040</v>
      </c>
    </row>
    <row r="12" spans="1:6" ht="13.7" customHeight="1" x14ac:dyDescent="0.2">
      <c r="A12" s="715" t="s">
        <v>157</v>
      </c>
      <c r="B12" s="1750">
        <f>'Revenues 9-14'!K5</f>
        <v>26934</v>
      </c>
      <c r="C12" s="585">
        <v>10</v>
      </c>
      <c r="D12" s="1753">
        <f t="shared" si="0"/>
        <v>26924</v>
      </c>
      <c r="E12" s="585">
        <v>27575</v>
      </c>
      <c r="F12" s="1753">
        <f t="shared" si="1"/>
        <v>27565</v>
      </c>
    </row>
    <row r="13" spans="1:6" ht="13.7" customHeight="1" x14ac:dyDescent="0.2">
      <c r="A13" s="715" t="s">
        <v>936</v>
      </c>
      <c r="B13" s="1750">
        <f>SUM('Revenues 9-14'!C6:D6)</f>
        <v>26934</v>
      </c>
      <c r="C13" s="585">
        <v>10</v>
      </c>
      <c r="D13" s="1753">
        <f t="shared" si="0"/>
        <v>26924</v>
      </c>
      <c r="E13" s="585">
        <v>27713</v>
      </c>
      <c r="F13" s="1753">
        <f t="shared" si="1"/>
        <v>27703</v>
      </c>
    </row>
    <row r="14" spans="1:6" ht="13.7" customHeight="1" x14ac:dyDescent="0.2">
      <c r="A14" s="715" t="s">
        <v>410</v>
      </c>
      <c r="B14" s="1750">
        <f>SUM('Revenues 9-14'!C7:D7,'Revenues 9-14'!F7:H7)</f>
        <v>21544</v>
      </c>
      <c r="C14" s="585">
        <v>8</v>
      </c>
      <c r="D14" s="1753">
        <f t="shared" si="0"/>
        <v>21536</v>
      </c>
      <c r="E14" s="585">
        <v>22170</v>
      </c>
      <c r="F14" s="1753">
        <f t="shared" si="1"/>
        <v>22162</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62902</v>
      </c>
      <c r="C16" s="585">
        <v>25</v>
      </c>
      <c r="D16" s="1753">
        <f t="shared" si="0"/>
        <v>62877</v>
      </c>
      <c r="E16" s="585">
        <v>63824</v>
      </c>
      <c r="F16" s="1753">
        <f t="shared" si="1"/>
        <v>63799</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1996296</v>
      </c>
      <c r="C19" s="1751">
        <f>SUM(C4:C18)</f>
        <v>757</v>
      </c>
      <c r="D19" s="1751">
        <f>SUM(D4:D18)</f>
        <v>1995539</v>
      </c>
      <c r="E19" s="1751">
        <f>SUM(E4:E18)</f>
        <v>2064918</v>
      </c>
      <c r="F19" s="1751">
        <f>SUM(F4:F18)</f>
        <v>2064161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1" colorId="8" zoomScale="110" zoomScaleNormal="110" workbookViewId="0">
      <selection activeCell="D82" sqref="D8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6" t="s">
        <v>629</v>
      </c>
      <c r="B1" s="2187"/>
      <c r="C1" s="721"/>
    </row>
    <row r="2" spans="1:7" ht="33.75" x14ac:dyDescent="0.2">
      <c r="A2" s="2195" t="s">
        <v>1802</v>
      </c>
      <c r="B2" s="2196"/>
      <c r="C2" s="1884" t="s">
        <v>1956</v>
      </c>
      <c r="D2" s="723" t="s">
        <v>1957</v>
      </c>
      <c r="E2" s="723" t="s">
        <v>1958</v>
      </c>
      <c r="F2" s="1884" t="s">
        <v>1959</v>
      </c>
    </row>
    <row r="3" spans="1:7" ht="15.75" customHeight="1" x14ac:dyDescent="0.2">
      <c r="A3" s="2199" t="s">
        <v>1114</v>
      </c>
      <c r="B3" s="2200"/>
      <c r="C3" s="2188"/>
      <c r="D3" s="2189"/>
      <c r="E3" s="2189"/>
      <c r="F3" s="2190"/>
    </row>
    <row r="4" spans="1:7" ht="12.75" customHeight="1" thickBot="1" x14ac:dyDescent="0.25">
      <c r="A4" s="2197" t="s">
        <v>630</v>
      </c>
      <c r="B4" s="2198"/>
      <c r="C4" s="581"/>
      <c r="D4" s="581"/>
      <c r="E4" s="581"/>
      <c r="F4" s="1755">
        <f>SUM(C4+D4)-E4</f>
        <v>0</v>
      </c>
    </row>
    <row r="5" spans="1:7" ht="15.75" customHeight="1" thickTop="1" x14ac:dyDescent="0.2">
      <c r="A5" s="2182" t="s">
        <v>1110</v>
      </c>
      <c r="B5" s="2183"/>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4" t="s">
        <v>631</v>
      </c>
      <c r="B15" s="2185"/>
      <c r="C15" s="1755">
        <f>SUM(C6:C14)</f>
        <v>0</v>
      </c>
      <c r="D15" s="1755">
        <f>SUM(D6:D14)</f>
        <v>0</v>
      </c>
      <c r="E15" s="1755">
        <f>SUM(E6:E14)</f>
        <v>0</v>
      </c>
      <c r="F15" s="1755">
        <f>SUM(F6:F14)</f>
        <v>0</v>
      </c>
      <c r="G15" s="552"/>
    </row>
    <row r="16" spans="1:7" s="202" customFormat="1" ht="15.75" customHeight="1" thickTop="1" x14ac:dyDescent="0.2">
      <c r="A16" s="2194" t="s">
        <v>1111</v>
      </c>
      <c r="B16" s="2183"/>
      <c r="C16" s="2191"/>
      <c r="D16" s="2192"/>
      <c r="E16" s="2192"/>
      <c r="F16" s="2193"/>
    </row>
    <row r="17" spans="1:11" ht="12.75" customHeight="1" thickBot="1" x14ac:dyDescent="0.25">
      <c r="A17" s="2207" t="s">
        <v>64</v>
      </c>
      <c r="B17" s="2208"/>
      <c r="C17" s="726"/>
      <c r="D17" s="585"/>
      <c r="E17" s="726"/>
      <c r="F17" s="1755">
        <f>SUM(C17+D17)-E17</f>
        <v>0</v>
      </c>
    </row>
    <row r="18" spans="1:11" ht="12.75" customHeight="1" thickTop="1" thickBot="1" x14ac:dyDescent="0.25">
      <c r="A18" s="2207" t="s">
        <v>6</v>
      </c>
      <c r="B18" s="2208"/>
      <c r="C18" s="726"/>
      <c r="D18" s="585"/>
      <c r="E18" s="726"/>
      <c r="F18" s="1755">
        <f>SUM(C18+D18)-E18</f>
        <v>0</v>
      </c>
    </row>
    <row r="19" spans="1:11" ht="12.75" customHeight="1" thickTop="1" thickBot="1" x14ac:dyDescent="0.25">
      <c r="A19" s="2207" t="s">
        <v>388</v>
      </c>
      <c r="B19" s="2208"/>
      <c r="C19" s="726"/>
      <c r="D19" s="585"/>
      <c r="E19" s="726"/>
      <c r="F19" s="1755">
        <f>SUM(C19+D19)-E19</f>
        <v>0</v>
      </c>
    </row>
    <row r="20" spans="1:11" ht="12.75" customHeight="1" thickTop="1" thickBot="1" x14ac:dyDescent="0.25">
      <c r="A20" s="2207" t="s">
        <v>448</v>
      </c>
      <c r="B20" s="2208"/>
      <c r="C20" s="726"/>
      <c r="D20" s="585"/>
      <c r="E20" s="726"/>
      <c r="F20" s="1755">
        <f>SUM(C20+D20)-E20</f>
        <v>0</v>
      </c>
    </row>
    <row r="21" spans="1:11" ht="14.25" thickTop="1" thickBot="1" x14ac:dyDescent="0.25">
      <c r="A21" s="2184" t="s">
        <v>632</v>
      </c>
      <c r="B21" s="2185"/>
      <c r="C21" s="1755">
        <f>SUM(C17:C20)</f>
        <v>0</v>
      </c>
      <c r="D21" s="1755">
        <f>SUM(D17:D20)</f>
        <v>0</v>
      </c>
      <c r="E21" s="1755">
        <f>SUM(E17:E20)</f>
        <v>0</v>
      </c>
      <c r="F21" s="1755">
        <f>SUM(F17:F20)</f>
        <v>0</v>
      </c>
      <c r="G21" s="552"/>
    </row>
    <row r="22" spans="1:11" ht="15.75" customHeight="1" thickTop="1" x14ac:dyDescent="0.2">
      <c r="A22" s="2209" t="s">
        <v>1112</v>
      </c>
      <c r="B22" s="2183"/>
      <c r="C22" s="2191"/>
      <c r="D22" s="2192"/>
      <c r="E22" s="2192"/>
      <c r="F22" s="2193"/>
    </row>
    <row r="23" spans="1:11" ht="13.5" thickBot="1" x14ac:dyDescent="0.25">
      <c r="A23" s="2197" t="s">
        <v>633</v>
      </c>
      <c r="B23" s="2198"/>
      <c r="C23" s="581"/>
      <c r="D23" s="581"/>
      <c r="E23" s="581"/>
      <c r="F23" s="1755">
        <f>SUM(C23+D23)-E23</f>
        <v>0</v>
      </c>
      <c r="G23" s="552"/>
    </row>
    <row r="24" spans="1:11" ht="15.75" customHeight="1" thickTop="1" x14ac:dyDescent="0.2">
      <c r="A24" s="2209" t="s">
        <v>1113</v>
      </c>
      <c r="B24" s="2183"/>
      <c r="C24" s="2191"/>
      <c r="D24" s="2192"/>
      <c r="E24" s="2192"/>
      <c r="F24" s="2193"/>
    </row>
    <row r="25" spans="1:11" ht="13.5" thickBot="1" x14ac:dyDescent="0.25">
      <c r="A25" s="2197" t="s">
        <v>634</v>
      </c>
      <c r="B25" s="2198"/>
      <c r="C25" s="581"/>
      <c r="D25" s="581"/>
      <c r="E25" s="581"/>
      <c r="F25" s="1755">
        <f>SUM(C25+D25)-E25</f>
        <v>0</v>
      </c>
      <c r="G25" s="552"/>
    </row>
    <row r="26" spans="1:11" ht="15.75" customHeight="1" thickTop="1" x14ac:dyDescent="0.2">
      <c r="A26" s="2182" t="s">
        <v>657</v>
      </c>
      <c r="B26" s="2183"/>
      <c r="C26" s="727"/>
      <c r="D26" s="727"/>
      <c r="E26" s="727"/>
      <c r="F26" s="728"/>
    </row>
    <row r="27" spans="1:11" ht="13.5" thickBot="1" x14ac:dyDescent="0.25">
      <c r="A27" s="2184" t="s">
        <v>1070</v>
      </c>
      <c r="B27" s="2185"/>
      <c r="C27" s="585"/>
      <c r="D27" s="585"/>
      <c r="E27" s="585"/>
      <c r="F27" s="1755">
        <f>SUM(C27+D27)-E27</f>
        <v>0</v>
      </c>
      <c r="G27" s="552"/>
    </row>
    <row r="28" spans="1:11" ht="7.5" customHeight="1" thickTop="1" x14ac:dyDescent="0.2">
      <c r="A28" s="593"/>
    </row>
    <row r="29" spans="1:11" ht="23.25" customHeight="1" x14ac:dyDescent="0.2">
      <c r="A29" s="2210" t="s">
        <v>582</v>
      </c>
      <c r="B29" s="2187"/>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2085</v>
      </c>
      <c r="B31" s="733">
        <v>42398</v>
      </c>
      <c r="C31" s="734">
        <v>765000</v>
      </c>
      <c r="D31" s="735">
        <v>4</v>
      </c>
      <c r="E31" s="734">
        <v>733000</v>
      </c>
      <c r="F31" s="734"/>
      <c r="G31" s="734"/>
      <c r="H31" s="734">
        <v>32000</v>
      </c>
      <c r="I31" s="1756">
        <f>((E31+F31)-H31)+G31</f>
        <v>701000</v>
      </c>
      <c r="J31" s="734">
        <v>495691</v>
      </c>
      <c r="K31" s="736"/>
    </row>
    <row r="32" spans="1:11" ht="12" customHeight="1" x14ac:dyDescent="0.2">
      <c r="A32" s="732" t="s">
        <v>2086</v>
      </c>
      <c r="B32" s="733">
        <v>43138</v>
      </c>
      <c r="C32" s="734">
        <v>1500000</v>
      </c>
      <c r="D32" s="735">
        <v>4</v>
      </c>
      <c r="E32" s="734">
        <v>1500000</v>
      </c>
      <c r="F32" s="734"/>
      <c r="G32" s="734"/>
      <c r="H32" s="734">
        <v>58000</v>
      </c>
      <c r="I32" s="1756">
        <f>((E32+F32)-H32)+G32</f>
        <v>1442000</v>
      </c>
      <c r="J32" s="734">
        <v>1442000</v>
      </c>
      <c r="K32" s="736"/>
    </row>
    <row r="33" spans="1:11" ht="12" customHeight="1" x14ac:dyDescent="0.2">
      <c r="A33" s="732" t="s">
        <v>2094</v>
      </c>
      <c r="B33" s="733">
        <v>42913</v>
      </c>
      <c r="C33" s="734">
        <v>294768</v>
      </c>
      <c r="D33" s="735">
        <v>7</v>
      </c>
      <c r="E33" s="734">
        <v>246165</v>
      </c>
      <c r="F33" s="734"/>
      <c r="G33" s="734"/>
      <c r="H33" s="734">
        <v>41975</v>
      </c>
      <c r="I33" s="1756">
        <f t="shared" ref="I33:I48" si="1">((E33+F33)-H33)+G33</f>
        <v>204190</v>
      </c>
      <c r="J33" s="734">
        <v>204190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2559768</v>
      </c>
      <c r="D49" s="745"/>
      <c r="E49" s="1756">
        <f t="shared" ref="E49:J49" si="2">SUM(E31:E48)</f>
        <v>2479165</v>
      </c>
      <c r="F49" s="1756">
        <f t="shared" si="2"/>
        <v>0</v>
      </c>
      <c r="G49" s="1756">
        <f t="shared" si="2"/>
        <v>0</v>
      </c>
      <c r="H49" s="1756">
        <f t="shared" si="2"/>
        <v>131975</v>
      </c>
      <c r="I49" s="1756">
        <f t="shared" si="2"/>
        <v>2347190</v>
      </c>
      <c r="J49" s="1756">
        <f t="shared" si="2"/>
        <v>2141881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1" t="s">
        <v>584</v>
      </c>
      <c r="C52" s="2202"/>
      <c r="D52" s="2202"/>
      <c r="E52" s="749" t="s">
        <v>845</v>
      </c>
      <c r="F52" s="2203" t="s">
        <v>2095</v>
      </c>
      <c r="G52" s="2204"/>
      <c r="H52" s="736"/>
      <c r="I52" s="736"/>
      <c r="J52" s="746"/>
    </row>
    <row r="53" spans="1:11" ht="11.25" customHeight="1" x14ac:dyDescent="0.2">
      <c r="A53" s="750" t="s">
        <v>913</v>
      </c>
      <c r="B53" s="751" t="s">
        <v>951</v>
      </c>
      <c r="C53" s="746"/>
      <c r="D53" s="737"/>
      <c r="E53" s="749" t="s">
        <v>497</v>
      </c>
      <c r="F53" s="2205"/>
      <c r="G53" s="2206"/>
      <c r="H53" s="736"/>
      <c r="I53" s="736"/>
      <c r="J53" s="746"/>
    </row>
    <row r="54" spans="1:11" ht="11.25" customHeight="1" x14ac:dyDescent="0.2">
      <c r="A54" s="752" t="s">
        <v>914</v>
      </c>
      <c r="B54" s="747" t="s">
        <v>952</v>
      </c>
      <c r="C54" s="746"/>
      <c r="D54" s="737"/>
      <c r="E54" s="749" t="s">
        <v>498</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3" colorId="8" zoomScale="110" zoomScaleNormal="110" workbookViewId="0">
      <selection activeCell="D82" sqref="D8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30"/>
      <c r="I1" s="760"/>
      <c r="J1" s="433"/>
    </row>
    <row r="2" spans="1:11" ht="26.25" x14ac:dyDescent="0.2">
      <c r="A2" s="2214" t="s">
        <v>1677</v>
      </c>
      <c r="B2" s="2215"/>
      <c r="C2" s="2215"/>
      <c r="D2" s="2215"/>
      <c r="E2" s="2216"/>
      <c r="F2" s="761" t="s">
        <v>904</v>
      </c>
      <c r="G2" s="762" t="s">
        <v>1674</v>
      </c>
      <c r="H2" s="762" t="s">
        <v>410</v>
      </c>
      <c r="I2" s="762" t="s">
        <v>1158</v>
      </c>
      <c r="J2" s="762" t="s">
        <v>1812</v>
      </c>
      <c r="K2" s="762" t="s">
        <v>138</v>
      </c>
    </row>
    <row r="3" spans="1:11" x14ac:dyDescent="0.2">
      <c r="A3" s="2217" t="s">
        <v>1964</v>
      </c>
      <c r="B3" s="2218"/>
      <c r="C3" s="2218"/>
      <c r="D3" s="2218"/>
      <c r="E3" s="2219"/>
      <c r="F3" s="763"/>
      <c r="G3" s="764"/>
      <c r="H3" s="764"/>
      <c r="I3" s="764"/>
      <c r="J3" s="765">
        <v>261288</v>
      </c>
      <c r="K3" s="765"/>
    </row>
    <row r="4" spans="1:11" x14ac:dyDescent="0.2">
      <c r="A4" s="2220" t="s">
        <v>369</v>
      </c>
      <c r="B4" s="2221"/>
      <c r="C4" s="2221"/>
      <c r="D4" s="2221"/>
      <c r="E4" s="2202"/>
      <c r="F4" s="766"/>
      <c r="G4" s="767"/>
      <c r="H4" s="768"/>
      <c r="I4" s="767"/>
      <c r="J4" s="769"/>
      <c r="K4" s="769"/>
    </row>
    <row r="5" spans="1:11" x14ac:dyDescent="0.2">
      <c r="A5" s="2238" t="s">
        <v>1069</v>
      </c>
      <c r="B5" s="2211"/>
      <c r="C5" s="2211"/>
      <c r="D5" s="2211"/>
      <c r="E5" s="2239"/>
      <c r="F5" s="770" t="s">
        <v>848</v>
      </c>
      <c r="G5" s="771"/>
      <c r="H5" s="764">
        <v>21544</v>
      </c>
      <c r="I5" s="772"/>
      <c r="J5" s="773"/>
      <c r="K5" s="773"/>
    </row>
    <row r="6" spans="1:11" x14ac:dyDescent="0.2">
      <c r="A6" s="774" t="s">
        <v>720</v>
      </c>
      <c r="B6" s="775"/>
      <c r="C6" s="775"/>
      <c r="D6" s="775"/>
      <c r="E6" s="776"/>
      <c r="F6" s="777" t="s">
        <v>849</v>
      </c>
      <c r="G6" s="764"/>
      <c r="H6" s="764"/>
      <c r="I6" s="764"/>
      <c r="J6" s="765">
        <v>920</v>
      </c>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48502</v>
      </c>
      <c r="K8" s="769"/>
    </row>
    <row r="9" spans="1:11" x14ac:dyDescent="0.2">
      <c r="A9" s="778" t="s">
        <v>138</v>
      </c>
      <c r="B9" s="779"/>
      <c r="C9" s="779"/>
      <c r="D9" s="779"/>
      <c r="E9" s="780"/>
      <c r="F9" s="777" t="s">
        <v>853</v>
      </c>
      <c r="G9" s="782"/>
      <c r="H9" s="771"/>
      <c r="I9" s="771"/>
      <c r="J9" s="781"/>
      <c r="K9" s="765">
        <v>7488</v>
      </c>
    </row>
    <row r="10" spans="1:11" x14ac:dyDescent="0.2">
      <c r="A10" s="2238" t="s">
        <v>1813</v>
      </c>
      <c r="B10" s="2211"/>
      <c r="C10" s="2211"/>
      <c r="D10" s="2211"/>
      <c r="E10" s="2240"/>
      <c r="F10" s="783" t="s">
        <v>862</v>
      </c>
      <c r="G10" s="782"/>
      <c r="H10" s="784"/>
      <c r="I10" s="764"/>
      <c r="J10" s="765"/>
      <c r="K10" s="765"/>
    </row>
    <row r="11" spans="1:11" x14ac:dyDescent="0.2">
      <c r="A11" s="2238" t="s">
        <v>160</v>
      </c>
      <c r="B11" s="2211"/>
      <c r="C11" s="2211"/>
      <c r="D11" s="2211"/>
      <c r="E11" s="2239"/>
      <c r="F11" s="770" t="s">
        <v>852</v>
      </c>
      <c r="G11" s="771"/>
      <c r="H11" s="764"/>
      <c r="I11" s="764"/>
      <c r="J11" s="765"/>
      <c r="K11" s="773"/>
    </row>
    <row r="12" spans="1:11" ht="13.5" thickBot="1" x14ac:dyDescent="0.25">
      <c r="A12" s="2228" t="s">
        <v>905</v>
      </c>
      <c r="B12" s="2229"/>
      <c r="C12" s="2229"/>
      <c r="D12" s="2229"/>
      <c r="E12" s="2230"/>
      <c r="F12" s="1757"/>
      <c r="G12" s="1758">
        <f>SUM(G5:G11)</f>
        <v>0</v>
      </c>
      <c r="H12" s="1758">
        <f>SUM(H5:H11)</f>
        <v>21544</v>
      </c>
      <c r="I12" s="1758">
        <f>SUM(I5:I11)</f>
        <v>0</v>
      </c>
      <c r="J12" s="1758">
        <f>SUM(J5:J11)</f>
        <v>49422</v>
      </c>
      <c r="K12" s="1758">
        <f>SUM(K5:K11)</f>
        <v>7488</v>
      </c>
    </row>
    <row r="13" spans="1:11" ht="13.5" thickTop="1" x14ac:dyDescent="0.2">
      <c r="A13" s="2222" t="s">
        <v>370</v>
      </c>
      <c r="B13" s="2223"/>
      <c r="C13" s="2223"/>
      <c r="D13" s="2223"/>
      <c r="E13" s="2224"/>
      <c r="F13" s="785"/>
      <c r="G13" s="786"/>
      <c r="H13" s="787"/>
      <c r="I13" s="788"/>
      <c r="J13" s="788"/>
      <c r="K13" s="788"/>
    </row>
    <row r="14" spans="1:11" x14ac:dyDescent="0.2">
      <c r="A14" s="2244" t="s">
        <v>456</v>
      </c>
      <c r="B14" s="2244"/>
      <c r="C14" s="2244"/>
      <c r="D14" s="2244"/>
      <c r="E14" s="2245"/>
      <c r="F14" s="789" t="s">
        <v>854</v>
      </c>
      <c r="G14" s="782"/>
      <c r="H14" s="764">
        <v>21544</v>
      </c>
      <c r="I14" s="771"/>
      <c r="J14" s="773"/>
      <c r="K14" s="765">
        <v>7488</v>
      </c>
    </row>
    <row r="15" spans="1:11" x14ac:dyDescent="0.2">
      <c r="A15" s="2211" t="s">
        <v>4</v>
      </c>
      <c r="B15" s="2211"/>
      <c r="C15" s="2211"/>
      <c r="D15" s="2211"/>
      <c r="E15" s="2239"/>
      <c r="F15" s="789" t="s">
        <v>855</v>
      </c>
      <c r="G15" s="771"/>
      <c r="H15" s="764"/>
      <c r="I15" s="764"/>
      <c r="J15" s="765">
        <v>126492</v>
      </c>
      <c r="K15" s="765"/>
    </row>
    <row r="16" spans="1:11" x14ac:dyDescent="0.2">
      <c r="A16" s="2211" t="s">
        <v>298</v>
      </c>
      <c r="B16" s="2211"/>
      <c r="C16" s="2211"/>
      <c r="D16" s="2211"/>
      <c r="E16" s="2239"/>
      <c r="F16" s="789" t="s">
        <v>923</v>
      </c>
      <c r="G16" s="772"/>
      <c r="H16" s="767"/>
      <c r="I16" s="767"/>
      <c r="J16" s="769"/>
      <c r="K16" s="769"/>
    </row>
    <row r="17" spans="1:11" x14ac:dyDescent="0.2">
      <c r="A17" s="2233" t="s">
        <v>935</v>
      </c>
      <c r="B17" s="2233"/>
      <c r="C17" s="2233"/>
      <c r="D17" s="2233"/>
      <c r="E17" s="2234"/>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46" t="s">
        <v>1809</v>
      </c>
      <c r="B19" s="2246"/>
      <c r="C19" s="2246"/>
      <c r="D19" s="2246"/>
      <c r="E19" s="2247"/>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31" t="s">
        <v>638</v>
      </c>
      <c r="B21" s="2231"/>
      <c r="C21" s="2231"/>
      <c r="D21" s="2231"/>
      <c r="E21" s="2231"/>
      <c r="F21" s="1759"/>
      <c r="G21" s="792"/>
      <c r="H21" s="796"/>
      <c r="I21" s="796"/>
      <c r="J21" s="1760">
        <f>SUM(J18:J20)</f>
        <v>0</v>
      </c>
      <c r="K21" s="793"/>
    </row>
    <row r="22" spans="1:11" ht="13.5" thickTop="1" x14ac:dyDescent="0.2">
      <c r="A22" s="2211" t="s">
        <v>1815</v>
      </c>
      <c r="B22" s="2211"/>
      <c r="C22" s="2211"/>
      <c r="D22" s="2211"/>
      <c r="E22" s="2239"/>
      <c r="F22" s="789" t="s">
        <v>862</v>
      </c>
      <c r="G22" s="782"/>
      <c r="H22" s="764"/>
      <c r="I22" s="764"/>
      <c r="J22" s="797"/>
      <c r="K22" s="765"/>
    </row>
    <row r="23" spans="1:11" ht="13.5" thickBot="1" x14ac:dyDescent="0.25">
      <c r="A23" s="2232" t="s">
        <v>906</v>
      </c>
      <c r="B23" s="2231"/>
      <c r="C23" s="2231"/>
      <c r="D23" s="2231"/>
      <c r="E23" s="2231"/>
      <c r="F23" s="1761"/>
      <c r="G23" s="1758">
        <f>SUM(G14:G16,G21,G22)</f>
        <v>0</v>
      </c>
      <c r="H23" s="1758">
        <f>SUM(H14:H16,H21,H22)</f>
        <v>21544</v>
      </c>
      <c r="I23" s="1758">
        <f>SUM(I14:I16,I21,I22)</f>
        <v>0</v>
      </c>
      <c r="J23" s="1758">
        <f>SUM(J14:J16,J21,J22)</f>
        <v>126492</v>
      </c>
      <c r="K23" s="1758">
        <f>SUM(K14:K16,K21,K22)</f>
        <v>7488</v>
      </c>
    </row>
    <row r="24" spans="1:11" ht="14.25" thickTop="1" thickBot="1" x14ac:dyDescent="0.25">
      <c r="A24" s="2232" t="s">
        <v>1965</v>
      </c>
      <c r="B24" s="2231"/>
      <c r="C24" s="2231"/>
      <c r="D24" s="2231"/>
      <c r="E24" s="2231"/>
      <c r="F24" s="1762"/>
      <c r="G24" s="1763">
        <f>SUM(G3,G12)-G23</f>
        <v>0</v>
      </c>
      <c r="H24" s="1763">
        <f>SUM(H3,H12)-H23</f>
        <v>0</v>
      </c>
      <c r="I24" s="1763">
        <f>SUM(I3,I12)-I23</f>
        <v>0</v>
      </c>
      <c r="J24" s="1763">
        <f>SUM(J3,J12)-J23</f>
        <v>184218</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184218</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1"/>
      <c r="I31" s="2242"/>
      <c r="J31" s="2242"/>
      <c r="K31" s="2242"/>
    </row>
    <row r="32" spans="1:11" x14ac:dyDescent="0.2">
      <c r="A32" s="809"/>
      <c r="B32" s="237"/>
      <c r="C32" s="237"/>
      <c r="D32" s="237"/>
      <c r="E32" s="805"/>
      <c r="F32" s="811" t="s">
        <v>540</v>
      </c>
      <c r="G32" s="764"/>
      <c r="H32" s="2243"/>
      <c r="I32" s="2242"/>
      <c r="J32" s="2242"/>
      <c r="K32" s="2242"/>
    </row>
    <row r="33" spans="1:11" ht="1.5" customHeight="1" x14ac:dyDescent="0.2">
      <c r="A33" s="812" t="s">
        <v>1169</v>
      </c>
      <c r="B33" s="364"/>
      <c r="C33" s="364"/>
      <c r="D33" s="364"/>
      <c r="E33" s="364"/>
      <c r="F33" s="364"/>
      <c r="G33" s="813"/>
      <c r="H33" s="2243"/>
      <c r="I33" s="2242"/>
      <c r="J33" s="2242"/>
      <c r="K33" s="224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1" t="s">
        <v>541</v>
      </c>
      <c r="B41" s="2212"/>
      <c r="C41" s="2212"/>
      <c r="D41" s="2212"/>
      <c r="E41" s="2212"/>
      <c r="F41" s="221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82" sqref="D8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63426</v>
      </c>
      <c r="D5" s="841"/>
      <c r="E5" s="841"/>
      <c r="F5" s="1760">
        <f>(C5+D5)-E5</f>
        <v>63426</v>
      </c>
      <c r="G5" s="837"/>
      <c r="H5" s="842"/>
      <c r="I5" s="842"/>
      <c r="J5" s="842"/>
      <c r="K5" s="793"/>
      <c r="L5" s="1769">
        <f>F5-K5</f>
        <v>63426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8311391</v>
      </c>
      <c r="D8" s="844">
        <v>634301</v>
      </c>
      <c r="E8" s="844"/>
      <c r="F8" s="1760">
        <f>(C8+D8)-E8</f>
        <v>8945692</v>
      </c>
      <c r="G8" s="843">
        <v>50</v>
      </c>
      <c r="H8" s="765">
        <v>4794319</v>
      </c>
      <c r="I8" s="765">
        <v>76684</v>
      </c>
      <c r="J8" s="765"/>
      <c r="K8" s="1769">
        <f>(H8+I8)-J8</f>
        <v>4871003</v>
      </c>
      <c r="L8" s="1769">
        <f>F8-K8</f>
        <v>4074689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38078</v>
      </c>
      <c r="D10" s="846"/>
      <c r="E10" s="846"/>
      <c r="F10" s="1764">
        <f>(C10+D10)-E10</f>
        <v>38078</v>
      </c>
      <c r="G10" s="843">
        <v>20</v>
      </c>
      <c r="H10" s="847"/>
      <c r="I10" s="847"/>
      <c r="J10" s="847"/>
      <c r="K10" s="1769">
        <f>(H10+I10)-J10</f>
        <v>0</v>
      </c>
      <c r="L10" s="1769">
        <f>F10-K10</f>
        <v>38078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1404090</v>
      </c>
      <c r="D12" s="844">
        <v>8454</v>
      </c>
      <c r="E12" s="844">
        <v>14366</v>
      </c>
      <c r="F12" s="1760">
        <f>(C12+D12)-E12</f>
        <v>1398178</v>
      </c>
      <c r="G12" s="843">
        <v>10</v>
      </c>
      <c r="H12" s="765">
        <v>703093</v>
      </c>
      <c r="I12" s="765">
        <v>71241</v>
      </c>
      <c r="J12" s="765">
        <v>14366</v>
      </c>
      <c r="K12" s="1769">
        <f>(H12+I12)-J12</f>
        <v>759968</v>
      </c>
      <c r="L12" s="1769">
        <f>F12-K12</f>
        <v>638210</v>
      </c>
    </row>
    <row r="13" spans="1:14" ht="14.25" thickTop="1" thickBot="1" x14ac:dyDescent="0.25">
      <c r="A13" s="848" t="s">
        <v>1122</v>
      </c>
      <c r="B13" s="840">
        <v>252</v>
      </c>
      <c r="C13" s="844">
        <v>984094</v>
      </c>
      <c r="D13" s="844">
        <v>849</v>
      </c>
      <c r="E13" s="844"/>
      <c r="F13" s="1760">
        <f>(C13+D13)-E13</f>
        <v>984943</v>
      </c>
      <c r="G13" s="843">
        <v>5</v>
      </c>
      <c r="H13" s="765">
        <v>750154</v>
      </c>
      <c r="I13" s="765">
        <v>50913</v>
      </c>
      <c r="J13" s="765"/>
      <c r="K13" s="1769">
        <f>(H13+I13)-J13</f>
        <v>801067</v>
      </c>
      <c r="L13" s="1769">
        <f>F13-K13</f>
        <v>183876</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10801079</v>
      </c>
      <c r="D16" s="1760">
        <f>SUM(D3,D5:D6,D8:D10,D12:D15)</f>
        <v>643604</v>
      </c>
      <c r="E16" s="1760">
        <f>SUM(E3,E5:E6,E8:E10,E12:E15)</f>
        <v>14366</v>
      </c>
      <c r="F16" s="1760">
        <f>SUM(F3,F5:F6,F8:F10,F12:F15)</f>
        <v>11430317</v>
      </c>
      <c r="G16" s="843"/>
      <c r="H16" s="1760">
        <f>SUM(H3,H6,H8:H10,H12:H14,)</f>
        <v>6247566</v>
      </c>
      <c r="I16" s="1760">
        <f>SUM(I3,I6,I8:I10,I12:I14,)</f>
        <v>198838</v>
      </c>
      <c r="J16" s="1760">
        <f>SUM(J3,J6,J8:J10,J12:J14,)</f>
        <v>14366</v>
      </c>
      <c r="K16" s="1760">
        <f>(H16+I16)-J16</f>
        <v>6432038</v>
      </c>
      <c r="L16" s="1760">
        <f>F16-K16</f>
        <v>4998279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198838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6" activePane="bottomLeft" state="frozen"/>
      <selection activeCell="D82" sqref="D82"/>
      <selection pane="bottomLeft" activeCell="F179" sqref="F1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4588014</v>
      </c>
      <c r="G8" s="865"/>
    </row>
    <row r="9" spans="1:7" x14ac:dyDescent="0.2">
      <c r="A9" s="869" t="s">
        <v>460</v>
      </c>
      <c r="B9" s="870" t="s">
        <v>1877</v>
      </c>
      <c r="C9" s="871"/>
      <c r="D9" s="869" t="s">
        <v>501</v>
      </c>
      <c r="E9" s="868"/>
      <c r="F9" s="1909">
        <f>'Expenditures 15-22'!K151</f>
        <v>97668</v>
      </c>
      <c r="G9" s="872"/>
    </row>
    <row r="10" spans="1:7" x14ac:dyDescent="0.2">
      <c r="A10" s="869" t="s">
        <v>499</v>
      </c>
      <c r="B10" s="870" t="s">
        <v>1878</v>
      </c>
      <c r="C10" s="871"/>
      <c r="D10" s="869" t="s">
        <v>501</v>
      </c>
      <c r="E10" s="868"/>
      <c r="F10" s="1909">
        <f>'Expenditures 15-22'!K174</f>
        <v>177682</v>
      </c>
      <c r="G10" s="872"/>
    </row>
    <row r="11" spans="1:7" x14ac:dyDescent="0.2">
      <c r="A11" s="869" t="s">
        <v>461</v>
      </c>
      <c r="B11" s="870" t="s">
        <v>1879</v>
      </c>
      <c r="C11" s="871"/>
      <c r="D11" s="869" t="s">
        <v>501</v>
      </c>
      <c r="E11" s="868"/>
      <c r="F11" s="1909">
        <f>'Expenditures 15-22'!K210</f>
        <v>228370</v>
      </c>
      <c r="G11" s="872"/>
    </row>
    <row r="12" spans="1:7" x14ac:dyDescent="0.2">
      <c r="A12" s="869" t="s">
        <v>462</v>
      </c>
      <c r="B12" s="870" t="s">
        <v>1880</v>
      </c>
      <c r="C12" s="871"/>
      <c r="D12" s="869" t="s">
        <v>501</v>
      </c>
      <c r="E12" s="868"/>
      <c r="F12" s="1909">
        <f>'Expenditures 15-22'!K295</f>
        <v>203130</v>
      </c>
      <c r="G12" s="872"/>
    </row>
    <row r="13" spans="1:7" x14ac:dyDescent="0.2">
      <c r="A13" s="869" t="s">
        <v>106</v>
      </c>
      <c r="B13" s="870" t="s">
        <v>1881</v>
      </c>
      <c r="C13" s="871"/>
      <c r="D13" s="869" t="s">
        <v>501</v>
      </c>
      <c r="E13" s="868"/>
      <c r="F13" s="1909">
        <f>'Expenditures 15-22'!K342</f>
        <v>461223</v>
      </c>
      <c r="G13" s="873"/>
    </row>
    <row r="14" spans="1:7" ht="12" customHeight="1" thickBot="1" x14ac:dyDescent="0.25">
      <c r="A14" s="1770"/>
      <c r="B14" s="1771"/>
      <c r="C14" s="1772"/>
      <c r="D14" s="1773" t="s">
        <v>501</v>
      </c>
      <c r="E14" s="1774" t="s">
        <v>958</v>
      </c>
      <c r="F14" s="1775">
        <f>SUM(F8:F13)</f>
        <v>5756087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59178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21767</v>
      </c>
      <c r="G52" s="865"/>
    </row>
    <row r="53" spans="1:7" x14ac:dyDescent="0.2">
      <c r="A53" s="869" t="s">
        <v>459</v>
      </c>
      <c r="B53" s="869" t="s">
        <v>1475</v>
      </c>
      <c r="C53" s="889">
        <f>'Expenditures 15-22'!B102</f>
        <v>4000</v>
      </c>
      <c r="D53" s="888" t="str">
        <f>'Expenditures 15-22'!A102</f>
        <v>Total Payments to Other Govt Units</v>
      </c>
      <c r="E53" s="868"/>
      <c r="F53" s="1913">
        <f>'Expenditures 15-22'!K102</f>
        <v>210630</v>
      </c>
      <c r="G53" s="865"/>
    </row>
    <row r="54" spans="1:7" x14ac:dyDescent="0.2">
      <c r="A54" s="869" t="s">
        <v>459</v>
      </c>
      <c r="B54" s="869" t="s">
        <v>1476</v>
      </c>
      <c r="C54" s="889" t="s">
        <v>982</v>
      </c>
      <c r="D54" s="885" t="s">
        <v>1095</v>
      </c>
      <c r="E54" s="868"/>
      <c r="F54" s="1913">
        <f>'Expenditures 15-22'!G114</f>
        <v>8832</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90000</v>
      </c>
      <c r="G61" s="865"/>
    </row>
    <row r="62" spans="1:7" x14ac:dyDescent="0.2">
      <c r="A62" s="869" t="s">
        <v>461</v>
      </c>
      <c r="B62" s="869" t="s">
        <v>1887</v>
      </c>
      <c r="C62" s="886">
        <f>'Expenditures 15-22'!B185</f>
        <v>3000</v>
      </c>
      <c r="D62" s="876" t="s">
        <v>449</v>
      </c>
      <c r="E62" s="868"/>
      <c r="F62" s="1913">
        <f>'Expenditures 15-22'!K185-SUM('Expenditures 15-22'!G185,'Expenditures 15-22'!I185)</f>
        <v>434</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150</v>
      </c>
      <c r="G63" s="865"/>
    </row>
    <row r="64" spans="1:7" x14ac:dyDescent="0.2">
      <c r="A64" s="895" t="s">
        <v>461</v>
      </c>
      <c r="B64" s="895" t="s">
        <v>1889</v>
      </c>
      <c r="C64" s="896" t="str">
        <f>'Expenditures 15-22'!B206</f>
        <v>5300</v>
      </c>
      <c r="D64" s="892" t="s">
        <v>311</v>
      </c>
      <c r="E64" s="868"/>
      <c r="F64" s="1913">
        <f>'Expenditures 15-22'!K206</f>
        <v>41975</v>
      </c>
      <c r="G64" s="865"/>
    </row>
    <row r="65" spans="1:8" x14ac:dyDescent="0.2">
      <c r="A65" s="869" t="s">
        <v>461</v>
      </c>
      <c r="B65" s="869" t="s">
        <v>1890</v>
      </c>
      <c r="C65" s="886" t="s">
        <v>982</v>
      </c>
      <c r="D65" s="885" t="s">
        <v>1095</v>
      </c>
      <c r="E65" s="868"/>
      <c r="F65" s="1913">
        <f>'Expenditures 15-22'!G210</f>
        <v>849</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1678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435493</v>
      </c>
      <c r="G76" s="865"/>
    </row>
    <row r="77" spans="1:8" s="893" customFormat="1" ht="12" customHeight="1" thickTop="1" thickBot="1" x14ac:dyDescent="0.25">
      <c r="A77" s="1779"/>
      <c r="B77" s="1776"/>
      <c r="C77" s="1772"/>
      <c r="D77" s="1777" t="s">
        <v>1900</v>
      </c>
      <c r="E77" s="1774"/>
      <c r="F77" s="1780">
        <f>(F14-F76)</f>
        <v>5320594</v>
      </c>
      <c r="G77" s="869"/>
    </row>
    <row r="78" spans="1:8" s="893" customFormat="1" ht="12" customHeight="1" thickTop="1" x14ac:dyDescent="0.2">
      <c r="A78" s="1781"/>
      <c r="B78" s="1776"/>
      <c r="C78" s="1772"/>
      <c r="D78" s="1777" t="s">
        <v>2062</v>
      </c>
      <c r="E78" s="1774"/>
      <c r="F78" s="898">
        <v>540.5</v>
      </c>
      <c r="G78" s="899"/>
      <c r="H78" s="869"/>
    </row>
    <row r="79" spans="1:8" s="893" customFormat="1" ht="12" customHeight="1" thickBot="1" x14ac:dyDescent="0.25">
      <c r="A79" s="1782"/>
      <c r="B79" s="1776"/>
      <c r="C79" s="1772"/>
      <c r="D79" s="1777" t="s">
        <v>1901</v>
      </c>
      <c r="E79" s="1774" t="s">
        <v>958</v>
      </c>
      <c r="F79" s="1783">
        <f>IF(F78&gt;0,F77/F78," Complete Line 78")</f>
        <v>9843.8371877890841</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72920</v>
      </c>
      <c r="G94" s="912"/>
    </row>
    <row r="95" spans="1:7" x14ac:dyDescent="0.2">
      <c r="A95" s="908" t="s">
        <v>140</v>
      </c>
      <c r="B95" s="908" t="s">
        <v>175</v>
      </c>
      <c r="C95" s="910">
        <v>1700</v>
      </c>
      <c r="D95" s="918" t="str">
        <f>'Revenues 9-14'!A82</f>
        <v>Total District/School Activity Income</v>
      </c>
      <c r="E95" s="906"/>
      <c r="F95" s="1789">
        <f>SUM('Revenues 9-14'!C82,'Revenues 9-14'!D82)</f>
        <v>33407</v>
      </c>
      <c r="G95" s="912"/>
    </row>
    <row r="96" spans="1:7" x14ac:dyDescent="0.2">
      <c r="A96" s="908" t="s">
        <v>459</v>
      </c>
      <c r="B96" s="908" t="s">
        <v>176</v>
      </c>
      <c r="C96" s="910">
        <f>'Revenues 9-14'!B84</f>
        <v>1811</v>
      </c>
      <c r="D96" s="911" t="str">
        <f>'Revenues 9-14'!A84</f>
        <v>Rentals - Regular Textbooks</v>
      </c>
      <c r="E96" s="906"/>
      <c r="F96" s="1789">
        <f>'Revenues 9-14'!C84</f>
        <v>39774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161</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13165</v>
      </c>
      <c r="G104" s="912"/>
    </row>
    <row r="105" spans="1:7" x14ac:dyDescent="0.2">
      <c r="A105" s="908" t="s">
        <v>503</v>
      </c>
      <c r="B105" s="908" t="s">
        <v>2003</v>
      </c>
      <c r="C105" s="913">
        <v>3100</v>
      </c>
      <c r="D105" s="919" t="str">
        <f>'Revenues 9-14'!A132</f>
        <v>Total Special Education</v>
      </c>
      <c r="E105" s="906"/>
      <c r="F105" s="1789">
        <f>SUM('Revenues 9-14'!C132:D132,'Revenues 9-14'!F132)</f>
        <v>8162</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13282</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2150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7488</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117213</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1733</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125763</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145991</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5305</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176037</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17639</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18349</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7345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5892</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7010</v>
      </c>
      <c r="G170" s="927"/>
    </row>
    <row r="171" spans="1:7" x14ac:dyDescent="0.2">
      <c r="A171" s="1918" t="s">
        <v>5</v>
      </c>
      <c r="B171" s="1919" t="s">
        <v>1920</v>
      </c>
      <c r="C171" s="1920">
        <v>3100</v>
      </c>
      <c r="D171" s="1921" t="s">
        <v>1922</v>
      </c>
      <c r="E171" s="906"/>
      <c r="F171" s="1906">
        <v>136502</v>
      </c>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955288</v>
      </c>
    </row>
    <row r="175" spans="1:7" ht="12" customHeight="1" x14ac:dyDescent="0.2">
      <c r="A175" s="1770"/>
      <c r="B175" s="1784"/>
      <c r="C175" s="1785"/>
      <c r="D175" s="1786" t="s">
        <v>2057</v>
      </c>
      <c r="E175" s="1787"/>
      <c r="F175" s="1789">
        <f>'PCTC-OEPP 27-28'!F77-F174</f>
        <v>4365306</v>
      </c>
    </row>
    <row r="176" spans="1:7" ht="12" customHeight="1" x14ac:dyDescent="0.2">
      <c r="A176" s="1770"/>
      <c r="B176" s="1784"/>
      <c r="C176" s="1785"/>
      <c r="D176" s="1786" t="s">
        <v>1817</v>
      </c>
      <c r="E176" s="1787"/>
      <c r="F176" s="1789">
        <f>'Cap Outlay Deprec 26'!I18</f>
        <v>198838</v>
      </c>
    </row>
    <row r="177" spans="1:7" ht="12" customHeight="1" x14ac:dyDescent="0.2">
      <c r="A177" s="1770"/>
      <c r="B177" s="1784"/>
      <c r="C177" s="1785"/>
      <c r="D177" s="1786" t="s">
        <v>2058</v>
      </c>
      <c r="E177" s="1787"/>
      <c r="F177" s="1789">
        <f>F175+F176</f>
        <v>4564144</v>
      </c>
    </row>
    <row r="178" spans="1:7" ht="12" customHeight="1" x14ac:dyDescent="0.2">
      <c r="A178" s="1770"/>
      <c r="B178" s="1790"/>
      <c r="C178" s="1785"/>
      <c r="D178" s="1786" t="str">
        <f>D78</f>
        <v>9 Month ADA from District Average Daily Attendance/Prior General State Aid Inquiry 2018-2019</v>
      </c>
      <c r="E178" s="1787"/>
      <c r="F178" s="1791">
        <f>'PCTC-OEPP 27-28'!F78</f>
        <v>540.5</v>
      </c>
      <c r="G178" s="930"/>
    </row>
    <row r="179" spans="1:7" ht="12" customHeight="1" thickBot="1" x14ac:dyDescent="0.25">
      <c r="A179" s="1770"/>
      <c r="B179" s="1790"/>
      <c r="C179" s="1785"/>
      <c r="D179" s="1786" t="s">
        <v>2059</v>
      </c>
      <c r="E179" s="1787" t="s">
        <v>1545</v>
      </c>
      <c r="F179" s="1792">
        <f>F177/F178</f>
        <v>8444.2997224791852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82" sqref="D8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D82" sqref="D8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104062</v>
      </c>
      <c r="F10" s="974"/>
      <c r="G10" s="975"/>
      <c r="H10" s="162"/>
      <c r="I10" s="162"/>
    </row>
    <row r="11" spans="1:9" s="668" customFormat="1" ht="22.5" customHeight="1" x14ac:dyDescent="0.2">
      <c r="A11" s="2284" t="s">
        <v>1977</v>
      </c>
      <c r="B11" s="2285"/>
      <c r="C11" s="2285"/>
      <c r="D11" s="2286"/>
      <c r="E11" s="977">
        <v>12504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3066942</v>
      </c>
      <c r="F19" s="1799"/>
      <c r="G19" s="1801">
        <f>'Expenditures 15-22'!K33-SUM('Expenditures 15-22'!G33,'Expenditures 15-22'!I33)+'Expenditures 15-22'!D229</f>
        <v>3066942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103872</v>
      </c>
      <c r="F21" s="1802"/>
      <c r="G21" s="1805">
        <f>'Expenditures 15-22'!K42-SUM('Expenditures 15-22'!G42,'Expenditures 15-22'!I42)+'Expenditures 15-22'!K120-SUM('Expenditures 15-22'!G120,'Expenditures 15-22'!I120)+'Expenditures 15-22'!K180-SUM('Expenditures 15-22'!G180,'Expenditures 15-22'!I180)+'Expenditures 15-22'!D238</f>
        <v>103872</v>
      </c>
      <c r="H21" s="987"/>
      <c r="I21" s="162"/>
    </row>
    <row r="22" spans="1:9" s="668" customFormat="1" ht="12" customHeight="1" x14ac:dyDescent="0.2">
      <c r="A22" s="994" t="s">
        <v>564</v>
      </c>
      <c r="B22" s="995"/>
      <c r="C22" s="993">
        <v>2200</v>
      </c>
      <c r="D22" s="1802"/>
      <c r="E22" s="1804">
        <f>'Expenditures 15-22'!K47-SUM('Expenditures 15-22'!G47,'Expenditures 15-22'!I47)+'Expenditures 15-22'!D243</f>
        <v>211505</v>
      </c>
      <c r="F22" s="1802"/>
      <c r="G22" s="1805">
        <f>'Expenditures 15-22'!K47-SUM('Expenditures 15-22'!G47,'Expenditures 15-22'!I47)+'Expenditures 15-22'!D243</f>
        <v>211505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674106</v>
      </c>
      <c r="F23" s="1802"/>
      <c r="G23" s="1804">
        <f>'Expenditures 15-22'!K53-SUM('Expenditures 15-22'!G53,'Expenditures 15-22'!I53)+'Expenditures 15-22'!D257+'Expenditures 15-22'!K330-SUM('Expenditures 15-22'!G330,'Expenditures 15-22'!I330)</f>
        <v>674106</v>
      </c>
      <c r="H23" s="987"/>
      <c r="I23" s="162"/>
    </row>
    <row r="24" spans="1:9" s="668" customFormat="1" ht="12" customHeight="1" x14ac:dyDescent="0.2">
      <c r="A24" s="994" t="s">
        <v>566</v>
      </c>
      <c r="B24" s="995"/>
      <c r="C24" s="993">
        <v>2400</v>
      </c>
      <c r="D24" s="1802"/>
      <c r="E24" s="1804">
        <f>'Expenditures 15-22'!K57-SUM('Expenditures 15-22'!G57,'Expenditures 15-22'!I57)+'Expenditures 15-22'!D261</f>
        <v>267978</v>
      </c>
      <c r="F24" s="1802"/>
      <c r="G24" s="1805">
        <f>'Expenditures 15-22'!K57-SUM('Expenditures 15-22'!G57,'Expenditures 15-22'!I57)+'Expenditures 15-22'!D261</f>
        <v>267978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63737</v>
      </c>
      <c r="E27" s="1804">
        <f>E8</f>
        <v>0</v>
      </c>
      <c r="F27" s="1804">
        <f>'Expenditures 15-22'!K60-SUM('Expenditures 15-22'!G60,'Expenditures 15-22'!I60)+'Expenditures 15-22'!D264-E8</f>
        <v>63737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422230</v>
      </c>
      <c r="F28" s="1806">
        <f>'Expenditures 15-22'!K61-SUM('Expenditures 15-22'!G61,'Expenditures 15-22'!I61)+'Expenditures 15-22'!K124-SUM('Expenditures 15-22'!G124,'Expenditures 15-22'!I124)+'Expenditures 15-22'!D266-E9</f>
        <v>422230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211202</v>
      </c>
      <c r="F29" s="1802"/>
      <c r="G29" s="1805">
        <f>'Expenditures 15-22'!K62-SUM('Expenditures 15-22'!G62,'Expenditures 15-22'!I62)+'Expenditures 15-22'!K125-SUM('Expenditures 15-22'!G125,'Expenditures 15-22'!I125)+'Expenditures 15-22'!K182-SUM('Expenditures 15-22'!G182,'Expenditures 15-22'!I182)+'Expenditures 15-22'!D267</f>
        <v>211202</v>
      </c>
      <c r="H29" s="985"/>
    </row>
    <row r="30" spans="1:9" ht="12" customHeight="1" x14ac:dyDescent="0.2">
      <c r="A30" s="994" t="s">
        <v>100</v>
      </c>
      <c r="B30" s="997"/>
      <c r="C30" s="993">
        <v>2560</v>
      </c>
      <c r="D30" s="1802"/>
      <c r="E30" s="1804">
        <f>'Expenditures 15-22'!K63-SUM('Expenditures 15-22'!G63,'Expenditures 15-22'!I63)+'Expenditures 15-22'!D268-E10</f>
        <v>154349</v>
      </c>
      <c r="F30" s="1802"/>
      <c r="G30" s="1804">
        <f>'Expenditures 15-22'!K63-SUM('Expenditures 15-22'!G63,'Expenditures 15-22'!I63)+'Expenditures 15-22'!D268-E10</f>
        <v>154349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22201</v>
      </c>
      <c r="F39" s="1802"/>
      <c r="G39" s="1804">
        <f>'Expenditures 15-22'!K75-SUM('Expenditures 15-22'!G75,'Expenditures 15-22'!I75)+'Expenditures 15-22'!K130-SUM('Expenditures 15-22'!G130,'Expenditures 15-22'!I130)+'Expenditures 15-22'!K185-SUM('Expenditures 15-22'!G185,'Expenditures 15-22'!I185)+'Expenditures 15-22'!D280</f>
        <v>22201</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63737</v>
      </c>
      <c r="E41" s="1806">
        <f>SUM(E19:E40)</f>
        <v>5134385</v>
      </c>
      <c r="F41" s="1806">
        <f>SUM(F19:F39)</f>
        <v>485967</v>
      </c>
      <c r="G41" s="1806">
        <f>SUM(G19:G40)</f>
        <v>4712155</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63737</v>
      </c>
      <c r="F43" s="1807" t="s">
        <v>473</v>
      </c>
      <c r="G43" s="1808">
        <f>F41</f>
        <v>485967</v>
      </c>
    </row>
    <row r="44" spans="1:7" ht="12" customHeight="1" x14ac:dyDescent="0.2">
      <c r="A44" s="987"/>
      <c r="B44" s="162"/>
      <c r="C44" s="1001"/>
      <c r="D44" s="1807" t="s">
        <v>474</v>
      </c>
      <c r="E44" s="1808">
        <f>E41</f>
        <v>5134385</v>
      </c>
      <c r="F44" s="1807" t="s">
        <v>474</v>
      </c>
      <c r="G44" s="1808">
        <f>G41</f>
        <v>4712155</v>
      </c>
    </row>
    <row r="45" spans="1:7" ht="12" customHeight="1" x14ac:dyDescent="0.2">
      <c r="A45" s="987"/>
      <c r="B45" s="162"/>
      <c r="C45" s="162"/>
      <c r="D45" s="1809" t="s">
        <v>1006</v>
      </c>
      <c r="E45" s="1810">
        <f>(E43/E44)</f>
        <v>1.2413755493598551E-2</v>
      </c>
      <c r="F45" s="1809" t="s">
        <v>1006</v>
      </c>
      <c r="G45" s="1810">
        <f>(G43/G44)</f>
        <v>0.10313052096121626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29" activePane="bottomLeft" state="frozen"/>
      <selection activeCell="D82" sqref="D82"/>
      <selection pane="bottomLeft" activeCell="D82" sqref="D8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0" t="s">
        <v>1379</v>
      </c>
      <c r="B1" s="2290"/>
      <c r="C1" s="2290"/>
      <c r="D1" s="2290"/>
      <c r="E1" s="2290"/>
      <c r="F1" s="2290"/>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1" t="s">
        <v>1546</v>
      </c>
      <c r="B5" s="2292"/>
      <c r="C5" s="2293"/>
      <c r="D5" s="2293"/>
      <c r="E5" s="2293"/>
      <c r="F5" s="2293"/>
    </row>
    <row r="6" spans="1:10" ht="12" customHeight="1" x14ac:dyDescent="0.25">
      <c r="A6" s="1850"/>
      <c r="B6" s="1851"/>
      <c r="C6" s="2294" t="str">
        <f>COVER!A17</f>
        <v>Bunker Hill CUSD 8</v>
      </c>
      <c r="D6" s="2294"/>
      <c r="E6" s="2294"/>
      <c r="F6" s="1852"/>
    </row>
    <row r="7" spans="1:10" ht="11.25" customHeight="1" thickBot="1" x14ac:dyDescent="0.3">
      <c r="A7" s="1850"/>
      <c r="B7" s="1851"/>
      <c r="C7" s="2295">
        <f>COVER!A13</f>
        <v>40056008026</v>
      </c>
      <c r="D7" s="2295"/>
      <c r="E7" s="2295"/>
      <c r="F7" s="1852"/>
    </row>
    <row r="8" spans="1:10" ht="25.5" customHeight="1" thickBot="1" x14ac:dyDescent="0.25">
      <c r="A8" s="1893" t="s">
        <v>1908</v>
      </c>
      <c r="B8" s="1853" t="s">
        <v>2064</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296"/>
      <c r="D35" s="2296"/>
      <c r="E35" s="2296"/>
      <c r="F35" s="2297"/>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D82" sqref="D8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Bunker Hill CUSD 8</v>
      </c>
      <c r="J6" s="2315"/>
      <c r="Q6" s="1664"/>
    </row>
    <row r="7" spans="1:17" x14ac:dyDescent="0.2">
      <c r="A7" s="2316" t="s">
        <v>869</v>
      </c>
      <c r="B7" s="2317"/>
      <c r="C7" s="2317"/>
      <c r="D7" s="2317"/>
      <c r="E7" s="2318"/>
      <c r="F7" s="1017"/>
      <c r="G7" s="1009"/>
      <c r="H7" s="1016" t="s">
        <v>372</v>
      </c>
      <c r="I7" s="2319">
        <f>COVER!A13</f>
        <v>40056008026</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168573</v>
      </c>
      <c r="F12" s="1039"/>
      <c r="G12" s="1811">
        <f t="shared" ref="G12:G18" si="0">SUM(E12:F12)</f>
        <v>168573</v>
      </c>
      <c r="H12" s="1040">
        <v>146700</v>
      </c>
      <c r="I12" s="1039"/>
      <c r="J12" s="1811">
        <f t="shared" ref="J12:J18" si="1">SUM(H12:I12)</f>
        <v>146700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168573</v>
      </c>
      <c r="F19" s="1813">
        <f t="shared" si="2"/>
        <v>0</v>
      </c>
      <c r="G19" s="1813">
        <f t="shared" si="2"/>
        <v>168573</v>
      </c>
      <c r="H19" s="1813">
        <f t="shared" si="2"/>
        <v>146700</v>
      </c>
      <c r="I19" s="1813">
        <f t="shared" si="2"/>
        <v>0</v>
      </c>
      <c r="J19" s="1813">
        <f t="shared" si="2"/>
        <v>146700</v>
      </c>
    </row>
    <row r="20" spans="1:10" ht="13.5" thickTop="1" x14ac:dyDescent="0.2">
      <c r="A20" s="1035">
        <v>9</v>
      </c>
      <c r="B20" s="2326" t="s">
        <v>1981</v>
      </c>
      <c r="C20" s="2326"/>
      <c r="D20" s="2327"/>
      <c r="E20" s="1046"/>
      <c r="F20" s="1046"/>
      <c r="G20" s="1046"/>
      <c r="H20" s="1046"/>
      <c r="I20" s="1046"/>
      <c r="J20" s="1814">
        <f>IF(AND(G19&gt;0,J19&gt;0),(((J19-G19)/G19)),"Enter Budget Data")</f>
        <v>-0.12975387517573989</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7" zoomScale="110" zoomScaleNormal="110" workbookViewId="0">
      <selection activeCell="D82" sqref="D8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c r="B6" s="329" t="s">
        <v>2088</v>
      </c>
    </row>
    <row r="7" spans="1:2" x14ac:dyDescent="0.2">
      <c r="A7" s="1068">
        <v>3</v>
      </c>
      <c r="B7" s="329" t="s">
        <v>2089</v>
      </c>
    </row>
    <row r="8" spans="1:2" x14ac:dyDescent="0.2">
      <c r="A8" s="1068">
        <v>4</v>
      </c>
      <c r="B8" s="329" t="s">
        <v>2090</v>
      </c>
    </row>
    <row r="9" spans="1:2" x14ac:dyDescent="0.2">
      <c r="A9" s="1068">
        <v>5</v>
      </c>
      <c r="B9" s="329" t="s">
        <v>2091</v>
      </c>
    </row>
    <row r="10" spans="1:2" x14ac:dyDescent="0.2">
      <c r="A10" s="1068">
        <v>6</v>
      </c>
      <c r="B10" s="329" t="s">
        <v>2092</v>
      </c>
    </row>
    <row r="11" spans="1:2" x14ac:dyDescent="0.2">
      <c r="A11" s="1068">
        <v>7</v>
      </c>
      <c r="B11" s="329" t="s">
        <v>2093</v>
      </c>
    </row>
    <row r="12" spans="1:2" x14ac:dyDescent="0.2">
      <c r="A12" s="1068">
        <v>8</v>
      </c>
      <c r="B12" s="329" t="s">
        <v>2096</v>
      </c>
    </row>
    <row r="13" spans="1:2" x14ac:dyDescent="0.2">
      <c r="A13" s="1068">
        <v>9</v>
      </c>
      <c r="B13" s="329" t="s">
        <v>2097</v>
      </c>
    </row>
    <row r="14" spans="1:2" x14ac:dyDescent="0.2">
      <c r="A14" s="1068">
        <v>10</v>
      </c>
      <c r="B14" s="329" t="s">
        <v>2098</v>
      </c>
    </row>
    <row r="15" spans="1:2" x14ac:dyDescent="0.2">
      <c r="A15" s="1068"/>
    </row>
    <row r="16" spans="1:2" x14ac:dyDescent="0.2">
      <c r="A16" s="1068"/>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Bunker Hill CUSD 8</v>
      </c>
    </row>
    <row r="65" spans="2:2" x14ac:dyDescent="0.2">
      <c r="B65" s="1070">
        <f>COVER!A13</f>
        <v>40056008026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D82" sqref="D8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82" sqref="D8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7" sqref="F1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762000</xdr:colOff>
                <xdr:row>3</xdr:row>
                <xdr:rowOff>28575</xdr:rowOff>
              </from>
              <to>
                <xdr:col>1</xdr:col>
                <xdr:colOff>1676400</xdr:colOff>
                <xdr:row>7</xdr:row>
                <xdr:rowOff>66675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D82" sqref="D8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4991235</v>
      </c>
      <c r="C8" s="1815">
        <f>'Acct Summary 7-8'!D8</f>
        <v>275165</v>
      </c>
      <c r="D8" s="1815">
        <f>'Acct Summary 7-8'!F8</f>
        <v>226093</v>
      </c>
      <c r="E8" s="1815">
        <f>'Acct Summary 7-8'!I8</f>
        <v>35336</v>
      </c>
      <c r="F8" s="1815">
        <f>SUM(B8:E8)</f>
        <v>5527829</v>
      </c>
    </row>
    <row r="9" spans="1:8" s="1079" customFormat="1" ht="14.25" customHeight="1" thickBot="1" x14ac:dyDescent="0.25">
      <c r="A9" s="1078" t="s">
        <v>1369</v>
      </c>
      <c r="B9" s="1816">
        <f>'Acct Summary 7-8'!C17</f>
        <v>4588014</v>
      </c>
      <c r="C9" s="1816">
        <f>'Acct Summary 7-8'!D17</f>
        <v>97668</v>
      </c>
      <c r="D9" s="1816">
        <f>'Acct Summary 7-8'!F17</f>
        <v>228370</v>
      </c>
      <c r="E9" s="1815"/>
      <c r="F9" s="1815">
        <f>SUM(B9:E9)</f>
        <v>4914052</v>
      </c>
    </row>
    <row r="10" spans="1:8" s="1079" customFormat="1" ht="14.25" thickTop="1" thickBot="1" x14ac:dyDescent="0.25">
      <c r="A10" s="1080" t="s">
        <v>1370</v>
      </c>
      <c r="B10" s="1817">
        <f>(B8-B9)</f>
        <v>403221</v>
      </c>
      <c r="C10" s="1817">
        <f>(C8-C9)</f>
        <v>177497</v>
      </c>
      <c r="D10" s="1817">
        <f>(D8-D9)</f>
        <v>-2277</v>
      </c>
      <c r="E10" s="1816">
        <f>(E8-E9)</f>
        <v>35336</v>
      </c>
      <c r="F10" s="1818">
        <f>SUM(F8-F9)</f>
        <v>613777</v>
      </c>
    </row>
    <row r="11" spans="1:8" s="1079" customFormat="1" ht="14.25" thickTop="1" thickBot="1" x14ac:dyDescent="0.25">
      <c r="A11" s="1081" t="s">
        <v>1985</v>
      </c>
      <c r="B11" s="1819">
        <f>'Acct Summary 7-8'!C81</f>
        <v>1549793</v>
      </c>
      <c r="C11" s="1819">
        <f>'Acct Summary 7-8'!D81</f>
        <v>676878</v>
      </c>
      <c r="D11" s="1819">
        <f>'Acct Summary 7-8'!F81</f>
        <v>50723</v>
      </c>
      <c r="E11" s="1819">
        <f>'Acct Summary 7-8'!I81</f>
        <v>767721</v>
      </c>
      <c r="F11" s="1820">
        <f>SUM(B11:E11)</f>
        <v>3045115</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C94" sqref="C9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ERROR!</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40056008026</v>
      </c>
    </row>
    <row r="3" spans="1:2" x14ac:dyDescent="0.2">
      <c r="A3" t="s">
        <v>956</v>
      </c>
      <c r="B3" s="138" t="str">
        <f>COVER!A15</f>
        <v>MACOUPIN</v>
      </c>
    </row>
    <row r="4" spans="1:2" x14ac:dyDescent="0.2">
      <c r="A4" t="s">
        <v>1007</v>
      </c>
      <c r="B4" s="138" t="str">
        <f>COVER!A17</f>
        <v>Bunker Hill CUSD 8</v>
      </c>
    </row>
    <row r="5" spans="1:2" x14ac:dyDescent="0.2">
      <c r="A5" t="s">
        <v>704</v>
      </c>
      <c r="B5" s="138" t="str">
        <f>COVER!A38</f>
        <v>TODD DUGAN</v>
      </c>
    </row>
    <row r="6" spans="1:2" x14ac:dyDescent="0.2">
      <c r="A6" t="s">
        <v>709</v>
      </c>
      <c r="B6" s="138">
        <f>COVER!P35</f>
        <v>0</v>
      </c>
    </row>
    <row r="7" spans="1:2" x14ac:dyDescent="0.2">
      <c r="A7" t="s">
        <v>705</v>
      </c>
      <c r="B7" s="138">
        <f>COVER!I38</f>
        <v>0</v>
      </c>
    </row>
    <row r="8" spans="1:2" x14ac:dyDescent="0.2">
      <c r="A8" t="s">
        <v>706</v>
      </c>
      <c r="B8" s="138" t="str">
        <f>COVER!T38</f>
        <v>MICHELLE MUELLER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060-003363</v>
      </c>
    </row>
    <row r="16" spans="1:2" x14ac:dyDescent="0.2">
      <c r="A16" t="s">
        <v>422</v>
      </c>
      <c r="B16" s="138" t="str">
        <f>COVER!T13</f>
        <v>LOY MILLER TALLEY, PC</v>
      </c>
    </row>
    <row r="17" spans="1:2" x14ac:dyDescent="0.2">
      <c r="A17" t="s">
        <v>884</v>
      </c>
      <c r="B17" s="138" t="str">
        <f>COVER!T15</f>
        <v>KENNETH E. LOY, C.P.A.</v>
      </c>
    </row>
    <row r="18" spans="1:2" x14ac:dyDescent="0.2">
      <c r="A18" t="s">
        <v>1150</v>
      </c>
      <c r="B18" s="138" t="str">
        <f>COVER!T17</f>
        <v>#2 CROSSROADS CT</v>
      </c>
    </row>
    <row r="19" spans="1:2" x14ac:dyDescent="0.2">
      <c r="A19" t="s">
        <v>886</v>
      </c>
      <c r="B19" s="138" t="str">
        <f>COVER!T25</f>
        <v>KEN@LMTCPAS.COM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(618)465-1196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35065</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1549793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1549793</v>
      </c>
      <c r="D92" s="2" t="str">
        <f t="shared" si="0"/>
        <v>Error?</v>
      </c>
    </row>
    <row r="93" spans="1:4" x14ac:dyDescent="0.2">
      <c r="A93" s="5">
        <v>32</v>
      </c>
      <c r="B93" s="138">
        <f>'Assets-Liab 5-6'!C41</f>
        <v>1549793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676878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676878</v>
      </c>
      <c r="D123" s="2" t="str">
        <f t="shared" si="0"/>
        <v>Error?</v>
      </c>
    </row>
    <row r="124" spans="1:4" x14ac:dyDescent="0.2">
      <c r="A124" s="5">
        <v>63</v>
      </c>
      <c r="B124" s="138">
        <f>'Assets-Liab 5-6'!D41</f>
        <v>676878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100000</v>
      </c>
      <c r="D129" s="2" t="str">
        <f t="shared" si="1"/>
        <v>Error?</v>
      </c>
    </row>
    <row r="130" spans="1:4" x14ac:dyDescent="0.2">
      <c r="A130" s="5">
        <v>69</v>
      </c>
      <c r="B130" s="138">
        <f>'Assets-Liab 5-6'!E12</f>
        <v>0</v>
      </c>
      <c r="D130" s="2" t="str">
        <f t="shared" si="1"/>
        <v>Error?</v>
      </c>
    </row>
    <row r="131" spans="1:4" x14ac:dyDescent="0.2">
      <c r="A131" s="5">
        <v>70</v>
      </c>
      <c r="B131" s="138">
        <f>'Assets-Liab 5-6'!E13</f>
        <v>205309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205309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50723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50723</v>
      </c>
      <c r="D170" s="2" t="str">
        <f t="shared" si="1"/>
        <v>Error?</v>
      </c>
    </row>
    <row r="171" spans="1:4" x14ac:dyDescent="0.2">
      <c r="A171" s="5">
        <v>110</v>
      </c>
      <c r="B171" s="138">
        <f>'Assets-Liab 5-6'!F41</f>
        <v>50723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450000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607466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607466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184218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184218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63426</v>
      </c>
      <c r="D273" s="2" t="str">
        <f t="shared" si="3"/>
        <v>Error?</v>
      </c>
    </row>
    <row r="274" spans="1:4" x14ac:dyDescent="0.2">
      <c r="A274" s="5">
        <v>213</v>
      </c>
      <c r="B274" s="138">
        <f>'Assets-Liab 5-6'!M17</f>
        <v>8945692</v>
      </c>
      <c r="D274" s="2" t="str">
        <f t="shared" si="3"/>
        <v>Error?</v>
      </c>
    </row>
    <row r="275" spans="1:4" x14ac:dyDescent="0.2">
      <c r="A275" s="5">
        <v>214</v>
      </c>
      <c r="B275" s="138">
        <f>'Assets-Liab 5-6'!M18</f>
        <v>38078</v>
      </c>
      <c r="D275" s="2" t="str">
        <f t="shared" si="3"/>
        <v>Error?</v>
      </c>
    </row>
    <row r="276" spans="1:4" x14ac:dyDescent="0.2">
      <c r="A276" s="5">
        <v>215</v>
      </c>
      <c r="B276" s="138">
        <f>'Assets-Liab 5-6'!M19</f>
        <v>2383121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11430317</v>
      </c>
      <c r="C279" s="2" t="s">
        <v>573</v>
      </c>
      <c r="D279" s="2" t="str">
        <f t="shared" si="3"/>
        <v>Error?</v>
      </c>
    </row>
    <row r="280" spans="1:4" x14ac:dyDescent="0.2">
      <c r="A280" s="5">
        <v>219</v>
      </c>
      <c r="B280" s="138">
        <f>'Assets-Liab 5-6'!M40</f>
        <v>11430317</v>
      </c>
      <c r="D280" s="2" t="str">
        <f t="shared" si="3"/>
        <v>Error?</v>
      </c>
    </row>
    <row r="281" spans="1:4" x14ac:dyDescent="0.2">
      <c r="A281" s="5">
        <v>220</v>
      </c>
      <c r="B281" s="138">
        <f>'Assets-Liab 5-6'!M41</f>
        <v>11430317</v>
      </c>
      <c r="C281" s="2" t="s">
        <v>573</v>
      </c>
      <c r="D281" s="2" t="str">
        <f t="shared" si="3"/>
        <v>Error?</v>
      </c>
    </row>
    <row r="282" spans="1:4" x14ac:dyDescent="0.2">
      <c r="A282" s="5">
        <v>221</v>
      </c>
      <c r="B282" s="138">
        <f>'Assets-Liab 5-6'!N21</f>
        <v>205309</v>
      </c>
      <c r="D282" s="2" t="str">
        <f t="shared" si="3"/>
        <v>Error?</v>
      </c>
    </row>
    <row r="283" spans="1:4" x14ac:dyDescent="0.2">
      <c r="A283" s="5">
        <v>222</v>
      </c>
      <c r="B283" s="138">
        <f>'Assets-Liab 5-6'!N22</f>
        <v>2141881</v>
      </c>
      <c r="D283" s="2" t="str">
        <f t="shared" si="3"/>
        <v>Error?</v>
      </c>
    </row>
    <row r="284" spans="1:4" x14ac:dyDescent="0.2">
      <c r="A284" s="5">
        <v>223</v>
      </c>
      <c r="B284" s="138">
        <f>'Assets-Liab 5-6'!N23</f>
        <v>2347190</v>
      </c>
      <c r="C284" s="2" t="s">
        <v>573</v>
      </c>
      <c r="D284" s="2" t="str">
        <f t="shared" si="3"/>
        <v>Error?</v>
      </c>
    </row>
    <row r="285" spans="1:4" x14ac:dyDescent="0.2">
      <c r="A285" s="5">
        <v>224</v>
      </c>
      <c r="B285" s="138">
        <f>'Assets-Liab 5-6'!N36</f>
        <v>2347190</v>
      </c>
      <c r="D285" s="2" t="str">
        <f t="shared" si="3"/>
        <v>Error?</v>
      </c>
    </row>
    <row r="286" spans="1:4" x14ac:dyDescent="0.2">
      <c r="A286" s="10">
        <v>225</v>
      </c>
      <c r="D286" s="2" t="str">
        <f t="shared" si="3"/>
        <v>OK</v>
      </c>
    </row>
    <row r="287" spans="1:4" x14ac:dyDescent="0.2">
      <c r="A287" s="5">
        <v>226</v>
      </c>
      <c r="B287" s="138">
        <f>'Assets-Liab 5-6'!N37</f>
        <v>2347190</v>
      </c>
      <c r="C287" s="2" t="s">
        <v>573</v>
      </c>
      <c r="D287" s="2" t="str">
        <f t="shared" si="3"/>
        <v>Error?</v>
      </c>
    </row>
    <row r="288" spans="1:4" x14ac:dyDescent="0.2">
      <c r="A288" s="5">
        <v>227</v>
      </c>
      <c r="B288" s="138">
        <f>'Assets-Liab 5-6'!N41</f>
        <v>2347190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1920833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86039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2378841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37847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41494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79341</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92783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92783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137203</v>
      </c>
      <c r="D733" s="2" t="str">
        <f t="shared" si="10"/>
        <v>Error?</v>
      </c>
    </row>
    <row r="734" spans="1:4" x14ac:dyDescent="0.2">
      <c r="A734" s="5">
        <v>673</v>
      </c>
      <c r="B734" s="138">
        <f>'Expenditures 15-22'!C53</f>
        <v>137203</v>
      </c>
      <c r="C734" s="2" t="s">
        <v>573</v>
      </c>
      <c r="D734" s="2" t="str">
        <f t="shared" si="10"/>
        <v>Error?</v>
      </c>
    </row>
    <row r="735" spans="1:4" x14ac:dyDescent="0.2">
      <c r="A735" s="5">
        <v>674</v>
      </c>
      <c r="B735" s="138">
        <f>'Expenditures 15-22'!C55</f>
        <v>208375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208375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45880</v>
      </c>
      <c r="D739" s="2" t="str">
        <f t="shared" si="10"/>
        <v>Error?</v>
      </c>
    </row>
    <row r="740" spans="1:4" x14ac:dyDescent="0.2">
      <c r="A740" s="5">
        <v>679</v>
      </c>
      <c r="B740" s="138">
        <f>'Expenditures 15-22'!C61</f>
        <v>146830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103885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296595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814297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3193138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375235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9736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446701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492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9824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10316</v>
      </c>
      <c r="C785" s="2" t="s">
        <v>573</v>
      </c>
      <c r="D785" s="2" t="str">
        <f t="shared" si="11"/>
        <v>Error?</v>
      </c>
    </row>
    <row r="786" spans="1:4" x14ac:dyDescent="0.2">
      <c r="A786" s="5">
        <v>725</v>
      </c>
      <c r="B786" s="138">
        <f>'Expenditures 15-22'!D44</f>
        <v>1329</v>
      </c>
      <c r="D786" s="2" t="str">
        <f t="shared" si="11"/>
        <v>Error?</v>
      </c>
    </row>
    <row r="787" spans="1:4" x14ac:dyDescent="0.2">
      <c r="A787" s="5">
        <v>726</v>
      </c>
      <c r="B787" s="138">
        <f>'Expenditures 15-22'!D45</f>
        <v>12679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14008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17988</v>
      </c>
      <c r="D791" s="2" t="str">
        <f t="shared" si="11"/>
        <v>Error?</v>
      </c>
    </row>
    <row r="792" spans="1:4" x14ac:dyDescent="0.2">
      <c r="A792" s="5">
        <v>731</v>
      </c>
      <c r="B792" s="138">
        <f>'Expenditures 15-22'!D53</f>
        <v>17988</v>
      </c>
      <c r="C792" s="2" t="s">
        <v>573</v>
      </c>
      <c r="D792" s="2" t="str">
        <f t="shared" si="11"/>
        <v>Error?</v>
      </c>
    </row>
    <row r="793" spans="1:4" x14ac:dyDescent="0.2">
      <c r="A793" s="5">
        <v>732</v>
      </c>
      <c r="B793" s="138">
        <f>'Expenditures 15-22'!D55</f>
        <v>29036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29036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4807</v>
      </c>
      <c r="D797" s="2" t="str">
        <f t="shared" si="11"/>
        <v>Error?</v>
      </c>
    </row>
    <row r="798" spans="1:4" x14ac:dyDescent="0.2">
      <c r="A798" s="5">
        <v>737</v>
      </c>
      <c r="B798" s="138">
        <f>'Expenditures 15-22'!D61</f>
        <v>16916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10091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31814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103162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549863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14081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19861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33942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5014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5014</v>
      </c>
      <c r="C843" s="2" t="s">
        <v>573</v>
      </c>
      <c r="D843" s="2" t="str">
        <f t="shared" si="12"/>
        <v>Error?</v>
      </c>
    </row>
    <row r="844" spans="1:4" x14ac:dyDescent="0.2">
      <c r="A844" s="5">
        <v>783</v>
      </c>
      <c r="B844" s="138">
        <f>'Expenditures 15-22'!E44</f>
        <v>37028</v>
      </c>
      <c r="D844" s="2" t="str">
        <f t="shared" si="12"/>
        <v>Error?</v>
      </c>
    </row>
    <row r="845" spans="1:4" x14ac:dyDescent="0.2">
      <c r="A845" s="5">
        <v>784</v>
      </c>
      <c r="B845" s="138">
        <f>'Expenditures 15-22'!E45</f>
        <v>9522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46550</v>
      </c>
      <c r="C847" s="2" t="s">
        <v>573</v>
      </c>
      <c r="D847" s="2" t="str">
        <f t="shared" si="12"/>
        <v>Error?</v>
      </c>
    </row>
    <row r="848" spans="1:4" x14ac:dyDescent="0.2">
      <c r="A848" s="5">
        <v>787</v>
      </c>
      <c r="B848" s="138">
        <f>'Expenditures 15-22'!E49</f>
        <v>18097</v>
      </c>
      <c r="D848" s="2" t="str">
        <f t="shared" si="12"/>
        <v>Error?</v>
      </c>
    </row>
    <row r="849" spans="1:4" x14ac:dyDescent="0.2">
      <c r="A849" s="5">
        <v>788</v>
      </c>
      <c r="B849" s="138">
        <f>'Expenditures 15-22'!E50</f>
        <v>6992</v>
      </c>
      <c r="D849" s="2" t="str">
        <f t="shared" si="12"/>
        <v>Error?</v>
      </c>
    </row>
    <row r="850" spans="1:4" x14ac:dyDescent="0.2">
      <c r="A850" s="5">
        <v>789</v>
      </c>
      <c r="B850" s="138">
        <f>'Expenditures 15-22'!E53</f>
        <v>25089</v>
      </c>
      <c r="C850" s="2" t="s">
        <v>573</v>
      </c>
      <c r="D850" s="2" t="str">
        <f t="shared" si="12"/>
        <v>Error?</v>
      </c>
    </row>
    <row r="851" spans="1:4" x14ac:dyDescent="0.2">
      <c r="A851" s="5">
        <v>790</v>
      </c>
      <c r="B851" s="138">
        <f>'Expenditures 15-22'!E55</f>
        <v>3269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3269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830</v>
      </c>
      <c r="D855" s="2" t="str">
        <f t="shared" si="12"/>
        <v>Error?</v>
      </c>
    </row>
    <row r="856" spans="1:4" x14ac:dyDescent="0.2">
      <c r="A856" s="5">
        <v>795</v>
      </c>
      <c r="B856" s="138">
        <f>'Expenditures 15-22'!E61</f>
        <v>45054</v>
      </c>
      <c r="D856" s="2" t="str">
        <f t="shared" si="12"/>
        <v>Error?</v>
      </c>
    </row>
    <row r="857" spans="1:4" x14ac:dyDescent="0.2">
      <c r="A857" s="5">
        <v>796</v>
      </c>
      <c r="B857" s="138">
        <f>'Expenditures 15-22'!E62</f>
        <v>10558</v>
      </c>
      <c r="D857" s="2" t="str">
        <f t="shared" si="12"/>
        <v>Error?</v>
      </c>
    </row>
    <row r="858" spans="1:4" x14ac:dyDescent="0.2">
      <c r="A858" s="5">
        <v>797</v>
      </c>
      <c r="B858" s="138">
        <f>'Expenditures 15-22'!E63</f>
        <v>16867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73309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153231</v>
      </c>
      <c r="C871" s="2" t="s">
        <v>573</v>
      </c>
      <c r="D871" s="2" t="str">
        <f t="shared" si="12"/>
        <v>Error?</v>
      </c>
    </row>
    <row r="872" spans="1:4" x14ac:dyDescent="0.2">
      <c r="A872" s="5">
        <v>811</v>
      </c>
      <c r="B872" s="138">
        <f>'Expenditures 15-22'!E75</f>
        <v>21177</v>
      </c>
      <c r="D872" s="2" t="str">
        <f t="shared" si="12"/>
        <v>Error?</v>
      </c>
    </row>
    <row r="873" spans="1:4" x14ac:dyDescent="0.2">
      <c r="A873" s="5">
        <v>812</v>
      </c>
      <c r="B873" s="138">
        <f>'Expenditures 15-22'!E114</f>
        <v>418980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43413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24128</v>
      </c>
      <c r="D891" s="2" t="str">
        <f t="shared" si="12"/>
        <v>Error?</v>
      </c>
    </row>
    <row r="892" spans="1:4" x14ac:dyDescent="0.2">
      <c r="A892" s="5">
        <v>831</v>
      </c>
      <c r="B892" s="138">
        <f>'Expenditures 15-22'!F14</f>
        <v>6096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147093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516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133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649</v>
      </c>
      <c r="C901" s="2" t="s">
        <v>573</v>
      </c>
      <c r="D901" s="2" t="str">
        <f t="shared" si="13"/>
        <v>Error?</v>
      </c>
    </row>
    <row r="902" spans="1:4" x14ac:dyDescent="0.2">
      <c r="A902" s="5">
        <v>841</v>
      </c>
      <c r="B902" s="138">
        <f>'Expenditures 15-22'!F44</f>
        <v>35706</v>
      </c>
      <c r="D902" s="2" t="str">
        <f t="shared" si="13"/>
        <v>Error?</v>
      </c>
    </row>
    <row r="903" spans="1:4" x14ac:dyDescent="0.2">
      <c r="A903" s="5">
        <v>842</v>
      </c>
      <c r="B903" s="138">
        <f>'Expenditures 15-22'!F45</f>
        <v>6288</v>
      </c>
      <c r="D903" s="2" t="str">
        <f t="shared" si="13"/>
        <v>Error?</v>
      </c>
    </row>
    <row r="904" spans="1:4" x14ac:dyDescent="0.2">
      <c r="A904" s="5">
        <v>843</v>
      </c>
      <c r="B904" s="138">
        <f>'Expenditures 15-22'!F46</f>
        <v>328</v>
      </c>
      <c r="D904" s="2" t="str">
        <f t="shared" si="13"/>
        <v>Error?</v>
      </c>
    </row>
    <row r="905" spans="1:4" x14ac:dyDescent="0.2">
      <c r="A905" s="5">
        <v>844</v>
      </c>
      <c r="B905" s="138">
        <f>'Expenditures 15-22'!F47</f>
        <v>42322</v>
      </c>
      <c r="C905" s="2" t="s">
        <v>573</v>
      </c>
      <c r="D905" s="2" t="str">
        <f t="shared" si="13"/>
        <v>Error?</v>
      </c>
    </row>
    <row r="906" spans="1:4" x14ac:dyDescent="0.2">
      <c r="A906" s="5">
        <v>845</v>
      </c>
      <c r="B906" s="138">
        <f>'Expenditures 15-22'!F49</f>
        <v>431</v>
      </c>
      <c r="D906" s="2" t="str">
        <f t="shared" si="13"/>
        <v>Error?</v>
      </c>
    </row>
    <row r="907" spans="1:4" x14ac:dyDescent="0.2">
      <c r="A907" s="5">
        <v>846</v>
      </c>
      <c r="B907" s="138">
        <f>'Expenditures 15-22'!F50</f>
        <v>2612</v>
      </c>
      <c r="D907" s="2" t="str">
        <f t="shared" si="13"/>
        <v>Error?</v>
      </c>
    </row>
    <row r="908" spans="1:4" x14ac:dyDescent="0.2">
      <c r="A908" s="5">
        <v>847</v>
      </c>
      <c r="B908" s="138">
        <f>'Expenditures 15-22'!F53</f>
        <v>3043</v>
      </c>
      <c r="C908" s="2" t="s">
        <v>573</v>
      </c>
      <c r="D908" s="2" t="str">
        <f t="shared" si="13"/>
        <v>Error?</v>
      </c>
    </row>
    <row r="909" spans="1:4" x14ac:dyDescent="0.2">
      <c r="A909" s="5">
        <v>848</v>
      </c>
      <c r="B909" s="138">
        <f>'Expenditures 15-22'!F55</f>
        <v>10487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10487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1167</v>
      </c>
      <c r="D913" s="2" t="str">
        <f t="shared" si="13"/>
        <v>Error?</v>
      </c>
    </row>
    <row r="914" spans="1:4" x14ac:dyDescent="0.2">
      <c r="A914" s="5">
        <v>853</v>
      </c>
      <c r="B914" s="138">
        <f>'Expenditures 15-22'!F61</f>
        <v>81560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105302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188029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244530</v>
      </c>
      <c r="C929" s="2" t="s">
        <v>573</v>
      </c>
      <c r="D929" s="2" t="str">
        <f t="shared" si="13"/>
        <v>Error?</v>
      </c>
    </row>
    <row r="930" spans="1:4" x14ac:dyDescent="0.2">
      <c r="A930" s="5">
        <v>869</v>
      </c>
      <c r="B930" s="138">
        <f>'Expenditures 15-22'!F75</f>
        <v>590</v>
      </c>
      <c r="D930" s="2" t="str">
        <f t="shared" si="13"/>
        <v>Error?</v>
      </c>
    </row>
    <row r="931" spans="1:4" x14ac:dyDescent="0.2">
      <c r="A931" s="5">
        <v>870</v>
      </c>
      <c r="B931" s="138">
        <f>'Expenditures 15-22'!F114</f>
        <v>392213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1866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378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2244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4410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4410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2178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2178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6588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8832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2131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5512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7643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6329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6329</v>
      </c>
      <c r="C1021" s="2" t="s">
        <v>573</v>
      </c>
      <c r="D1021" s="2" t="str">
        <f t="shared" si="14"/>
        <v>Error?</v>
      </c>
    </row>
    <row r="1022" spans="1:4" x14ac:dyDescent="0.2">
      <c r="A1022" s="5">
        <v>961</v>
      </c>
      <c r="B1022" s="138">
        <f>'Expenditures 15-22'!H49</f>
        <v>7238</v>
      </c>
      <c r="D1022" s="2" t="str">
        <f t="shared" si="14"/>
        <v>Error?</v>
      </c>
    </row>
    <row r="1023" spans="1:4" x14ac:dyDescent="0.2">
      <c r="A1023" s="5">
        <v>962</v>
      </c>
      <c r="B1023" s="138">
        <f>'Expenditures 15-22'!H50</f>
        <v>3778</v>
      </c>
      <c r="D1023" s="2" t="str">
        <f t="shared" ref="D1023:D1086" si="15">IF(ISBLANK(B1023),"OK",IF(A1023-B1023=0,"OK","Error?"))</f>
        <v>Error?</v>
      </c>
    </row>
    <row r="1024" spans="1:4" x14ac:dyDescent="0.2">
      <c r="A1024" s="5">
        <v>963</v>
      </c>
      <c r="B1024" s="138">
        <f>'Expenditures 15-22'!H53</f>
        <v>11016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17345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24988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2357559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24128</v>
      </c>
      <c r="C1105" s="2" t="s">
        <v>573</v>
      </c>
      <c r="D1105" s="2" t="str">
        <f t="shared" si="16"/>
        <v>Error?</v>
      </c>
    </row>
    <row r="1106" spans="1:4" x14ac:dyDescent="0.2">
      <c r="A1106" s="5">
        <v>1045</v>
      </c>
      <c r="B1106" s="138">
        <f>'Expenditures 15-22'!K14</f>
        <v>127622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3016464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5014</v>
      </c>
      <c r="C1110" s="2" t="s">
        <v>573</v>
      </c>
      <c r="D1110" s="2" t="str">
        <f t="shared" si="16"/>
        <v>Error?</v>
      </c>
    </row>
    <row r="1111" spans="1:4" x14ac:dyDescent="0.2">
      <c r="A1111" s="5">
        <v>1050</v>
      </c>
      <c r="B1111" s="138">
        <f>'Expenditures 15-22'!K38</f>
        <v>38855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51451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95320</v>
      </c>
      <c r="C1115" s="2" t="s">
        <v>573</v>
      </c>
      <c r="D1115" s="2" t="str">
        <f t="shared" si="16"/>
        <v>Error?</v>
      </c>
    </row>
    <row r="1116" spans="1:4" x14ac:dyDescent="0.2">
      <c r="A1116" s="5">
        <v>1055</v>
      </c>
      <c r="B1116" s="138">
        <f>'Expenditures 15-22'!K44</f>
        <v>78473</v>
      </c>
      <c r="C1116" s="2" t="s">
        <v>573</v>
      </c>
      <c r="D1116" s="2" t="str">
        <f t="shared" si="16"/>
        <v>Error?</v>
      </c>
    </row>
    <row r="1117" spans="1:4" x14ac:dyDescent="0.2">
      <c r="A1117" s="5">
        <v>1056</v>
      </c>
      <c r="B1117" s="138">
        <f>'Expenditures 15-22'!K45</f>
        <v>127601</v>
      </c>
      <c r="C1117" s="2" t="s">
        <v>573</v>
      </c>
      <c r="D1117" s="2" t="str">
        <f t="shared" si="16"/>
        <v>Error?</v>
      </c>
    </row>
    <row r="1118" spans="1:4" x14ac:dyDescent="0.2">
      <c r="A1118" s="5">
        <v>1057</v>
      </c>
      <c r="B1118" s="138">
        <f>'Expenditures 15-22'!K46</f>
        <v>328</v>
      </c>
      <c r="C1118" s="2" t="s">
        <v>573</v>
      </c>
      <c r="D1118" s="2" t="str">
        <f t="shared" si="16"/>
        <v>Error?</v>
      </c>
    </row>
    <row r="1119" spans="1:4" x14ac:dyDescent="0.2">
      <c r="A1119" s="5">
        <v>1058</v>
      </c>
      <c r="B1119" s="138">
        <f>'Expenditures 15-22'!K47</f>
        <v>206402</v>
      </c>
      <c r="C1119" s="2" t="s">
        <v>573</v>
      </c>
      <c r="D1119" s="2" t="str">
        <f t="shared" si="16"/>
        <v>Error?</v>
      </c>
    </row>
    <row r="1120" spans="1:4" x14ac:dyDescent="0.2">
      <c r="A1120" s="5">
        <v>1059</v>
      </c>
      <c r="B1120" s="138">
        <f>'Expenditures 15-22'!K49</f>
        <v>25766</v>
      </c>
      <c r="C1120" s="2" t="s">
        <v>573</v>
      </c>
      <c r="D1120" s="2" t="str">
        <f t="shared" si="16"/>
        <v>Error?</v>
      </c>
    </row>
    <row r="1121" spans="1:4" x14ac:dyDescent="0.2">
      <c r="A1121" s="5">
        <v>1060</v>
      </c>
      <c r="B1121" s="138">
        <f>'Expenditures 15-22'!K50</f>
        <v>168573</v>
      </c>
      <c r="C1121" s="2" t="s">
        <v>573</v>
      </c>
      <c r="D1121" s="2" t="str">
        <f t="shared" si="16"/>
        <v>Error?</v>
      </c>
    </row>
    <row r="1122" spans="1:4" x14ac:dyDescent="0.2">
      <c r="A1122" s="5">
        <v>1061</v>
      </c>
      <c r="B1122" s="138">
        <f>'Expenditures 15-22'!K53</f>
        <v>194339</v>
      </c>
      <c r="C1122" s="2" t="s">
        <v>573</v>
      </c>
      <c r="D1122" s="2" t="str">
        <f t="shared" si="16"/>
        <v>Error?</v>
      </c>
    </row>
    <row r="1123" spans="1:4" x14ac:dyDescent="0.2">
      <c r="A1123" s="5">
        <v>1062</v>
      </c>
      <c r="B1123" s="138">
        <f>'Expenditures 15-22'!K55</f>
        <v>251167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251167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52684</v>
      </c>
      <c r="C1127" s="2" t="s">
        <v>573</v>
      </c>
      <c r="D1127" s="2" t="str">
        <f t="shared" si="16"/>
        <v>Error?</v>
      </c>
    </row>
    <row r="1128" spans="1:4" x14ac:dyDescent="0.2">
      <c r="A1128" s="5">
        <v>1067</v>
      </c>
      <c r="B1128" s="138">
        <f>'Expenditures 15-22'!K61</f>
        <v>290360</v>
      </c>
      <c r="C1128" s="2" t="s">
        <v>573</v>
      </c>
      <c r="D1128" s="2" t="str">
        <f t="shared" si="16"/>
        <v>Error?</v>
      </c>
    </row>
    <row r="1129" spans="1:4" x14ac:dyDescent="0.2">
      <c r="A1129" s="5">
        <v>1068</v>
      </c>
      <c r="B1129" s="138">
        <f>'Expenditures 15-22'!K62</f>
        <v>10558</v>
      </c>
      <c r="C1129" s="2" t="s">
        <v>573</v>
      </c>
      <c r="D1129" s="2" t="str">
        <f t="shared" si="16"/>
        <v>Error?</v>
      </c>
    </row>
    <row r="1130" spans="1:4" x14ac:dyDescent="0.2">
      <c r="A1130" s="5">
        <v>1069</v>
      </c>
      <c r="B1130" s="138">
        <f>'Expenditures 15-22'!K63</f>
        <v>238323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591925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1339153</v>
      </c>
      <c r="C1143" s="2" t="s">
        <v>573</v>
      </c>
      <c r="D1143" s="2" t="str">
        <f t="shared" si="16"/>
        <v>Error?</v>
      </c>
    </row>
    <row r="1144" spans="1:4" x14ac:dyDescent="0.2">
      <c r="A1144" s="5">
        <v>1083</v>
      </c>
      <c r="B1144" s="138">
        <f>'Expenditures 15-22'!K75</f>
        <v>21767</v>
      </c>
      <c r="C1144" s="2" t="s">
        <v>573</v>
      </c>
      <c r="D1144" s="2" t="str">
        <f t="shared" si="16"/>
        <v>Error?</v>
      </c>
    </row>
    <row r="1145" spans="1:4" x14ac:dyDescent="0.2">
      <c r="A1145" s="5">
        <v>1084</v>
      </c>
      <c r="B1145" s="138">
        <f>'Expenditures 15-22'!K102</f>
        <v>210630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4588014</v>
      </c>
      <c r="C1152" s="2" t="s">
        <v>573</v>
      </c>
      <c r="D1152" s="2" t="str">
        <f t="shared" si="17"/>
        <v>Error?</v>
      </c>
    </row>
    <row r="1153" spans="1:4" x14ac:dyDescent="0.2">
      <c r="A1153" s="5">
        <v>1092</v>
      </c>
      <c r="B1153" s="138">
        <f>'Expenditures 15-22'!K115</f>
        <v>403221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45428</v>
      </c>
      <c r="D1221" s="2" t="str">
        <f t="shared" si="18"/>
        <v>Error?</v>
      </c>
    </row>
    <row r="1222" spans="1:4" x14ac:dyDescent="0.2">
      <c r="A1222" s="10">
        <v>1161</v>
      </c>
      <c r="D1222" s="2" t="str">
        <f t="shared" si="18"/>
        <v>OK</v>
      </c>
    </row>
    <row r="1223" spans="1:4" x14ac:dyDescent="0.2">
      <c r="A1223" s="5">
        <v>1162</v>
      </c>
      <c r="B1223" s="138">
        <f>'Expenditures 15-22'!C127</f>
        <v>45428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45428</v>
      </c>
      <c r="C1225" s="2" t="s">
        <v>573</v>
      </c>
      <c r="D1225" s="2" t="str">
        <f t="shared" si="18"/>
        <v>Error?</v>
      </c>
    </row>
    <row r="1226" spans="1:4" x14ac:dyDescent="0.2">
      <c r="A1226" s="5">
        <v>1165</v>
      </c>
      <c r="B1226" s="138">
        <f>'Expenditures 15-22'!C151</f>
        <v>45428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4570</v>
      </c>
      <c r="D1229" s="2" t="str">
        <f t="shared" si="18"/>
        <v>Error?</v>
      </c>
    </row>
    <row r="1230" spans="1:4" x14ac:dyDescent="0.2">
      <c r="A1230" s="10">
        <v>1169</v>
      </c>
      <c r="D1230" s="2" t="str">
        <f t="shared" si="18"/>
        <v>OK</v>
      </c>
    </row>
    <row r="1231" spans="1:4" x14ac:dyDescent="0.2">
      <c r="A1231" s="5">
        <v>1170</v>
      </c>
      <c r="B1231" s="138">
        <f>'Expenditures 15-22'!D127</f>
        <v>4570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4570</v>
      </c>
      <c r="C1233" s="2" t="s">
        <v>573</v>
      </c>
      <c r="D1233" s="2" t="str">
        <f t="shared" si="18"/>
        <v>Error?</v>
      </c>
    </row>
    <row r="1234" spans="1:4" x14ac:dyDescent="0.2">
      <c r="A1234" s="5">
        <v>1173</v>
      </c>
      <c r="B1234" s="138">
        <f>'Expenditures 15-22'!D151</f>
        <v>4570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7157</v>
      </c>
      <c r="D1236" s="2" t="str">
        <f t="shared" si="18"/>
        <v>Error?</v>
      </c>
    </row>
    <row r="1237" spans="1:4" x14ac:dyDescent="0.2">
      <c r="A1237" s="5">
        <v>1176</v>
      </c>
      <c r="B1237" s="138">
        <f>'Expenditures 15-22'!E124</f>
        <v>18888</v>
      </c>
      <c r="D1237" s="2" t="str">
        <f t="shared" si="18"/>
        <v>Error?</v>
      </c>
    </row>
    <row r="1238" spans="1:4" x14ac:dyDescent="0.2">
      <c r="A1238" s="10">
        <v>1177</v>
      </c>
      <c r="D1238" s="2" t="str">
        <f t="shared" si="18"/>
        <v>OK</v>
      </c>
    </row>
    <row r="1239" spans="1:4" x14ac:dyDescent="0.2">
      <c r="A1239" s="5">
        <v>1178</v>
      </c>
      <c r="B1239" s="138">
        <f>'Expenditures 15-22'!E127</f>
        <v>26045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26045</v>
      </c>
      <c r="C1241" s="2" t="s">
        <v>573</v>
      </c>
      <c r="D1241" s="2" t="str">
        <f t="shared" si="18"/>
        <v>Error?</v>
      </c>
    </row>
    <row r="1242" spans="1:4" x14ac:dyDescent="0.2">
      <c r="A1242" s="5">
        <v>1181</v>
      </c>
      <c r="B1242" s="138">
        <f>'Expenditures 15-22'!E151</f>
        <v>26045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21625</v>
      </c>
      <c r="D1245" s="2" t="str">
        <f t="shared" si="18"/>
        <v>Error?</v>
      </c>
    </row>
    <row r="1246" spans="1:4" x14ac:dyDescent="0.2">
      <c r="A1246" s="10">
        <v>1185</v>
      </c>
      <c r="D1246" s="2" t="str">
        <f t="shared" si="18"/>
        <v>OK</v>
      </c>
    </row>
    <row r="1247" spans="1:4" x14ac:dyDescent="0.2">
      <c r="A1247" s="5">
        <v>1186</v>
      </c>
      <c r="B1247" s="138">
        <f>'Expenditures 15-22'!F127</f>
        <v>21625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21625</v>
      </c>
      <c r="C1249" s="2" t="s">
        <v>573</v>
      </c>
      <c r="D1249" s="2" t="str">
        <f t="shared" si="18"/>
        <v>Error?</v>
      </c>
    </row>
    <row r="1250" spans="1:4" x14ac:dyDescent="0.2">
      <c r="A1250" s="5">
        <v>1189</v>
      </c>
      <c r="B1250" s="138">
        <f>'Expenditures 15-22'!F151</f>
        <v>21625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7157</v>
      </c>
      <c r="C1275" s="2" t="s">
        <v>573</v>
      </c>
      <c r="D1275" s="2" t="str">
        <f t="shared" si="18"/>
        <v>Error?</v>
      </c>
    </row>
    <row r="1276" spans="1:4" x14ac:dyDescent="0.2">
      <c r="A1276" s="5">
        <v>1215</v>
      </c>
      <c r="B1276" s="138">
        <f>'Expenditures 15-22'!K124</f>
        <v>90511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97668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97668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97668</v>
      </c>
      <c r="C1288" s="2" t="s">
        <v>573</v>
      </c>
      <c r="D1288" s="2" t="str">
        <f t="shared" si="19"/>
        <v>Error?</v>
      </c>
    </row>
    <row r="1289" spans="1:4" x14ac:dyDescent="0.2">
      <c r="A1289" s="5">
        <v>1228</v>
      </c>
      <c r="B1289" s="138">
        <f>'Expenditures 15-22'!K152</f>
        <v>177497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87682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177682</v>
      </c>
      <c r="C1317" s="2" t="s">
        <v>573</v>
      </c>
      <c r="D1317" s="2" t="str">
        <f t="shared" si="19"/>
        <v>Error?</v>
      </c>
    </row>
    <row r="1318" spans="1:4" x14ac:dyDescent="0.2">
      <c r="A1318" s="5">
        <v>1257</v>
      </c>
      <c r="B1318" s="138">
        <f>'Expenditures 15-22'!H174</f>
        <v>177682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87682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177682</v>
      </c>
      <c r="C1331" s="2" t="s">
        <v>573</v>
      </c>
      <c r="D1331" s="2" t="str">
        <f t="shared" si="19"/>
        <v>Error?</v>
      </c>
    </row>
    <row r="1332" spans="1:4" x14ac:dyDescent="0.2">
      <c r="A1332" s="5">
        <v>1271</v>
      </c>
      <c r="B1332" s="138">
        <f>'Expenditures 15-22'!K174</f>
        <v>177682</v>
      </c>
      <c r="C1332" s="2" t="s">
        <v>573</v>
      </c>
      <c r="D1332" s="2" t="str">
        <f t="shared" si="19"/>
        <v>Error?</v>
      </c>
    </row>
    <row r="1333" spans="1:4" x14ac:dyDescent="0.2">
      <c r="A1333" s="5">
        <v>1272</v>
      </c>
      <c r="B1333" s="138">
        <f>'Expenditures 15-22'!K175</f>
        <v>-17945</v>
      </c>
      <c r="C1333" s="2" t="s">
        <v>573</v>
      </c>
      <c r="D1333" s="2" t="str">
        <f t="shared" si="19"/>
        <v>Error?</v>
      </c>
    </row>
    <row r="1334" spans="1:4" x14ac:dyDescent="0.2">
      <c r="A1334" s="10">
        <v>1273</v>
      </c>
      <c r="D1334" s="2" t="str">
        <f t="shared" si="19"/>
        <v>OK</v>
      </c>
    </row>
    <row r="1335" spans="1:4" x14ac:dyDescent="0.2">
      <c r="A1335" s="5">
        <v>1274</v>
      </c>
      <c r="B1335" s="138">
        <f>'Expenditures 15-22'!C182</f>
        <v>102348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102348</v>
      </c>
      <c r="C1339" s="2" t="s">
        <v>573</v>
      </c>
      <c r="D1339" s="2" t="str">
        <f t="shared" si="19"/>
        <v>Error?</v>
      </c>
    </row>
    <row r="1340" spans="1:4" x14ac:dyDescent="0.2">
      <c r="A1340" s="5">
        <v>1279</v>
      </c>
      <c r="B1340" s="138">
        <f>'Expenditures 15-22'!C210</f>
        <v>102348</v>
      </c>
      <c r="C1340" s="2" t="s">
        <v>573</v>
      </c>
      <c r="D1340" s="2" t="str">
        <f t="shared" si="19"/>
        <v>Error?</v>
      </c>
    </row>
    <row r="1341" spans="1:4" x14ac:dyDescent="0.2">
      <c r="A1341" s="5">
        <v>1280</v>
      </c>
      <c r="B1341" s="138">
        <f>'Expenditures 15-22'!D182</f>
        <v>12429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12429</v>
      </c>
      <c r="C1345" s="2" t="s">
        <v>573</v>
      </c>
      <c r="D1345" s="2" t="str">
        <f t="shared" si="20"/>
        <v>Error?</v>
      </c>
    </row>
    <row r="1346" spans="1:4" x14ac:dyDescent="0.2">
      <c r="A1346" s="5">
        <v>1285</v>
      </c>
      <c r="B1346" s="138">
        <f>'Expenditures 15-22'!D210</f>
        <v>12429</v>
      </c>
      <c r="C1346" s="2" t="s">
        <v>573</v>
      </c>
      <c r="D1346" s="2" t="str">
        <f t="shared" si="20"/>
        <v>Error?</v>
      </c>
    </row>
    <row r="1347" spans="1:4" x14ac:dyDescent="0.2">
      <c r="A1347" s="5">
        <v>1286</v>
      </c>
      <c r="B1347" s="138">
        <f>'Expenditures 15-22'!E182</f>
        <v>31082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31082</v>
      </c>
      <c r="C1351" s="2" t="s">
        <v>573</v>
      </c>
      <c r="D1351" s="2" t="str">
        <f t="shared" si="20"/>
        <v>Error?</v>
      </c>
    </row>
    <row r="1352" spans="1:4" x14ac:dyDescent="0.2">
      <c r="A1352" s="5">
        <v>1291</v>
      </c>
      <c r="B1352" s="138">
        <f>'Expenditures 15-22'!E196</f>
        <v>150</v>
      </c>
      <c r="C1352" s="2" t="s">
        <v>573</v>
      </c>
      <c r="D1352" s="2" t="str">
        <f t="shared" si="20"/>
        <v>Error?</v>
      </c>
    </row>
    <row r="1353" spans="1:4" x14ac:dyDescent="0.2">
      <c r="A1353" s="5">
        <v>1292</v>
      </c>
      <c r="B1353" s="138">
        <f>'Expenditures 15-22'!E210</f>
        <v>31666</v>
      </c>
      <c r="C1353" s="2" t="s">
        <v>573</v>
      </c>
      <c r="D1353" s="2" t="str">
        <f t="shared" si="20"/>
        <v>Error?</v>
      </c>
    </row>
    <row r="1354" spans="1:4" x14ac:dyDescent="0.2">
      <c r="A1354" s="5">
        <v>1293</v>
      </c>
      <c r="B1354" s="138">
        <f>'Expenditures 15-22'!F182</f>
        <v>32475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32475</v>
      </c>
      <c r="C1358" s="2" t="s">
        <v>573</v>
      </c>
      <c r="D1358" s="2" t="str">
        <f t="shared" si="20"/>
        <v>Error?</v>
      </c>
    </row>
    <row r="1359" spans="1:4" x14ac:dyDescent="0.2">
      <c r="A1359" s="5">
        <v>1298</v>
      </c>
      <c r="B1359" s="138">
        <f>'Expenditures 15-22'!F210</f>
        <v>32475</v>
      </c>
      <c r="C1359" s="2" t="s">
        <v>573</v>
      </c>
      <c r="D1359" s="2" t="str">
        <f t="shared" si="20"/>
        <v>Error?</v>
      </c>
    </row>
    <row r="1360" spans="1:4" x14ac:dyDescent="0.2">
      <c r="A1360" s="5">
        <v>1299</v>
      </c>
      <c r="B1360" s="138">
        <f>'Expenditures 15-22'!G182</f>
        <v>849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849</v>
      </c>
      <c r="C1364" s="2" t="s">
        <v>573</v>
      </c>
      <c r="D1364" s="2" t="str">
        <f t="shared" si="20"/>
        <v>Error?</v>
      </c>
    </row>
    <row r="1365" spans="1:4" x14ac:dyDescent="0.2">
      <c r="A1365" s="5">
        <v>1304</v>
      </c>
      <c r="B1365" s="138">
        <f>'Expenditures 15-22'!G210</f>
        <v>849</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48603</v>
      </c>
      <c r="C1375" s="2" t="s">
        <v>573</v>
      </c>
      <c r="D1375" s="2" t="str">
        <f t="shared" si="20"/>
        <v>Error?</v>
      </c>
    </row>
    <row r="1376" spans="1:4" x14ac:dyDescent="0.2">
      <c r="A1376" s="5">
        <v>1315</v>
      </c>
      <c r="B1376" s="138">
        <f>'Expenditures 15-22'!H210</f>
        <v>48603</v>
      </c>
      <c r="C1376" s="2" t="s">
        <v>573</v>
      </c>
      <c r="D1376" s="2" t="str">
        <f t="shared" si="20"/>
        <v>Error?</v>
      </c>
    </row>
    <row r="1377" spans="1:4" x14ac:dyDescent="0.2">
      <c r="A1377" s="5">
        <v>1316</v>
      </c>
      <c r="B1377" s="138">
        <f>'Expenditures 15-22'!K182</f>
        <v>179183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179183</v>
      </c>
      <c r="C1381" s="2" t="s">
        <v>573</v>
      </c>
      <c r="D1381" s="2" t="str">
        <f t="shared" si="20"/>
        <v>Error?</v>
      </c>
    </row>
    <row r="1382" spans="1:4" x14ac:dyDescent="0.2">
      <c r="A1382" s="5">
        <v>1321</v>
      </c>
      <c r="B1382" s="138">
        <f>'Expenditures 15-22'!K196</f>
        <v>150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48603</v>
      </c>
      <c r="C1387" s="2" t="s">
        <v>573</v>
      </c>
      <c r="D1387" s="2" t="str">
        <f t="shared" si="20"/>
        <v>Error?</v>
      </c>
    </row>
    <row r="1388" spans="1:4" x14ac:dyDescent="0.2">
      <c r="A1388" s="5">
        <v>1327</v>
      </c>
      <c r="B1388" s="138">
        <f>'Expenditures 15-22'!K210</f>
        <v>228370</v>
      </c>
      <c r="C1388" s="2" t="s">
        <v>573</v>
      </c>
      <c r="D1388" s="2" t="str">
        <f t="shared" si="20"/>
        <v>Error?</v>
      </c>
    </row>
    <row r="1389" spans="1:4" x14ac:dyDescent="0.2">
      <c r="A1389" s="5">
        <v>1328</v>
      </c>
      <c r="B1389" s="138">
        <f>'Expenditures 15-22'!K211</f>
        <v>-2277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1753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52722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7950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602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8552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9513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9513</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12510</v>
      </c>
      <c r="D1423" s="2" t="str">
        <f t="shared" si="21"/>
        <v>Error?</v>
      </c>
    </row>
    <row r="1424" spans="1:4" x14ac:dyDescent="0.2">
      <c r="A1424" s="5">
        <v>1363</v>
      </c>
      <c r="B1424" s="138">
        <f>'Expenditures 15-22'!D257</f>
        <v>18544</v>
      </c>
      <c r="C1424" s="2" t="s">
        <v>573</v>
      </c>
      <c r="D1424" s="2" t="str">
        <f t="shared" si="21"/>
        <v>Error?</v>
      </c>
    </row>
    <row r="1425" spans="1:4" x14ac:dyDescent="0.2">
      <c r="A1425" s="5">
        <v>1364</v>
      </c>
      <c r="B1425" s="138">
        <f>'Expenditures 15-22'!D259</f>
        <v>16811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16811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11053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41359</v>
      </c>
      <c r="D1431" s="2" t="str">
        <f t="shared" si="21"/>
        <v>Error?</v>
      </c>
    </row>
    <row r="1432" spans="1:4" x14ac:dyDescent="0.2">
      <c r="A1432" s="5">
        <v>1371</v>
      </c>
      <c r="B1432" s="138">
        <f>'Expenditures 15-22'!D267</f>
        <v>22310</v>
      </c>
      <c r="D1432" s="2" t="str">
        <f t="shared" si="21"/>
        <v>Error?</v>
      </c>
    </row>
    <row r="1433" spans="1:4" x14ac:dyDescent="0.2">
      <c r="A1433" s="5">
        <v>1372</v>
      </c>
      <c r="B1433" s="138">
        <f>'Expenditures 15-22'!D268</f>
        <v>22266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96988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150408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203130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1753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52722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7950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602</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8552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9513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9513</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12510</v>
      </c>
      <c r="C1487" s="2" t="s">
        <v>573</v>
      </c>
      <c r="D1487" s="2" t="str">
        <f t="shared" si="22"/>
        <v>Error?</v>
      </c>
    </row>
    <row r="1488" spans="1:4" x14ac:dyDescent="0.2">
      <c r="A1488" s="5">
        <v>1427</v>
      </c>
      <c r="B1488" s="138">
        <f>'Expenditures 15-22'!K257</f>
        <v>18544</v>
      </c>
      <c r="C1488" s="2" t="s">
        <v>573</v>
      </c>
      <c r="D1488" s="2" t="str">
        <f t="shared" si="22"/>
        <v>Error?</v>
      </c>
    </row>
    <row r="1489" spans="1:4" x14ac:dyDescent="0.2">
      <c r="A1489" s="5">
        <v>1428</v>
      </c>
      <c r="B1489" s="138">
        <f>'Expenditures 15-22'!K259</f>
        <v>16811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16811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11053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41359</v>
      </c>
      <c r="C1495" s="2" t="s">
        <v>573</v>
      </c>
      <c r="D1495" s="2" t="str">
        <f t="shared" si="22"/>
        <v>Error?</v>
      </c>
    </row>
    <row r="1496" spans="1:4" x14ac:dyDescent="0.2">
      <c r="A1496" s="5">
        <v>1435</v>
      </c>
      <c r="B1496" s="138">
        <f>'Expenditures 15-22'!K267</f>
        <v>22310</v>
      </c>
      <c r="C1496" s="2" t="s">
        <v>573</v>
      </c>
      <c r="D1496" s="2" t="str">
        <f t="shared" si="22"/>
        <v>Error?</v>
      </c>
    </row>
    <row r="1497" spans="1:4" x14ac:dyDescent="0.2">
      <c r="A1497" s="5">
        <v>1436</v>
      </c>
      <c r="B1497" s="138">
        <f>'Expenditures 15-22'!K268</f>
        <v>22266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96988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150408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203130</v>
      </c>
      <c r="C1517" s="2" t="s">
        <v>573</v>
      </c>
      <c r="D1517" s="2" t="str">
        <f t="shared" si="22"/>
        <v>Error?</v>
      </c>
    </row>
    <row r="1518" spans="1:4" x14ac:dyDescent="0.2">
      <c r="A1518" s="5">
        <v>1457</v>
      </c>
      <c r="B1518" s="138">
        <f>'Expenditures 15-22'!K296</f>
        <v>-82921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126492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126492</v>
      </c>
      <c r="C1535" s="2" t="s">
        <v>573</v>
      </c>
      <c r="D1535" s="2" t="str">
        <f t="shared" ref="D1535:D1598" si="23">IF(ISBLANK(B1535),"OK",IF(A1535-B1535=0,"OK","Error?"))</f>
        <v>Error?</v>
      </c>
    </row>
    <row r="1536" spans="1:4" x14ac:dyDescent="0.2">
      <c r="A1536" s="5">
        <v>1475</v>
      </c>
      <c r="B1536" s="138">
        <f>'Expenditures 15-22'!E312</f>
        <v>126492</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126492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126492</v>
      </c>
      <c r="C1559" s="2" t="s">
        <v>573</v>
      </c>
      <c r="D1559" s="2" t="str">
        <f t="shared" si="23"/>
        <v>Error?</v>
      </c>
    </row>
    <row r="1560" spans="1:4" x14ac:dyDescent="0.2">
      <c r="A1560" s="5">
        <v>1499</v>
      </c>
      <c r="B1560" s="138">
        <f>'Expenditures 15-22'!K312</f>
        <v>126492</v>
      </c>
      <c r="C1560" s="2" t="s">
        <v>573</v>
      </c>
      <c r="D1560" s="2" t="str">
        <f t="shared" si="23"/>
        <v>Error?</v>
      </c>
    </row>
    <row r="1561" spans="1:4" x14ac:dyDescent="0.2">
      <c r="A1561" s="5">
        <v>1500</v>
      </c>
      <c r="B1561" s="138">
        <f>'Expenditures 15-22'!K313</f>
        <v>-77070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1146572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1549793</v>
      </c>
      <c r="C1630" s="2" t="s">
        <v>573</v>
      </c>
      <c r="D1630" s="2" t="str">
        <f t="shared" si="24"/>
        <v>Error?</v>
      </c>
    </row>
    <row r="1631" spans="1:4" x14ac:dyDescent="0.2">
      <c r="A1631" s="5">
        <v>1570</v>
      </c>
      <c r="B1631" s="138">
        <f>'Acct Summary 7-8'!D79</f>
        <v>499381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676878</v>
      </c>
      <c r="C1644" s="2" t="s">
        <v>573</v>
      </c>
      <c r="D1644" s="2" t="str">
        <f t="shared" si="24"/>
        <v>Error?</v>
      </c>
    </row>
    <row r="1645" spans="1:4" x14ac:dyDescent="0.2">
      <c r="A1645" s="5">
        <v>1584</v>
      </c>
      <c r="B1645" s="138">
        <f>'Acct Summary 7-8'!E79</f>
        <v>223254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205309</v>
      </c>
      <c r="C1658" s="2" t="s">
        <v>573</v>
      </c>
      <c r="D1658" s="2" t="str">
        <f t="shared" si="24"/>
        <v>Error?</v>
      </c>
    </row>
    <row r="1659" spans="1:4" x14ac:dyDescent="0.2">
      <c r="A1659" s="5">
        <v>1598</v>
      </c>
      <c r="B1659" s="138">
        <f>'Acct Summary 7-8'!F79</f>
        <v>53000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50723</v>
      </c>
      <c r="C1672" s="2" t="s">
        <v>573</v>
      </c>
      <c r="D1672" s="2" t="str">
        <f t="shared" si="25"/>
        <v>Error?</v>
      </c>
    </row>
    <row r="1673" spans="1:4" x14ac:dyDescent="0.2">
      <c r="A1673" s="5">
        <v>1612</v>
      </c>
      <c r="B1673" s="138">
        <f>'Acct Summary 7-8'!G79</f>
        <v>690387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607466</v>
      </c>
      <c r="C1686" s="2" t="s">
        <v>573</v>
      </c>
      <c r="D1686" s="2" t="str">
        <f t="shared" si="25"/>
        <v>Error?</v>
      </c>
    </row>
    <row r="1687" spans="1:4" x14ac:dyDescent="0.2">
      <c r="A1687" s="5">
        <v>1626</v>
      </c>
      <c r="B1687" s="138">
        <f>'Acct Summary 7-8'!H79</f>
        <v>261288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184218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1071630</v>
      </c>
      <c r="C1744" s="2" t="s">
        <v>573</v>
      </c>
      <c r="D1744" s="2" t="str">
        <f t="shared" si="26"/>
        <v>Error?</v>
      </c>
    </row>
    <row r="1745" spans="1:5" x14ac:dyDescent="0.2">
      <c r="A1745" s="5">
        <v>1684</v>
      </c>
      <c r="B1745" s="138">
        <f>'Tax Sched 23'!B5</f>
        <v>269315</v>
      </c>
      <c r="C1745" s="2" t="s">
        <v>573</v>
      </c>
      <c r="D1745" s="2" t="str">
        <f t="shared" si="26"/>
        <v>Error?</v>
      </c>
    </row>
    <row r="1746" spans="1:5" x14ac:dyDescent="0.2">
      <c r="A1746" s="5">
        <v>1685</v>
      </c>
      <c r="B1746" s="138">
        <f>'Tax Sched 23'!B6</f>
        <v>18246</v>
      </c>
      <c r="C1746" s="2" t="s">
        <v>573</v>
      </c>
      <c r="D1746" s="2" t="str">
        <f t="shared" si="26"/>
        <v>Error?</v>
      </c>
    </row>
    <row r="1747" spans="1:5" x14ac:dyDescent="0.2">
      <c r="A1747" s="5">
        <v>1686</v>
      </c>
      <c r="B1747" s="138">
        <f>'Tax Sched 23'!B7</f>
        <v>107724</v>
      </c>
      <c r="C1747" s="2" t="s">
        <v>573</v>
      </c>
      <c r="D1747" s="2" t="str">
        <f t="shared" si="26"/>
        <v>Error?</v>
      </c>
    </row>
    <row r="1748" spans="1:5" x14ac:dyDescent="0.2">
      <c r="A1748" s="5">
        <v>1687</v>
      </c>
      <c r="B1748" s="138">
        <f>'Tax Sched 23'!B8</f>
        <v>44928</v>
      </c>
      <c r="C1748" s="2" t="s">
        <v>573</v>
      </c>
      <c r="D1748" s="2" t="str">
        <f t="shared" si="26"/>
        <v>Error?</v>
      </c>
    </row>
    <row r="1749" spans="1:5" x14ac:dyDescent="0.2">
      <c r="A1749" s="5">
        <v>1688</v>
      </c>
      <c r="B1749" s="138">
        <f>'Tax Sched 23'!B10</f>
        <v>26661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319478</v>
      </c>
      <c r="C1752" s="2" t="s">
        <v>573</v>
      </c>
      <c r="D1752" s="2" t="str">
        <f t="shared" si="26"/>
        <v>Error?</v>
      </c>
    </row>
    <row r="1753" spans="1:5" x14ac:dyDescent="0.2">
      <c r="A1753" s="5">
        <v>1692</v>
      </c>
      <c r="B1753" s="138">
        <f>'Tax Sched 23'!B12</f>
        <v>26934</v>
      </c>
      <c r="C1753" s="2" t="s">
        <v>573</v>
      </c>
      <c r="D1753" s="2" t="str">
        <f t="shared" si="26"/>
        <v>Error?</v>
      </c>
    </row>
    <row r="1754" spans="1:5" x14ac:dyDescent="0.2">
      <c r="A1754" s="5">
        <v>1693</v>
      </c>
      <c r="B1754" s="138">
        <f>'Tax Sched 23'!B14</f>
        <v>21544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1996296</v>
      </c>
      <c r="C1759" s="2" t="s">
        <v>573</v>
      </c>
      <c r="D1759" s="2" t="str">
        <f t="shared" si="26"/>
        <v>Error?</v>
      </c>
    </row>
    <row r="1760" spans="1:5" x14ac:dyDescent="0.2">
      <c r="A1760" s="5">
        <v>1699</v>
      </c>
      <c r="B1760" s="138">
        <f>'Tax Sched 23'!D4</f>
        <v>1071228</v>
      </c>
      <c r="C1760" s="2" t="s">
        <v>573</v>
      </c>
      <c r="D1760" s="2" t="str">
        <f t="shared" si="26"/>
        <v>Error?</v>
      </c>
    </row>
    <row r="1761" spans="1:5" x14ac:dyDescent="0.2">
      <c r="A1761" s="5">
        <v>1700</v>
      </c>
      <c r="B1761" s="138">
        <f>'Tax Sched 23'!D5</f>
        <v>269214</v>
      </c>
      <c r="C1761" s="2" t="s">
        <v>573</v>
      </c>
      <c r="D1761" s="2" t="str">
        <f t="shared" si="26"/>
        <v>Error?</v>
      </c>
    </row>
    <row r="1762" spans="1:5" s="8" customFormat="1" x14ac:dyDescent="0.2">
      <c r="A1762" s="5">
        <v>1701</v>
      </c>
      <c r="B1762" s="138">
        <f>'Tax Sched 23'!D6</f>
        <v>18238</v>
      </c>
      <c r="C1762" s="2" t="s">
        <v>573</v>
      </c>
      <c r="D1762" s="2" t="str">
        <f t="shared" si="26"/>
        <v>Error?</v>
      </c>
      <c r="E1762" s="9"/>
    </row>
    <row r="1763" spans="1:5" x14ac:dyDescent="0.2">
      <c r="A1763" s="5">
        <v>1702</v>
      </c>
      <c r="B1763" s="138">
        <f>'Tax Sched 23'!D7</f>
        <v>107684</v>
      </c>
      <c r="C1763" s="2" t="s">
        <v>573</v>
      </c>
      <c r="D1763" s="2" t="str">
        <f t="shared" si="26"/>
        <v>Error?</v>
      </c>
    </row>
    <row r="1764" spans="1:5" x14ac:dyDescent="0.2">
      <c r="A1764" s="5">
        <v>1703</v>
      </c>
      <c r="B1764" s="138">
        <f>'Tax Sched 23'!D8</f>
        <v>44910</v>
      </c>
      <c r="C1764" s="2" t="s">
        <v>573</v>
      </c>
      <c r="D1764" s="2" t="str">
        <f t="shared" si="26"/>
        <v>Error?</v>
      </c>
    </row>
    <row r="1765" spans="1:5" x14ac:dyDescent="0.2">
      <c r="A1765" s="5">
        <v>1704</v>
      </c>
      <c r="B1765" s="138">
        <f>'Tax Sched 23'!D10</f>
        <v>26651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319353</v>
      </c>
      <c r="C1768" s="2" t="s">
        <v>573</v>
      </c>
      <c r="D1768" s="2" t="str">
        <f t="shared" si="26"/>
        <v>Error?</v>
      </c>
    </row>
    <row r="1769" spans="1:5" x14ac:dyDescent="0.2">
      <c r="A1769" s="5">
        <v>1708</v>
      </c>
      <c r="B1769" s="138">
        <f>'Tax Sched 23'!D12</f>
        <v>26924</v>
      </c>
      <c r="C1769" s="2" t="s">
        <v>573</v>
      </c>
      <c r="D1769" s="2" t="str">
        <f t="shared" si="26"/>
        <v>Error?</v>
      </c>
    </row>
    <row r="1770" spans="1:5" x14ac:dyDescent="0.2">
      <c r="A1770" s="5">
        <v>1709</v>
      </c>
      <c r="B1770" s="138">
        <f>'Tax Sched 23'!D14</f>
        <v>21536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1995539</v>
      </c>
      <c r="C1775" s="2" t="s">
        <v>573</v>
      </c>
      <c r="D1775" s="2" t="str">
        <f t="shared" si="26"/>
        <v>Error?</v>
      </c>
    </row>
    <row r="1776" spans="1:5" x14ac:dyDescent="0.2">
      <c r="A1776" s="5">
        <v>1715</v>
      </c>
      <c r="B1776" s="138">
        <f>'Tax Sched 23'!C4</f>
        <v>402</v>
      </c>
      <c r="D1776" s="2" t="str">
        <f t="shared" si="26"/>
        <v>Error?</v>
      </c>
    </row>
    <row r="1777" spans="1:4" x14ac:dyDescent="0.2">
      <c r="A1777" s="5">
        <v>1716</v>
      </c>
      <c r="B1777" s="138">
        <f>'Tax Sched 23'!C5</f>
        <v>101</v>
      </c>
      <c r="D1777" s="2" t="str">
        <f t="shared" si="26"/>
        <v>Error?</v>
      </c>
    </row>
    <row r="1778" spans="1:4" x14ac:dyDescent="0.2">
      <c r="A1778" s="5">
        <v>1717</v>
      </c>
      <c r="B1778" s="138">
        <f>'Tax Sched 23'!C6</f>
        <v>8</v>
      </c>
      <c r="D1778" s="2" t="str">
        <f t="shared" si="26"/>
        <v>Error?</v>
      </c>
    </row>
    <row r="1779" spans="1:4" x14ac:dyDescent="0.2">
      <c r="A1779" s="5">
        <v>1718</v>
      </c>
      <c r="B1779" s="138">
        <f>'Tax Sched 23'!C7</f>
        <v>40</v>
      </c>
      <c r="D1779" s="2" t="str">
        <f t="shared" si="26"/>
        <v>Error?</v>
      </c>
    </row>
    <row r="1780" spans="1:4" x14ac:dyDescent="0.2">
      <c r="A1780" s="5">
        <v>1719</v>
      </c>
      <c r="B1780" s="138">
        <f>'Tax Sched 23'!C8</f>
        <v>18</v>
      </c>
      <c r="D1780" s="2" t="str">
        <f t="shared" si="26"/>
        <v>Error?</v>
      </c>
    </row>
    <row r="1781" spans="1:4" x14ac:dyDescent="0.2">
      <c r="A1781" s="5">
        <v>1720</v>
      </c>
      <c r="B1781" s="138">
        <f>'Tax Sched 23'!C10</f>
        <v>10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125</v>
      </c>
      <c r="D1784" s="2" t="str">
        <f t="shared" si="26"/>
        <v>Error?</v>
      </c>
    </row>
    <row r="1785" spans="1:4" x14ac:dyDescent="0.2">
      <c r="A1785" s="5">
        <v>1724</v>
      </c>
      <c r="B1785" s="138">
        <f>'Tax Sched 23'!C12</f>
        <v>10</v>
      </c>
      <c r="D1785" s="2" t="str">
        <f t="shared" si="26"/>
        <v>Error?</v>
      </c>
    </row>
    <row r="1786" spans="1:4" x14ac:dyDescent="0.2">
      <c r="A1786" s="5">
        <v>1725</v>
      </c>
      <c r="B1786" s="138">
        <f>'Tax Sched 23'!C14</f>
        <v>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757</v>
      </c>
      <c r="C1791" s="2" t="s">
        <v>573</v>
      </c>
      <c r="D1791" s="2" t="str">
        <f t="shared" ref="D1791:D1854" si="27">IF(ISBLANK(B1791),"OK",IF(A1791-B1791=0,"OK","Error?"))</f>
        <v>Error?</v>
      </c>
    </row>
    <row r="1792" spans="1:4" x14ac:dyDescent="0.2">
      <c r="A1792" s="5">
        <v>1731</v>
      </c>
      <c r="B1792" s="138">
        <f>'Tax Sched 23'!F4</f>
        <v>1118395</v>
      </c>
      <c r="C1792" s="2" t="s">
        <v>573</v>
      </c>
      <c r="D1792" s="2" t="str">
        <f t="shared" si="27"/>
        <v>Error?</v>
      </c>
    </row>
    <row r="1793" spans="1:4" x14ac:dyDescent="0.2">
      <c r="A1793" s="5">
        <v>1732</v>
      </c>
      <c r="B1793" s="138">
        <f>'Tax Sched 23'!F5</f>
        <v>275671</v>
      </c>
      <c r="C1793" s="2" t="s">
        <v>573</v>
      </c>
      <c r="D1793" s="2" t="str">
        <f t="shared" si="27"/>
        <v>Error?</v>
      </c>
    </row>
    <row r="1794" spans="1:4" x14ac:dyDescent="0.2">
      <c r="A1794" s="5">
        <v>1733</v>
      </c>
      <c r="B1794" s="138">
        <f>'Tax Sched 23'!F6</f>
        <v>20387</v>
      </c>
      <c r="C1794" s="2" t="s">
        <v>573</v>
      </c>
      <c r="D1794" s="2" t="str">
        <f t="shared" si="27"/>
        <v>Error?</v>
      </c>
    </row>
    <row r="1795" spans="1:4" x14ac:dyDescent="0.2">
      <c r="A1795" s="5">
        <v>1734</v>
      </c>
      <c r="B1795" s="138">
        <f>'Tax Sched 23'!F7</f>
        <v>112414</v>
      </c>
      <c r="C1795" s="2" t="s">
        <v>573</v>
      </c>
      <c r="D1795" s="2" t="str">
        <f t="shared" si="27"/>
        <v>Error?</v>
      </c>
    </row>
    <row r="1796" spans="1:4" x14ac:dyDescent="0.2">
      <c r="A1796" s="5">
        <v>1735</v>
      </c>
      <c r="B1796" s="138">
        <f>'Tax Sched 23'!F8</f>
        <v>45566</v>
      </c>
      <c r="C1796" s="2" t="s">
        <v>573</v>
      </c>
      <c r="D1796" s="2" t="str">
        <f t="shared" si="27"/>
        <v>Error?</v>
      </c>
    </row>
    <row r="1797" spans="1:4" x14ac:dyDescent="0.2">
      <c r="A1797" s="5">
        <v>1736</v>
      </c>
      <c r="B1797" s="138">
        <f>'Tax Sched 23'!F10</f>
        <v>26459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324040</v>
      </c>
      <c r="C1800" s="2" t="s">
        <v>573</v>
      </c>
      <c r="D1800" s="2" t="str">
        <f t="shared" si="27"/>
        <v>Error?</v>
      </c>
    </row>
    <row r="1801" spans="1:4" x14ac:dyDescent="0.2">
      <c r="A1801" s="5">
        <v>1740</v>
      </c>
      <c r="B1801" s="138">
        <f>'Tax Sched 23'!F12</f>
        <v>27565</v>
      </c>
      <c r="C1801" s="2" t="s">
        <v>573</v>
      </c>
      <c r="D1801" s="2" t="str">
        <f t="shared" si="27"/>
        <v>Error?</v>
      </c>
    </row>
    <row r="1802" spans="1:4" x14ac:dyDescent="0.2">
      <c r="A1802" s="5">
        <v>1741</v>
      </c>
      <c r="B1802" s="138">
        <f>'Tax Sched 23'!F14</f>
        <v>22162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2064161</v>
      </c>
      <c r="C1807" s="2" t="s">
        <v>573</v>
      </c>
      <c r="D1807" s="2" t="str">
        <f t="shared" si="27"/>
        <v>Error?</v>
      </c>
    </row>
    <row r="1808" spans="1:4" x14ac:dyDescent="0.2">
      <c r="A1808" s="5">
        <v>1747</v>
      </c>
      <c r="B1808" s="138">
        <f>'Tax Sched 23'!E4</f>
        <v>1118797</v>
      </c>
      <c r="D1808" s="2" t="str">
        <f t="shared" si="27"/>
        <v>Error?</v>
      </c>
    </row>
    <row r="1809" spans="1:4" x14ac:dyDescent="0.2">
      <c r="A1809" s="5">
        <v>1748</v>
      </c>
      <c r="B1809" s="138">
        <f>'Tax Sched 23'!E5</f>
        <v>275772</v>
      </c>
      <c r="D1809" s="2" t="str">
        <f t="shared" si="27"/>
        <v>Error?</v>
      </c>
    </row>
    <row r="1810" spans="1:4" x14ac:dyDescent="0.2">
      <c r="A1810" s="5">
        <v>1749</v>
      </c>
      <c r="B1810" s="138">
        <f>'Tax Sched 23'!E6</f>
        <v>20395</v>
      </c>
      <c r="D1810" s="2" t="str">
        <f t="shared" si="27"/>
        <v>Error?</v>
      </c>
    </row>
    <row r="1811" spans="1:4" x14ac:dyDescent="0.2">
      <c r="A1811" s="5">
        <v>1750</v>
      </c>
      <c r="B1811" s="138">
        <f>'Tax Sched 23'!E7</f>
        <v>112454</v>
      </c>
      <c r="D1811" s="2" t="str">
        <f t="shared" si="27"/>
        <v>Error?</v>
      </c>
    </row>
    <row r="1812" spans="1:4" x14ac:dyDescent="0.2">
      <c r="A1812" s="5">
        <v>1751</v>
      </c>
      <c r="B1812" s="138">
        <f>'Tax Sched 23'!E8</f>
        <v>45584</v>
      </c>
      <c r="D1812" s="2" t="str">
        <f t="shared" si="27"/>
        <v>Error?</v>
      </c>
    </row>
    <row r="1813" spans="1:4" x14ac:dyDescent="0.2">
      <c r="A1813" s="5">
        <v>1752</v>
      </c>
      <c r="B1813" s="138">
        <f>'Tax Sched 23'!E10</f>
        <v>26469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324165</v>
      </c>
      <c r="D1816" s="2" t="str">
        <f t="shared" si="27"/>
        <v>Error?</v>
      </c>
    </row>
    <row r="1817" spans="1:4" x14ac:dyDescent="0.2">
      <c r="A1817" s="5">
        <v>1756</v>
      </c>
      <c r="B1817" s="138">
        <f>'Tax Sched 23'!E12</f>
        <v>27575</v>
      </c>
      <c r="D1817" s="2" t="str">
        <f t="shared" si="27"/>
        <v>Error?</v>
      </c>
    </row>
    <row r="1818" spans="1:4" x14ac:dyDescent="0.2">
      <c r="A1818" s="5">
        <v>1757</v>
      </c>
      <c r="B1818" s="138">
        <f>'Tax Sched 23'!E14</f>
        <v>22170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2064918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2479165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21544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21544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21544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63426</v>
      </c>
      <c r="D2008" s="2" t="str">
        <f t="shared" si="30"/>
        <v>Error?</v>
      </c>
    </row>
    <row r="2009" spans="1:4" x14ac:dyDescent="0.2">
      <c r="A2009" s="5">
        <v>1948</v>
      </c>
      <c r="B2009" s="138">
        <f>'Cap Outlay Deprec 26'!C8</f>
        <v>8311391</v>
      </c>
      <c r="D2009" s="2" t="str">
        <f t="shared" si="30"/>
        <v>Error?</v>
      </c>
    </row>
    <row r="2010" spans="1:4" x14ac:dyDescent="0.2">
      <c r="A2010" s="5">
        <v>1949</v>
      </c>
      <c r="B2010" s="138">
        <f>'Cap Outlay Deprec 26'!C10</f>
        <v>38078</v>
      </c>
      <c r="D2010" s="2" t="str">
        <f t="shared" si="30"/>
        <v>Error?</v>
      </c>
    </row>
    <row r="2011" spans="1:4" x14ac:dyDescent="0.2">
      <c r="A2011" s="5">
        <v>1950</v>
      </c>
      <c r="B2011" s="138">
        <f>'Cap Outlay Deprec 26'!C12</f>
        <v>1404090</v>
      </c>
      <c r="D2011" s="2" t="str">
        <f t="shared" si="30"/>
        <v>Error?</v>
      </c>
    </row>
    <row r="2012" spans="1:4" x14ac:dyDescent="0.2">
      <c r="A2012" s="5">
        <v>1951</v>
      </c>
      <c r="B2012" s="138">
        <f>'Cap Outlay Deprec 26'!C13</f>
        <v>984094</v>
      </c>
      <c r="D2012" s="2" t="str">
        <f t="shared" si="30"/>
        <v>Error?</v>
      </c>
    </row>
    <row r="2013" spans="1:4" x14ac:dyDescent="0.2">
      <c r="A2013" s="5">
        <v>1952</v>
      </c>
      <c r="B2013" s="138">
        <f>'Cap Outlay Deprec 26'!C16</f>
        <v>10801079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634301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8454</v>
      </c>
      <c r="D2017" s="2" t="str">
        <f t="shared" si="30"/>
        <v>Error?</v>
      </c>
    </row>
    <row r="2018" spans="1:4" x14ac:dyDescent="0.2">
      <c r="A2018" s="5">
        <v>1957</v>
      </c>
      <c r="B2018" s="138">
        <f>'Cap Outlay Deprec 26'!D13</f>
        <v>849</v>
      </c>
      <c r="D2018" s="2" t="str">
        <f t="shared" si="30"/>
        <v>Error?</v>
      </c>
    </row>
    <row r="2019" spans="1:4" x14ac:dyDescent="0.2">
      <c r="A2019" s="5">
        <v>1958</v>
      </c>
      <c r="B2019" s="138">
        <f>'Cap Outlay Deprec 26'!D16</f>
        <v>643604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14366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14366</v>
      </c>
      <c r="C2025" s="2" t="s">
        <v>573</v>
      </c>
      <c r="D2025" s="2" t="str">
        <f t="shared" si="30"/>
        <v>Error?</v>
      </c>
    </row>
    <row r="2026" spans="1:4" x14ac:dyDescent="0.2">
      <c r="A2026" s="5">
        <v>1965</v>
      </c>
      <c r="B2026" s="138">
        <f>'Cap Outlay Deprec 26'!F5</f>
        <v>63426</v>
      </c>
      <c r="C2026" s="2" t="s">
        <v>573</v>
      </c>
      <c r="D2026" s="2" t="str">
        <f t="shared" si="30"/>
        <v>Error?</v>
      </c>
    </row>
    <row r="2027" spans="1:4" x14ac:dyDescent="0.2">
      <c r="A2027" s="5">
        <v>1966</v>
      </c>
      <c r="B2027" s="138">
        <f>'Cap Outlay Deprec 26'!F8</f>
        <v>8945692</v>
      </c>
      <c r="C2027" s="2" t="s">
        <v>573</v>
      </c>
      <c r="D2027" s="2" t="str">
        <f t="shared" si="30"/>
        <v>Error?</v>
      </c>
    </row>
    <row r="2028" spans="1:4" x14ac:dyDescent="0.2">
      <c r="A2028" s="5">
        <v>1967</v>
      </c>
      <c r="B2028" s="138">
        <f>'Cap Outlay Deprec 26'!F10</f>
        <v>38078</v>
      </c>
      <c r="C2028" s="2" t="s">
        <v>573</v>
      </c>
      <c r="D2028" s="2" t="str">
        <f t="shared" si="30"/>
        <v>Error?</v>
      </c>
    </row>
    <row r="2029" spans="1:4" x14ac:dyDescent="0.2">
      <c r="A2029" s="5">
        <v>1968</v>
      </c>
      <c r="B2029" s="138">
        <f>'Cap Outlay Deprec 26'!F12</f>
        <v>1398178</v>
      </c>
      <c r="C2029" s="2" t="s">
        <v>573</v>
      </c>
      <c r="D2029" s="2" t="str">
        <f t="shared" si="30"/>
        <v>Error?</v>
      </c>
    </row>
    <row r="2030" spans="1:4" x14ac:dyDescent="0.2">
      <c r="A2030" s="5">
        <v>1969</v>
      </c>
      <c r="B2030" s="138">
        <f>'Cap Outlay Deprec 26'!F13</f>
        <v>984943</v>
      </c>
      <c r="C2030" s="2" t="s">
        <v>573</v>
      </c>
      <c r="D2030" s="2" t="str">
        <f t="shared" si="30"/>
        <v>Error?</v>
      </c>
    </row>
    <row r="2031" spans="1:4" x14ac:dyDescent="0.2">
      <c r="A2031" s="5">
        <v>1970</v>
      </c>
      <c r="B2031" s="138">
        <f>'Cap Outlay Deprec 26'!F16</f>
        <v>11430317</v>
      </c>
      <c r="C2031" s="2" t="s">
        <v>573</v>
      </c>
      <c r="D2031" s="2" t="str">
        <f t="shared" si="30"/>
        <v>Error?</v>
      </c>
    </row>
    <row r="2032" spans="1:4" x14ac:dyDescent="0.2">
      <c r="A2032" s="10">
        <v>1971</v>
      </c>
      <c r="D2032" s="2" t="str">
        <f t="shared" si="30"/>
        <v>OK</v>
      </c>
    </row>
    <row r="2033" spans="1:4" x14ac:dyDescent="0.2">
      <c r="A2033" s="5">
        <v>1972</v>
      </c>
      <c r="B2033" s="138">
        <f>'Cap Outlay Deprec 26'!H8</f>
        <v>4794319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703093</v>
      </c>
      <c r="D2035" s="2" t="str">
        <f t="shared" si="30"/>
        <v>Error?</v>
      </c>
    </row>
    <row r="2036" spans="1:4" x14ac:dyDescent="0.2">
      <c r="A2036" s="5">
        <v>1975</v>
      </c>
      <c r="B2036" s="138">
        <f>'Cap Outlay Deprec 26'!H13</f>
        <v>750154</v>
      </c>
      <c r="D2036" s="2" t="str">
        <f t="shared" si="30"/>
        <v>Error?</v>
      </c>
    </row>
    <row r="2037" spans="1:4" x14ac:dyDescent="0.2">
      <c r="A2037" s="5">
        <v>1976</v>
      </c>
      <c r="B2037" s="138">
        <f>'Cap Outlay Deprec 26'!H16</f>
        <v>6247566</v>
      </c>
      <c r="C2037" s="2" t="s">
        <v>573</v>
      </c>
      <c r="D2037" s="2" t="str">
        <f t="shared" si="30"/>
        <v>Error?</v>
      </c>
    </row>
    <row r="2038" spans="1:4" x14ac:dyDescent="0.2">
      <c r="A2038" s="10">
        <v>1977</v>
      </c>
      <c r="D2038" s="2" t="str">
        <f t="shared" si="30"/>
        <v>OK</v>
      </c>
    </row>
    <row r="2039" spans="1:4" x14ac:dyDescent="0.2">
      <c r="A2039" s="5">
        <v>1978</v>
      </c>
      <c r="B2039" s="138">
        <f>'Cap Outlay Deprec 26'!I8</f>
        <v>76684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71241</v>
      </c>
      <c r="D2041" s="2" t="str">
        <f t="shared" si="30"/>
        <v>Error?</v>
      </c>
    </row>
    <row r="2042" spans="1:4" x14ac:dyDescent="0.2">
      <c r="A2042" s="5">
        <v>1981</v>
      </c>
      <c r="B2042" s="138">
        <f>'Cap Outlay Deprec 26'!I13</f>
        <v>50913</v>
      </c>
      <c r="D2042" s="2" t="str">
        <f t="shared" si="30"/>
        <v>Error?</v>
      </c>
    </row>
    <row r="2043" spans="1:4" x14ac:dyDescent="0.2">
      <c r="A2043" s="5">
        <v>1982</v>
      </c>
      <c r="B2043" s="138">
        <f>'Cap Outlay Deprec 26'!I16</f>
        <v>198838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14366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14366</v>
      </c>
      <c r="C2049" s="2" t="s">
        <v>573</v>
      </c>
      <c r="D2049" s="2" t="str">
        <f t="shared" si="31"/>
        <v>Error?</v>
      </c>
    </row>
    <row r="2050" spans="1:4" x14ac:dyDescent="0.2">
      <c r="A2050" s="10">
        <v>1989</v>
      </c>
      <c r="D2050" s="2" t="str">
        <f t="shared" si="31"/>
        <v>OK</v>
      </c>
    </row>
    <row r="2051" spans="1:4" x14ac:dyDescent="0.2">
      <c r="A2051" s="5">
        <v>1990</v>
      </c>
      <c r="B2051" s="138">
        <f>'Cap Outlay Deprec 26'!K8</f>
        <v>4871003</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759968</v>
      </c>
      <c r="C2053" s="2" t="s">
        <v>573</v>
      </c>
      <c r="D2053" s="2" t="str">
        <f t="shared" si="31"/>
        <v>Error?</v>
      </c>
    </row>
    <row r="2054" spans="1:4" x14ac:dyDescent="0.2">
      <c r="A2054" s="5">
        <v>1993</v>
      </c>
      <c r="B2054" s="138">
        <f>'Cap Outlay Deprec 26'!K13</f>
        <v>801067</v>
      </c>
      <c r="C2054" s="2" t="s">
        <v>573</v>
      </c>
      <c r="D2054" s="2" t="str">
        <f t="shared" si="31"/>
        <v>Error?</v>
      </c>
    </row>
    <row r="2055" spans="1:4" x14ac:dyDescent="0.2">
      <c r="A2055" s="5">
        <v>1994</v>
      </c>
      <c r="B2055" s="138">
        <f>'Cap Outlay Deprec 26'!K16</f>
        <v>6432038</v>
      </c>
      <c r="C2055" s="2" t="s">
        <v>573</v>
      </c>
      <c r="D2055" s="2" t="str">
        <f t="shared" si="31"/>
        <v>Error?</v>
      </c>
    </row>
    <row r="2056" spans="1:4" x14ac:dyDescent="0.2">
      <c r="A2056" s="5">
        <v>1995</v>
      </c>
      <c r="B2056" s="138">
        <f>'Cap Outlay Deprec 26'!L5</f>
        <v>63426</v>
      </c>
      <c r="C2056" s="2" t="s">
        <v>573</v>
      </c>
      <c r="D2056" s="2" t="str">
        <f t="shared" si="31"/>
        <v>Error?</v>
      </c>
    </row>
    <row r="2057" spans="1:4" x14ac:dyDescent="0.2">
      <c r="A2057" s="5">
        <v>1996</v>
      </c>
      <c r="B2057" s="138">
        <f>'Cap Outlay Deprec 26'!L8</f>
        <v>4074689</v>
      </c>
      <c r="C2057" s="2" t="s">
        <v>573</v>
      </c>
      <c r="D2057" s="2" t="str">
        <f t="shared" si="31"/>
        <v>Error?</v>
      </c>
    </row>
    <row r="2058" spans="1:4" x14ac:dyDescent="0.2">
      <c r="A2058" s="5">
        <v>1997</v>
      </c>
      <c r="B2058" s="138">
        <f>'Cap Outlay Deprec 26'!L10</f>
        <v>38078</v>
      </c>
      <c r="C2058" s="2" t="s">
        <v>573</v>
      </c>
      <c r="D2058" s="2" t="str">
        <f t="shared" si="31"/>
        <v>Error?</v>
      </c>
    </row>
    <row r="2059" spans="1:4" x14ac:dyDescent="0.2">
      <c r="A2059" s="5">
        <v>1998</v>
      </c>
      <c r="B2059" s="138">
        <f>'Cap Outlay Deprec 26'!L12</f>
        <v>638210</v>
      </c>
      <c r="C2059" s="2" t="s">
        <v>573</v>
      </c>
      <c r="D2059" s="2" t="str">
        <f t="shared" si="31"/>
        <v>Error?</v>
      </c>
    </row>
    <row r="2060" spans="1:4" x14ac:dyDescent="0.2">
      <c r="A2060" s="5">
        <v>1999</v>
      </c>
      <c r="B2060" s="138">
        <f>'Cap Outlay Deprec 26'!L13</f>
        <v>183876</v>
      </c>
      <c r="C2060" s="2" t="s">
        <v>573</v>
      </c>
      <c r="D2060" s="2" t="str">
        <f t="shared" si="31"/>
        <v>Error?</v>
      </c>
    </row>
    <row r="2061" spans="1:4" x14ac:dyDescent="0.2">
      <c r="A2061" s="5">
        <v>2000</v>
      </c>
      <c r="B2061" s="138">
        <f>'Cap Outlay Deprec 26'!L16</f>
        <v>4998279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210630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607466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205309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184218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1441232</v>
      </c>
      <c r="C2551" s="2" t="s">
        <v>573</v>
      </c>
      <c r="D2551" s="2" t="str">
        <f t="shared" si="38"/>
        <v>Error?</v>
      </c>
    </row>
    <row r="2552" spans="1:4" x14ac:dyDescent="0.2">
      <c r="A2552" s="10">
        <v>2491</v>
      </c>
      <c r="D2552" s="2" t="str">
        <f t="shared" si="38"/>
        <v>OK</v>
      </c>
    </row>
    <row r="2553" spans="1:4" x14ac:dyDescent="0.2">
      <c r="A2553" s="5">
        <v>2492</v>
      </c>
      <c r="B2553" s="138">
        <f>'Acct Summary 7-8'!C6</f>
        <v>3005733</v>
      </c>
      <c r="C2553" s="2" t="s">
        <v>573</v>
      </c>
      <c r="D2553" s="2" t="str">
        <f t="shared" si="38"/>
        <v>Error?</v>
      </c>
    </row>
    <row r="2554" spans="1:4" x14ac:dyDescent="0.2">
      <c r="A2554" s="5">
        <v>2493</v>
      </c>
      <c r="B2554" s="138">
        <f>'Acct Summary 7-8'!C7</f>
        <v>521069</v>
      </c>
      <c r="C2554" s="2" t="s">
        <v>573</v>
      </c>
      <c r="D2554" s="2" t="str">
        <f t="shared" si="38"/>
        <v>Error?</v>
      </c>
    </row>
    <row r="2555" spans="1:4" x14ac:dyDescent="0.2">
      <c r="A2555" s="5">
        <v>2494</v>
      </c>
      <c r="B2555" s="138">
        <f>'Acct Summary 7-8'!C8</f>
        <v>4991235</v>
      </c>
      <c r="C2555" s="2" t="s">
        <v>573</v>
      </c>
      <c r="D2555" s="2" t="str">
        <f t="shared" si="38"/>
        <v>Error?</v>
      </c>
    </row>
    <row r="2556" spans="1:4" x14ac:dyDescent="0.2">
      <c r="A2556" s="5">
        <v>2495</v>
      </c>
      <c r="B2556" s="138">
        <f>'Acct Summary 7-8'!C12</f>
        <v>3016464</v>
      </c>
      <c r="C2556" s="2" t="s">
        <v>573</v>
      </c>
      <c r="D2556" s="2" t="str">
        <f t="shared" si="38"/>
        <v>Error?</v>
      </c>
    </row>
    <row r="2557" spans="1:4" x14ac:dyDescent="0.2">
      <c r="A2557" s="5">
        <v>2496</v>
      </c>
      <c r="B2557" s="138">
        <f>'Acct Summary 7-8'!C13</f>
        <v>1339153</v>
      </c>
      <c r="C2557" s="2" t="s">
        <v>573</v>
      </c>
      <c r="D2557" s="2" t="str">
        <f t="shared" si="38"/>
        <v>Error?</v>
      </c>
    </row>
    <row r="2558" spans="1:4" x14ac:dyDescent="0.2">
      <c r="A2558" s="5">
        <v>2497</v>
      </c>
      <c r="B2558" s="138">
        <f>'Acct Summary 7-8'!C14</f>
        <v>21767</v>
      </c>
      <c r="C2558" s="2" t="s">
        <v>573</v>
      </c>
      <c r="D2558" s="2" t="str">
        <f t="shared" si="38"/>
        <v>Error?</v>
      </c>
    </row>
    <row r="2559" spans="1:4" x14ac:dyDescent="0.2">
      <c r="A2559" s="5">
        <v>2498</v>
      </c>
      <c r="B2559" s="138">
        <f>'Acct Summary 7-8'!C15</f>
        <v>210630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4588014</v>
      </c>
      <c r="C2561" s="2" t="s">
        <v>573</v>
      </c>
      <c r="D2561" s="2" t="str">
        <f t="shared" si="39"/>
        <v>Error?</v>
      </c>
    </row>
    <row r="2562" spans="1:4" x14ac:dyDescent="0.2">
      <c r="A2562" s="5">
        <v>2501</v>
      </c>
      <c r="B2562" s="138">
        <f>'Acct Summary 7-8'!C20</f>
        <v>403221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275165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275165</v>
      </c>
      <c r="C2568" s="2" t="s">
        <v>573</v>
      </c>
      <c r="D2568" s="2" t="str">
        <f t="shared" si="39"/>
        <v>Error?</v>
      </c>
    </row>
    <row r="2569" spans="1:4" x14ac:dyDescent="0.2">
      <c r="A2569" s="5">
        <v>2508</v>
      </c>
      <c r="B2569" s="138">
        <f>'Acct Summary 7-8'!D13</f>
        <v>97668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97668</v>
      </c>
      <c r="C2573" s="2" t="s">
        <v>573</v>
      </c>
      <c r="D2573" s="2" t="str">
        <f t="shared" si="39"/>
        <v>Error?</v>
      </c>
    </row>
    <row r="2574" spans="1:4" x14ac:dyDescent="0.2">
      <c r="A2574" s="5">
        <v>2513</v>
      </c>
      <c r="B2574" s="138">
        <f>'Acct Summary 7-8'!D20</f>
        <v>177497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108880</v>
      </c>
      <c r="C2591" s="2" t="s">
        <v>573</v>
      </c>
      <c r="D2591" s="2" t="str">
        <f t="shared" si="39"/>
        <v>Error?</v>
      </c>
    </row>
    <row r="2592" spans="1:4" x14ac:dyDescent="0.2">
      <c r="A2592" s="10">
        <v>2531</v>
      </c>
      <c r="D2592" s="2" t="str">
        <f t="shared" si="39"/>
        <v>OK</v>
      </c>
    </row>
    <row r="2593" spans="1:4" x14ac:dyDescent="0.2">
      <c r="A2593" s="5">
        <v>2532</v>
      </c>
      <c r="B2593" s="138">
        <f>'Acct Summary 7-8'!F6</f>
        <v>117213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226093</v>
      </c>
      <c r="C2595" s="2" t="s">
        <v>573</v>
      </c>
      <c r="D2595" s="2" t="str">
        <f t="shared" si="39"/>
        <v>Error?</v>
      </c>
    </row>
    <row r="2596" spans="1:4" x14ac:dyDescent="0.2">
      <c r="A2596" s="5">
        <v>2535</v>
      </c>
      <c r="B2596" s="138">
        <f>'Acct Summary 7-8'!F13</f>
        <v>179183</v>
      </c>
      <c r="C2596" s="2" t="s">
        <v>573</v>
      </c>
      <c r="D2596" s="2" t="str">
        <f t="shared" si="39"/>
        <v>Error?</v>
      </c>
    </row>
    <row r="2597" spans="1:4" x14ac:dyDescent="0.2">
      <c r="A2597" s="5">
        <v>2536</v>
      </c>
      <c r="B2597" s="138">
        <f>'Acct Summary 7-8'!F14</f>
        <v>434</v>
      </c>
      <c r="C2597" s="2" t="s">
        <v>573</v>
      </c>
      <c r="D2597" s="2" t="str">
        <f t="shared" si="39"/>
        <v>Error?</v>
      </c>
    </row>
    <row r="2598" spans="1:4" x14ac:dyDescent="0.2">
      <c r="A2598" s="5">
        <v>2537</v>
      </c>
      <c r="B2598" s="138">
        <f>'Acct Summary 7-8'!F15</f>
        <v>150</v>
      </c>
      <c r="C2598" s="2" t="s">
        <v>573</v>
      </c>
      <c r="D2598" s="2" t="str">
        <f t="shared" si="39"/>
        <v>Error?</v>
      </c>
    </row>
    <row r="2599" spans="1:4" x14ac:dyDescent="0.2">
      <c r="A2599" s="5">
        <v>2538</v>
      </c>
      <c r="B2599" s="138">
        <f>'Acct Summary 7-8'!F16</f>
        <v>48603</v>
      </c>
      <c r="C2599" s="2" t="s">
        <v>573</v>
      </c>
      <c r="D2599" s="2" t="str">
        <f t="shared" si="39"/>
        <v>Error?</v>
      </c>
    </row>
    <row r="2600" spans="1:4" x14ac:dyDescent="0.2">
      <c r="A2600" s="5">
        <v>2539</v>
      </c>
      <c r="B2600" s="138">
        <f>'Acct Summary 7-8'!F17</f>
        <v>228370</v>
      </c>
      <c r="C2600" s="2" t="s">
        <v>573</v>
      </c>
      <c r="D2600" s="2" t="str">
        <f t="shared" si="39"/>
        <v>Error?</v>
      </c>
    </row>
    <row r="2601" spans="1:4" x14ac:dyDescent="0.2">
      <c r="A2601" s="5">
        <v>2540</v>
      </c>
      <c r="B2601" s="138">
        <f>'Acct Summary 7-8'!F20</f>
        <v>-2277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120209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120209</v>
      </c>
      <c r="C2606" s="2" t="s">
        <v>573</v>
      </c>
      <c r="D2606" s="2" t="str">
        <f t="shared" si="39"/>
        <v>Error?</v>
      </c>
    </row>
    <row r="2607" spans="1:4" x14ac:dyDescent="0.2">
      <c r="A2607" s="5">
        <v>2546</v>
      </c>
      <c r="B2607" s="138">
        <f>'Acct Summary 7-8'!G12</f>
        <v>52722</v>
      </c>
      <c r="C2607" s="2" t="s">
        <v>573</v>
      </c>
      <c r="D2607" s="2" t="str">
        <f t="shared" si="39"/>
        <v>Error?</v>
      </c>
    </row>
    <row r="2608" spans="1:4" x14ac:dyDescent="0.2">
      <c r="A2608" s="5">
        <v>2547</v>
      </c>
      <c r="B2608" s="138">
        <f>'Acct Summary 7-8'!G13</f>
        <v>150408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203130</v>
      </c>
      <c r="C2612" s="2" t="s">
        <v>573</v>
      </c>
      <c r="D2612" s="2" t="str">
        <f t="shared" si="39"/>
        <v>Error?</v>
      </c>
    </row>
    <row r="2613" spans="1:4" x14ac:dyDescent="0.2">
      <c r="A2613" s="5">
        <v>2552</v>
      </c>
      <c r="B2613" s="138">
        <f>'Acct Summary 7-8'!G20</f>
        <v>-82921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159737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159737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177682</v>
      </c>
      <c r="C2634" s="2" t="s">
        <v>573</v>
      </c>
      <c r="D2634" s="2" t="str">
        <f t="shared" si="40"/>
        <v>Error?</v>
      </c>
    </row>
    <row r="2635" spans="1:4" x14ac:dyDescent="0.2">
      <c r="A2635" s="5">
        <v>2574</v>
      </c>
      <c r="B2635" s="138">
        <f>'Acct Summary 7-8'!E17</f>
        <v>177682</v>
      </c>
      <c r="C2635" s="2" t="s">
        <v>573</v>
      </c>
      <c r="D2635" s="2" t="str">
        <f t="shared" si="40"/>
        <v>Error?</v>
      </c>
    </row>
    <row r="2636" spans="1:4" x14ac:dyDescent="0.2">
      <c r="A2636" s="5">
        <v>2575</v>
      </c>
      <c r="B2636" s="138">
        <f>'Acct Summary 7-8'!E20</f>
        <v>-17945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49422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49422</v>
      </c>
      <c r="C2658" s="2" t="s">
        <v>573</v>
      </c>
      <c r="D2658" s="2" t="str">
        <f t="shared" si="40"/>
        <v>Error?</v>
      </c>
    </row>
    <row r="2659" spans="1:4" x14ac:dyDescent="0.2">
      <c r="A2659" s="5">
        <v>2598</v>
      </c>
      <c r="B2659" s="138">
        <f>'Acct Summary 7-8'!H13</f>
        <v>126492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126492</v>
      </c>
      <c r="C2661" s="2" t="s">
        <v>573</v>
      </c>
      <c r="D2661" s="2" t="str">
        <f t="shared" si="40"/>
        <v>Error?</v>
      </c>
    </row>
    <row r="2662" spans="1:4" x14ac:dyDescent="0.2">
      <c r="A2662" s="5">
        <v>2601</v>
      </c>
      <c r="B2662" s="138">
        <f>'Acct Summary 7-8'!H20</f>
        <v>-77070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210630</v>
      </c>
      <c r="C2789" s="2" t="s">
        <v>573</v>
      </c>
      <c r="D2789" s="2" t="str">
        <f t="shared" si="42"/>
        <v>Error?</v>
      </c>
    </row>
    <row r="2790" spans="1:4" x14ac:dyDescent="0.2">
      <c r="A2790" s="5">
        <v>2729</v>
      </c>
      <c r="B2790" s="138">
        <f>'Expenditures 15-22'!E102</f>
        <v>210630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434</v>
      </c>
      <c r="D2822" s="2" t="str">
        <f t="shared" si="43"/>
        <v>Error?</v>
      </c>
    </row>
    <row r="2823" spans="1:4" x14ac:dyDescent="0.2">
      <c r="A2823" s="5">
        <v>2762</v>
      </c>
      <c r="B2823" s="138">
        <f>'Expenditures 15-22'!E194</f>
        <v>150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434</v>
      </c>
      <c r="C2836" s="2" t="s">
        <v>573</v>
      </c>
      <c r="D2836" s="2" t="str">
        <f t="shared" si="43"/>
        <v>Error?</v>
      </c>
    </row>
    <row r="2837" spans="1:5" x14ac:dyDescent="0.2">
      <c r="A2837" s="12">
        <v>2776</v>
      </c>
      <c r="B2837" s="138">
        <f>'Expenditures 15-22'!K194</f>
        <v>150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304310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767721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3235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102356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767721</v>
      </c>
      <c r="D2912" s="2" t="str">
        <f t="shared" si="44"/>
        <v>Error?</v>
      </c>
    </row>
    <row r="2913" spans="1:4" x14ac:dyDescent="0.2">
      <c r="A2913" s="5">
        <v>2852</v>
      </c>
      <c r="B2913" s="138">
        <f>'Assets-Liab 5-6'!I41</f>
        <v>767721</v>
      </c>
      <c r="C2913" s="2" t="s">
        <v>573</v>
      </c>
      <c r="D2913" s="2" t="str">
        <f t="shared" si="44"/>
        <v>Error?</v>
      </c>
    </row>
    <row r="2914" spans="1:4" x14ac:dyDescent="0.2">
      <c r="A2914" s="5">
        <v>2853</v>
      </c>
      <c r="B2914" s="138">
        <f>'Assets-Liab 5-6'!L33</f>
        <v>102356</v>
      </c>
      <c r="D2914" s="2" t="str">
        <f t="shared" si="44"/>
        <v>Error?</v>
      </c>
    </row>
    <row r="2915" spans="1:4" x14ac:dyDescent="0.2">
      <c r="A2915" s="10">
        <v>2854</v>
      </c>
      <c r="D2915" s="2" t="str">
        <f t="shared" si="44"/>
        <v>OK</v>
      </c>
    </row>
    <row r="2916" spans="1:4" x14ac:dyDescent="0.2">
      <c r="A2916" s="5">
        <v>2855</v>
      </c>
      <c r="B2916" s="138">
        <f>'Assets-Liab 5-6'!L34</f>
        <v>102356</v>
      </c>
      <c r="C2916" s="2" t="s">
        <v>573</v>
      </c>
      <c r="D2916" s="2" t="str">
        <f t="shared" si="44"/>
        <v>Error?</v>
      </c>
    </row>
    <row r="2917" spans="1:4" x14ac:dyDescent="0.2">
      <c r="A2917" s="5">
        <v>2856</v>
      </c>
      <c r="B2917" s="138">
        <f>'Assets-Liab 5-6'!L41</f>
        <v>102356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727</v>
      </c>
      <c r="D2949" s="2" t="str">
        <f t="shared" si="45"/>
        <v>Error?</v>
      </c>
    </row>
    <row r="2950" spans="1:4" x14ac:dyDescent="0.2">
      <c r="A2950" s="5">
        <v>2889</v>
      </c>
      <c r="B2950" s="138">
        <f>'Expenditures 15-22'!E79</f>
        <v>209903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727</v>
      </c>
      <c r="C2973" s="2" t="s">
        <v>573</v>
      </c>
      <c r="D2973" s="2" t="str">
        <f t="shared" si="45"/>
        <v>Error?</v>
      </c>
    </row>
    <row r="2974" spans="1:4" x14ac:dyDescent="0.2">
      <c r="A2974" s="5">
        <v>2913</v>
      </c>
      <c r="B2974" s="138">
        <f>'Expenditures 15-22'!K79</f>
        <v>209903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150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150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77879</v>
      </c>
      <c r="D3055" s="2" t="str">
        <f t="shared" si="46"/>
        <v>Error?</v>
      </c>
    </row>
    <row r="3056" spans="1:4" x14ac:dyDescent="0.2">
      <c r="A3056" s="5">
        <v>2995</v>
      </c>
      <c r="B3056" s="138">
        <f>'Expenditures 15-22'!D10</f>
        <v>11532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56409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145820</v>
      </c>
      <c r="C3062" s="2" t="s">
        <v>573</v>
      </c>
      <c r="D3062" s="2" t="str">
        <f t="shared" si="46"/>
        <v>Error?</v>
      </c>
    </row>
    <row r="3063" spans="1:4" x14ac:dyDescent="0.2">
      <c r="A3063" s="10">
        <v>3002</v>
      </c>
      <c r="D3063" s="2" t="str">
        <f t="shared" si="46"/>
        <v>OK</v>
      </c>
    </row>
    <row r="3064" spans="1:4" x14ac:dyDescent="0.2">
      <c r="A3064" s="5">
        <v>3003</v>
      </c>
      <c r="B3064" s="138">
        <f>'Expenditures 15-22'!D219</f>
        <v>8262</v>
      </c>
      <c r="D3064" s="2" t="str">
        <f t="shared" si="46"/>
        <v>Error?</v>
      </c>
    </row>
    <row r="3065" spans="1:4" x14ac:dyDescent="0.2">
      <c r="A3065" s="5">
        <v>3004</v>
      </c>
      <c r="B3065" s="138">
        <f>'Expenditures 15-22'!K219</f>
        <v>8262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35336</v>
      </c>
      <c r="C3225" s="2" t="s">
        <v>573</v>
      </c>
      <c r="D3225" s="2" t="str">
        <f t="shared" si="49"/>
        <v>Error?</v>
      </c>
    </row>
    <row r="3226" spans="1:4" x14ac:dyDescent="0.2">
      <c r="A3226" s="5">
        <v>3165</v>
      </c>
      <c r="B3226" s="138">
        <f>'Acct Summary 7-8'!I8</f>
        <v>35336</v>
      </c>
      <c r="C3226" s="2" t="s">
        <v>573</v>
      </c>
      <c r="D3226" s="2" t="str">
        <f t="shared" si="49"/>
        <v>Error?</v>
      </c>
    </row>
    <row r="3227" spans="1:4" x14ac:dyDescent="0.2">
      <c r="A3227" s="5">
        <v>3166</v>
      </c>
      <c r="B3227" s="138">
        <f>'Acct Summary 7-8'!I20</f>
        <v>35336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403221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177497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-2277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-82921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-17945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-77070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35336</v>
      </c>
      <c r="C3320" s="2" t="s">
        <v>573</v>
      </c>
      <c r="D3320" s="2" t="str">
        <f t="shared" si="50"/>
        <v>Error?</v>
      </c>
    </row>
    <row r="3321" spans="1:4" x14ac:dyDescent="0.2">
      <c r="A3321" s="5">
        <v>3260</v>
      </c>
      <c r="B3321" s="138">
        <f>'Acct Summary 7-8'!I79</f>
        <v>732385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767721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241473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43809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619</v>
      </c>
      <c r="D3372" s="2" t="str">
        <f t="shared" si="51"/>
        <v>Error?</v>
      </c>
    </row>
    <row r="3373" spans="1:4" x14ac:dyDescent="0.2">
      <c r="A3373" s="5">
        <v>3312</v>
      </c>
      <c r="B3373" s="138">
        <f>'Expenditures 15-22'!F19</f>
        <v>16256</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285901</v>
      </c>
      <c r="C3380" s="2" t="s">
        <v>573</v>
      </c>
      <c r="D3380" s="2" t="str">
        <f t="shared" si="51"/>
        <v>Error?</v>
      </c>
    </row>
    <row r="3381" spans="1:4" x14ac:dyDescent="0.2">
      <c r="A3381" s="5">
        <v>3320</v>
      </c>
      <c r="B3381" s="138">
        <f>'Expenditures 15-22'!K19</f>
        <v>16256</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27892</v>
      </c>
      <c r="D3387" s="2" t="str">
        <f t="shared" si="51"/>
        <v>Error?</v>
      </c>
    </row>
    <row r="3388" spans="1:4" x14ac:dyDescent="0.2">
      <c r="A3388" s="5">
        <v>3327</v>
      </c>
      <c r="B3388" s="138">
        <f>'Expenditures 15-22'!D217</f>
        <v>13137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27892</v>
      </c>
      <c r="C3390" s="2" t="s">
        <v>573</v>
      </c>
      <c r="D3390" s="2" t="str">
        <f t="shared" si="51"/>
        <v>Error?</v>
      </c>
    </row>
    <row r="3391" spans="1:4" x14ac:dyDescent="0.2">
      <c r="A3391" s="5">
        <v>3330</v>
      </c>
      <c r="B3391" s="138">
        <f>'Expenditures 15-22'!K217</f>
        <v>13137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23201</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1549793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676878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105309</v>
      </c>
      <c r="D3417" s="2" t="str">
        <f t="shared" si="52"/>
        <v>Error?</v>
      </c>
    </row>
    <row r="3418" spans="1:4" x14ac:dyDescent="0.2">
      <c r="A3418" s="10">
        <v>3357</v>
      </c>
      <c r="D3418" s="2" t="str">
        <f t="shared" si="52"/>
        <v>OK</v>
      </c>
    </row>
    <row r="3419" spans="1:4" x14ac:dyDescent="0.2">
      <c r="A3419" s="5">
        <v>3358</v>
      </c>
      <c r="B3419" s="138">
        <f>'Assets-Liab 5-6'!F4</f>
        <v>50723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157466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184218</v>
      </c>
      <c r="D3425" s="2" t="str">
        <f t="shared" si="52"/>
        <v>Error?</v>
      </c>
    </row>
    <row r="3426" spans="1:4" x14ac:dyDescent="0.2">
      <c r="A3426" s="10">
        <v>3365</v>
      </c>
      <c r="D3426" s="2" t="str">
        <f t="shared" si="52"/>
        <v>OK</v>
      </c>
    </row>
    <row r="3427" spans="1:4" x14ac:dyDescent="0.2">
      <c r="A3427" s="5">
        <v>3366</v>
      </c>
      <c r="B3427" s="138">
        <f>'Assets-Liab 5-6'!I4</f>
        <v>463411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99121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62902</v>
      </c>
      <c r="C3446" s="2" t="s">
        <v>573</v>
      </c>
      <c r="D3446" s="2" t="str">
        <f t="shared" si="52"/>
        <v>Error?</v>
      </c>
    </row>
    <row r="3447" spans="1:4" x14ac:dyDescent="0.2">
      <c r="A3447" s="5">
        <v>3386</v>
      </c>
      <c r="B3447" s="138">
        <f>'Tax Sched 23'!D16</f>
        <v>62877</v>
      </c>
      <c r="C3447" s="2" t="s">
        <v>573</v>
      </c>
      <c r="D3447" s="2" t="str">
        <f t="shared" si="52"/>
        <v>Error?</v>
      </c>
    </row>
    <row r="3448" spans="1:4" x14ac:dyDescent="0.2">
      <c r="A3448" s="5">
        <v>3387</v>
      </c>
      <c r="B3448" s="138">
        <f>'Tax Sched 23'!C16</f>
        <v>25</v>
      </c>
      <c r="D3448" s="2" t="str">
        <f t="shared" si="52"/>
        <v>Error?</v>
      </c>
    </row>
    <row r="3449" spans="1:4" x14ac:dyDescent="0.2">
      <c r="A3449" s="5">
        <v>3388</v>
      </c>
      <c r="B3449" s="138">
        <f>'Tax Sched 23'!F16</f>
        <v>63799</v>
      </c>
      <c r="C3449" s="2" t="s">
        <v>573</v>
      </c>
      <c r="D3449" s="2" t="str">
        <f t="shared" si="52"/>
        <v>Error?</v>
      </c>
    </row>
    <row r="3450" spans="1:4" x14ac:dyDescent="0.2">
      <c r="A3450" s="5">
        <v>3389</v>
      </c>
      <c r="B3450" s="138">
        <f>'Tax Sched 23'!E16</f>
        <v>63824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60943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60943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60943</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60943</v>
      </c>
      <c r="C3568" s="2" t="s">
        <v>573</v>
      </c>
      <c r="D3568" s="2" t="str">
        <f t="shared" si="54"/>
        <v>Error?</v>
      </c>
    </row>
    <row r="3569" spans="1:4" x14ac:dyDescent="0.2">
      <c r="A3569" s="5">
        <v>3508</v>
      </c>
      <c r="B3569" s="138">
        <f>'Acct Summary 7-8'!K4</f>
        <v>26941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26941</v>
      </c>
      <c r="C3571" s="2" t="s">
        <v>573</v>
      </c>
      <c r="D3571" s="2" t="str">
        <f t="shared" si="54"/>
        <v>Error?</v>
      </c>
    </row>
    <row r="3572" spans="1:4" x14ac:dyDescent="0.2">
      <c r="A3572" s="5">
        <v>3511</v>
      </c>
      <c r="B3572" s="138">
        <f>'Acct Summary 7-8'!K13</f>
        <v>642589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642589</v>
      </c>
      <c r="C3575" s="2" t="s">
        <v>573</v>
      </c>
      <c r="D3575" s="2" t="str">
        <f t="shared" si="54"/>
        <v>Error?</v>
      </c>
    </row>
    <row r="3576" spans="1:4" x14ac:dyDescent="0.2">
      <c r="A3576" s="5">
        <v>3515</v>
      </c>
      <c r="B3576" s="138">
        <f>'Acct Summary 7-8'!K20</f>
        <v>-615648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-615648</v>
      </c>
      <c r="C3588" s="2" t="s">
        <v>573</v>
      </c>
      <c r="D3588" s="2" t="str">
        <f t="shared" si="55"/>
        <v>Error?</v>
      </c>
    </row>
    <row r="3589" spans="1:4" x14ac:dyDescent="0.2">
      <c r="A3589" s="5">
        <v>3528</v>
      </c>
      <c r="B3589" s="138">
        <f>'Acct Summary 7-8'!K79</f>
        <v>676591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60943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8287</v>
      </c>
      <c r="D3632" s="2" t="str">
        <f t="shared" si="55"/>
        <v>Error?</v>
      </c>
    </row>
    <row r="3633" spans="1:4" x14ac:dyDescent="0.2">
      <c r="A3633" s="5">
        <v>3572</v>
      </c>
      <c r="B3633" s="138">
        <f>'Expenditures 15-22'!E350</f>
        <v>8287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8287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634302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634302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634302</v>
      </c>
      <c r="C3649" s="2" t="s">
        <v>573</v>
      </c>
      <c r="D3649" s="2" t="str">
        <f t="shared" si="56"/>
        <v>Error?</v>
      </c>
    </row>
    <row r="3650" spans="1:4" x14ac:dyDescent="0.2">
      <c r="A3650" s="5">
        <v>3589</v>
      </c>
      <c r="B3650" s="138">
        <f>'Expenditures 15-22'!G367</f>
        <v>634302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634302</v>
      </c>
      <c r="C3668" s="2" t="s">
        <v>573</v>
      </c>
      <c r="D3668" s="2" t="str">
        <f t="shared" si="56"/>
        <v>Error?</v>
      </c>
    </row>
    <row r="3669" spans="1:4" x14ac:dyDescent="0.2">
      <c r="A3669" s="5">
        <v>3608</v>
      </c>
      <c r="B3669" s="138">
        <f>'Expenditures 15-22'!K349</f>
        <v>8287</v>
      </c>
      <c r="C3669" s="2" t="s">
        <v>573</v>
      </c>
      <c r="D3669" s="2" t="str">
        <f t="shared" si="56"/>
        <v>Error?</v>
      </c>
    </row>
    <row r="3670" spans="1:4" x14ac:dyDescent="0.2">
      <c r="A3670" s="5">
        <v>3609</v>
      </c>
      <c r="B3670" s="138">
        <f>'Expenditures 15-22'!K350</f>
        <v>642589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642589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642589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-615648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26934</v>
      </c>
      <c r="C3725" s="2" t="s">
        <v>573</v>
      </c>
      <c r="D3725" s="2" t="str">
        <f t="shared" si="57"/>
        <v>Error?</v>
      </c>
    </row>
    <row r="3726" spans="1:4" x14ac:dyDescent="0.2">
      <c r="A3726" s="5">
        <v>3665</v>
      </c>
      <c r="B3726" s="138">
        <f>'Tax Sched 23'!D13</f>
        <v>26924</v>
      </c>
      <c r="C3726" s="2" t="s">
        <v>573</v>
      </c>
      <c r="D3726" s="2" t="str">
        <f t="shared" si="57"/>
        <v>Error?</v>
      </c>
    </row>
    <row r="3727" spans="1:4" x14ac:dyDescent="0.2">
      <c r="A3727" s="5">
        <v>3666</v>
      </c>
      <c r="B3727" s="138">
        <f>'Tax Sched 23'!C13</f>
        <v>10</v>
      </c>
      <c r="D3727" s="2" t="str">
        <f t="shared" si="57"/>
        <v>Error?</v>
      </c>
    </row>
    <row r="3728" spans="1:4" x14ac:dyDescent="0.2">
      <c r="A3728" s="5">
        <v>3667</v>
      </c>
      <c r="B3728" s="138">
        <f>'Tax Sched 23'!F13</f>
        <v>27703</v>
      </c>
      <c r="C3728" s="2" t="s">
        <v>573</v>
      </c>
      <c r="D3728" s="2" t="str">
        <f t="shared" si="57"/>
        <v>Error?</v>
      </c>
    </row>
    <row r="3729" spans="1:4" x14ac:dyDescent="0.2">
      <c r="A3729" s="5">
        <v>3668</v>
      </c>
      <c r="B3729" s="138">
        <f>'Tax Sched 23'!E13</f>
        <v>27713</v>
      </c>
      <c r="D3729" s="2" t="str">
        <f t="shared" si="57"/>
        <v>Error?</v>
      </c>
    </row>
    <row r="3730" spans="1:4" x14ac:dyDescent="0.2">
      <c r="A3730" s="5">
        <v>3669</v>
      </c>
      <c r="B3730" s="138">
        <f>'ICR Computation 30'!E10</f>
        <v>104062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1612608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6603843</v>
      </c>
      <c r="C4122" s="2" t="s">
        <v>573</v>
      </c>
      <c r="D4122" s="2" t="str">
        <f t="shared" si="63"/>
        <v>Error?</v>
      </c>
    </row>
    <row r="4123" spans="1:4" x14ac:dyDescent="0.2">
      <c r="A4123" s="5">
        <v>4062</v>
      </c>
      <c r="B4123" s="138">
        <f>'Acct Summary 7-8'!D10</f>
        <v>275165</v>
      </c>
      <c r="C4123" s="2" t="s">
        <v>573</v>
      </c>
      <c r="D4123" s="2" t="str">
        <f t="shared" si="63"/>
        <v>Error?</v>
      </c>
    </row>
    <row r="4124" spans="1:4" x14ac:dyDescent="0.2">
      <c r="A4124" s="5">
        <v>4063</v>
      </c>
      <c r="B4124" s="138">
        <f>'Acct Summary 7-8'!E10</f>
        <v>159737</v>
      </c>
      <c r="C4124" s="2" t="s">
        <v>573</v>
      </c>
      <c r="D4124" s="2" t="str">
        <f t="shared" si="63"/>
        <v>Error?</v>
      </c>
    </row>
    <row r="4125" spans="1:4" x14ac:dyDescent="0.2">
      <c r="A4125" s="5">
        <v>4064</v>
      </c>
      <c r="B4125" s="138">
        <f>'Acct Summary 7-8'!F10</f>
        <v>226093</v>
      </c>
      <c r="C4125" s="2" t="s">
        <v>573</v>
      </c>
      <c r="D4125" s="2" t="str">
        <f t="shared" si="63"/>
        <v>Error?</v>
      </c>
    </row>
    <row r="4126" spans="1:4" x14ac:dyDescent="0.2">
      <c r="A4126" s="5">
        <v>4065</v>
      </c>
      <c r="B4126" s="138">
        <f>'Acct Summary 7-8'!G10</f>
        <v>120209</v>
      </c>
      <c r="C4126" s="2" t="s">
        <v>573</v>
      </c>
      <c r="D4126" s="2" t="str">
        <f t="shared" si="63"/>
        <v>Error?</v>
      </c>
    </row>
    <row r="4127" spans="1:4" x14ac:dyDescent="0.2">
      <c r="A4127" s="5">
        <v>4066</v>
      </c>
      <c r="B4127" s="138">
        <f>'Acct Summary 7-8'!H10</f>
        <v>49422</v>
      </c>
      <c r="C4127" s="2" t="s">
        <v>573</v>
      </c>
      <c r="D4127" s="2" t="str">
        <f t="shared" si="63"/>
        <v>Error?</v>
      </c>
    </row>
    <row r="4128" spans="1:4" x14ac:dyDescent="0.2">
      <c r="A4128" s="5">
        <v>4067</v>
      </c>
      <c r="B4128" s="138">
        <f>'Acct Summary 7-8'!I10</f>
        <v>35336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26941</v>
      </c>
      <c r="C4130" s="2" t="s">
        <v>573</v>
      </c>
      <c r="D4130" s="2" t="str">
        <f t="shared" si="63"/>
        <v>Error?</v>
      </c>
    </row>
    <row r="4131" spans="1:4" x14ac:dyDescent="0.2">
      <c r="A4131" s="5">
        <v>4070</v>
      </c>
      <c r="B4131" s="138">
        <f>'Acct Summary 7-8'!C18</f>
        <v>1612608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6200622</v>
      </c>
      <c r="C4136" s="2" t="s">
        <v>573</v>
      </c>
      <c r="D4136" s="2" t="str">
        <f t="shared" si="63"/>
        <v>Error?</v>
      </c>
    </row>
    <row r="4137" spans="1:4" x14ac:dyDescent="0.2">
      <c r="A4137" s="5">
        <v>4076</v>
      </c>
      <c r="B4137" s="138">
        <f>'Acct Summary 7-8'!D19</f>
        <v>97668</v>
      </c>
      <c r="C4137" s="2" t="s">
        <v>573</v>
      </c>
      <c r="D4137" s="2" t="str">
        <f t="shared" si="63"/>
        <v>Error?</v>
      </c>
    </row>
    <row r="4138" spans="1:4" x14ac:dyDescent="0.2">
      <c r="A4138" s="5">
        <v>4077</v>
      </c>
      <c r="B4138" s="138">
        <f>'Acct Summary 7-8'!E19</f>
        <v>177682</v>
      </c>
      <c r="C4138" s="2" t="s">
        <v>573</v>
      </c>
      <c r="D4138" s="2" t="str">
        <f t="shared" si="63"/>
        <v>Error?</v>
      </c>
    </row>
    <row r="4139" spans="1:4" x14ac:dyDescent="0.2">
      <c r="A4139" s="5">
        <v>4078</v>
      </c>
      <c r="B4139" s="138">
        <f>'Acct Summary 7-8'!F19</f>
        <v>228370</v>
      </c>
      <c r="C4139" s="2" t="s">
        <v>573</v>
      </c>
      <c r="D4139" s="2" t="str">
        <f t="shared" si="63"/>
        <v>Error?</v>
      </c>
    </row>
    <row r="4140" spans="1:4" x14ac:dyDescent="0.2">
      <c r="A4140" s="5">
        <v>4079</v>
      </c>
      <c r="B4140" s="138">
        <f>'Acct Summary 7-8'!G19</f>
        <v>203130</v>
      </c>
      <c r="C4140" s="2" t="s">
        <v>573</v>
      </c>
      <c r="D4140" s="2" t="str">
        <f t="shared" si="63"/>
        <v>Error?</v>
      </c>
    </row>
    <row r="4141" spans="1:4" x14ac:dyDescent="0.2">
      <c r="A4141" s="5">
        <v>4080</v>
      </c>
      <c r="B4141" s="138">
        <f>'Acct Summary 7-8'!H19</f>
        <v>126492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642589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2347190</v>
      </c>
      <c r="C4171" s="2" t="s">
        <v>573</v>
      </c>
      <c r="D4171" s="2" t="str">
        <f t="shared" si="64"/>
        <v>Error?</v>
      </c>
    </row>
    <row r="4172" spans="1:4" x14ac:dyDescent="0.2">
      <c r="A4172" s="5">
        <v>4111</v>
      </c>
      <c r="B4172" s="138">
        <f>'Short-Term Long-Term Debt 24'!J49</f>
        <v>2141881</v>
      </c>
      <c r="C4172" s="2" t="s">
        <v>573</v>
      </c>
      <c r="D4172" s="2" t="str">
        <f t="shared" si="64"/>
        <v>Error?</v>
      </c>
    </row>
    <row r="4173" spans="1:4" x14ac:dyDescent="0.2">
      <c r="A4173" s="5">
        <v>4112</v>
      </c>
      <c r="B4173" s="138">
        <f>'Short-Term Long-Term Debt 24'!H49</f>
        <v>131975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41975</v>
      </c>
      <c r="D4210" s="2" t="str">
        <f t="shared" si="64"/>
        <v>Error?</v>
      </c>
    </row>
    <row r="4211" spans="1:4" x14ac:dyDescent="0.2">
      <c r="A4211" s="5">
        <v>4150</v>
      </c>
      <c r="B4211" s="138">
        <f>'Expenditures 15-22'!K206</f>
        <v>41975</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2072.9</v>
      </c>
      <c r="C4265" s="2" t="s">
        <v>573</v>
      </c>
      <c r="D4265" s="2" t="str">
        <f t="shared" si="65"/>
        <v>Error?</v>
      </c>
      <c r="E4265" s="128"/>
    </row>
    <row r="4266" spans="1:5" x14ac:dyDescent="0.2">
      <c r="A4266" s="12">
        <v>4205</v>
      </c>
      <c r="B4266" s="138">
        <f>('FP Info 3'!F10)*100000</f>
        <v>510.79999999999995</v>
      </c>
      <c r="C4266" s="2" t="s">
        <v>573</v>
      </c>
      <c r="D4266" s="2" t="str">
        <f t="shared" si="65"/>
        <v>Error?</v>
      </c>
      <c r="E4266" s="128"/>
    </row>
    <row r="4267" spans="1:5" x14ac:dyDescent="0.2">
      <c r="A4267" s="12">
        <v>4206</v>
      </c>
      <c r="B4267" s="138">
        <f>('FP Info 3'!H10)*100000</f>
        <v>208.4</v>
      </c>
      <c r="C4267" s="2" t="s">
        <v>573</v>
      </c>
      <c r="D4267" s="2" t="str">
        <f t="shared" si="65"/>
        <v>Error?</v>
      </c>
      <c r="E4267" s="128"/>
    </row>
    <row r="4268" spans="1:5" x14ac:dyDescent="0.2">
      <c r="A4268" s="12">
        <v>4207</v>
      </c>
      <c r="B4268" s="138">
        <f>('FP Info 3'!J10)*100000</f>
        <v>2792</v>
      </c>
      <c r="C4268" s="2" t="s">
        <v>573</v>
      </c>
      <c r="D4268" s="2" t="str">
        <f t="shared" si="65"/>
        <v>Error?</v>
      </c>
    </row>
    <row r="4269" spans="1:5" x14ac:dyDescent="0.2">
      <c r="A4269" s="12">
        <v>4208</v>
      </c>
      <c r="B4269" s="138">
        <f>'FP Info 3'!J16</f>
        <v>3045115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7345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5892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5305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18349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1733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7010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54127484</v>
      </c>
      <c r="D4995" s="2" t="str">
        <f t="shared" si="77"/>
        <v>Error?</v>
      </c>
    </row>
    <row r="4996" spans="1:4" x14ac:dyDescent="0.2">
      <c r="A4996" s="12">
        <v>4935</v>
      </c>
      <c r="B4996" s="138">
        <f>'FP Info 3'!H31</f>
        <v>7469592.7920000004</v>
      </c>
      <c r="D4996" s="2" t="str">
        <f t="shared" si="77"/>
        <v>Error?</v>
      </c>
    </row>
    <row r="4997" spans="1:4" x14ac:dyDescent="0.2">
      <c r="A4997" s="12">
        <v>4936</v>
      </c>
      <c r="B4997" s="138">
        <f>'FP Info 3'!H37</f>
        <v>2347190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26934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1071630</v>
      </c>
      <c r="D5061" s="2" t="str">
        <f t="shared" si="78"/>
        <v>Error?</v>
      </c>
    </row>
    <row r="5062" spans="1:4" x14ac:dyDescent="0.2">
      <c r="A5062" s="10">
        <v>5001</v>
      </c>
      <c r="D5062" s="2" t="str">
        <f t="shared" si="78"/>
        <v>OK</v>
      </c>
    </row>
    <row r="5063" spans="1:4" x14ac:dyDescent="0.2">
      <c r="A5063" s="5">
        <v>5002</v>
      </c>
      <c r="B5063" s="138">
        <f>'Revenues 9-14'!C7</f>
        <v>21544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1120108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61392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61392</v>
      </c>
      <c r="C5071" s="2" t="s">
        <v>573</v>
      </c>
      <c r="D5071" s="2" t="str">
        <f t="shared" si="78"/>
        <v>Error?</v>
      </c>
    </row>
    <row r="5072" spans="1:4" x14ac:dyDescent="0.2">
      <c r="A5072" s="5">
        <v>5011</v>
      </c>
      <c r="B5072" s="138">
        <f>'Revenues 9-14'!C20</f>
        <v>1500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1500</v>
      </c>
      <c r="C5087" s="2" t="s">
        <v>573</v>
      </c>
      <c r="D5087" s="2" t="str">
        <f t="shared" si="78"/>
        <v>Error?</v>
      </c>
    </row>
    <row r="5088" spans="1:4" x14ac:dyDescent="0.2">
      <c r="A5088" s="5">
        <v>5027</v>
      </c>
      <c r="B5088" s="138">
        <f>'Revenues 9-14'!C65</f>
        <v>18136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18136</v>
      </c>
      <c r="C5090" s="2" t="s">
        <v>573</v>
      </c>
      <c r="D5090" s="2" t="str">
        <f t="shared" si="78"/>
        <v>Error?</v>
      </c>
    </row>
    <row r="5091" spans="1:4" x14ac:dyDescent="0.2">
      <c r="A5091" s="5">
        <v>5030</v>
      </c>
      <c r="B5091" s="138">
        <f>'Revenues 9-14'!C70</f>
        <v>7477</v>
      </c>
      <c r="D5091" s="2" t="str">
        <f t="shared" si="78"/>
        <v>Error?</v>
      </c>
    </row>
    <row r="5092" spans="1:4" x14ac:dyDescent="0.2">
      <c r="A5092" s="5">
        <v>5031</v>
      </c>
      <c r="B5092" s="138">
        <f>'Revenues 9-14'!C71</f>
        <v>17110</v>
      </c>
      <c r="D5092" s="2" t="str">
        <f t="shared" si="78"/>
        <v>Error?</v>
      </c>
    </row>
    <row r="5093" spans="1:4" x14ac:dyDescent="0.2">
      <c r="A5093" s="5">
        <v>5032</v>
      </c>
      <c r="B5093" s="138">
        <f>'Revenues 9-14'!C72</f>
        <v>2375</v>
      </c>
      <c r="D5093" s="2" t="str">
        <f t="shared" si="78"/>
        <v>Error?</v>
      </c>
    </row>
    <row r="5094" spans="1:4" x14ac:dyDescent="0.2">
      <c r="A5094" s="5">
        <v>5033</v>
      </c>
      <c r="B5094" s="138">
        <f>'Revenues 9-14'!C73</f>
        <v>1721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72920</v>
      </c>
      <c r="C5096" s="2" t="s">
        <v>573</v>
      </c>
      <c r="D5096" s="2" t="str">
        <f t="shared" si="78"/>
        <v>Error?</v>
      </c>
    </row>
    <row r="5097" spans="1:4" x14ac:dyDescent="0.2">
      <c r="A5097" s="5">
        <v>5036</v>
      </c>
      <c r="B5097" s="138">
        <f>'Revenues 9-14'!C77</f>
        <v>15362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11666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6379</v>
      </c>
      <c r="D5101" s="2" t="str">
        <f t="shared" si="78"/>
        <v>Error?</v>
      </c>
    </row>
    <row r="5102" spans="1:4" x14ac:dyDescent="0.2">
      <c r="A5102" s="5">
        <v>5041</v>
      </c>
      <c r="B5102" s="138">
        <f>'Revenues 9-14'!C82</f>
        <v>33407</v>
      </c>
      <c r="C5102" s="2" t="s">
        <v>573</v>
      </c>
      <c r="D5102" s="2" t="str">
        <f t="shared" si="78"/>
        <v>Error?</v>
      </c>
    </row>
    <row r="5103" spans="1:4" x14ac:dyDescent="0.2">
      <c r="A5103" s="5">
        <v>5042</v>
      </c>
      <c r="B5103" s="138">
        <f>'Revenues 9-14'!C84</f>
        <v>39774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161</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39935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1852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13165</v>
      </c>
      <c r="D5118" s="2" t="str">
        <f t="shared" si="78"/>
        <v>Error?</v>
      </c>
    </row>
    <row r="5119" spans="1:4" x14ac:dyDescent="0.2">
      <c r="A5119" s="5">
        <v>5058</v>
      </c>
      <c r="B5119" s="138">
        <f>'Revenues 9-14'!C107</f>
        <v>78817</v>
      </c>
      <c r="D5119" s="2" t="str">
        <f t="shared" ref="D5119:D5182" si="79">IF(ISBLANK(B5119),"OK",IF(A5119-B5119=0,"OK","Error?"))</f>
        <v>Error?</v>
      </c>
    </row>
    <row r="5120" spans="1:4" x14ac:dyDescent="0.2">
      <c r="A5120" s="5">
        <v>5059</v>
      </c>
      <c r="B5120" s="138">
        <f>'Revenues 9-14'!C108</f>
        <v>93834</v>
      </c>
      <c r="C5120" s="2" t="s">
        <v>573</v>
      </c>
      <c r="D5120" s="2" t="str">
        <f t="shared" si="79"/>
        <v>Error?</v>
      </c>
    </row>
    <row r="5121" spans="1:4" x14ac:dyDescent="0.2">
      <c r="A5121" s="5">
        <v>5060</v>
      </c>
      <c r="B5121" s="138">
        <f>'Revenues 9-14'!C109</f>
        <v>1441232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23201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23201</v>
      </c>
      <c r="C5125" s="2" t="s">
        <v>573</v>
      </c>
      <c r="D5125" s="2" t="str">
        <f t="shared" si="79"/>
        <v>Error?</v>
      </c>
    </row>
    <row r="5126" spans="1:4" x14ac:dyDescent="0.2">
      <c r="A5126" s="5">
        <v>5065</v>
      </c>
      <c r="B5126" s="138">
        <f>'Revenues 9-14'!C117</f>
        <v>2955521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2955521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8162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8162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13282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2150</v>
      </c>
      <c r="D5167" s="2" t="str">
        <f t="shared" si="79"/>
        <v>Error?</v>
      </c>
    </row>
    <row r="5168" spans="1:4" x14ac:dyDescent="0.2">
      <c r="A5168" s="5">
        <v>5107</v>
      </c>
      <c r="B5168" s="138">
        <f>'Revenues 9-14'!C148</f>
        <v>7488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17397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50212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3005733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96957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28806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125763</v>
      </c>
      <c r="C5246" s="2" t="s">
        <v>573</v>
      </c>
      <c r="D5246" s="2" t="str">
        <f t="shared" si="80"/>
        <v>Error?</v>
      </c>
    </row>
    <row r="5247" spans="1:4" x14ac:dyDescent="0.2">
      <c r="A5247" s="5">
        <v>5186</v>
      </c>
      <c r="B5247" s="138">
        <f>'Revenues 9-14'!C200</f>
        <v>145991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5305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145991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11738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176037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187775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17639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17639</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521069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521069</v>
      </c>
      <c r="C5326" s="2" t="s">
        <v>573</v>
      </c>
      <c r="D5326" s="2" t="str">
        <f t="shared" si="82"/>
        <v>Error?</v>
      </c>
    </row>
    <row r="5327" spans="1:5" x14ac:dyDescent="0.2">
      <c r="A5327" s="5">
        <v>5266</v>
      </c>
      <c r="B5327" s="138">
        <f>'Revenues 9-14'!C268</f>
        <v>4991235</v>
      </c>
      <c r="C5327" s="2" t="s">
        <v>573</v>
      </c>
      <c r="D5327" s="2" t="str">
        <f t="shared" si="82"/>
        <v>Error?</v>
      </c>
    </row>
    <row r="5328" spans="1:5" x14ac:dyDescent="0.2">
      <c r="A5328" s="5">
        <v>5267</v>
      </c>
      <c r="B5328" s="138">
        <f>'Revenues 9-14'!D5</f>
        <v>269315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269315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5467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5467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383</v>
      </c>
      <c r="D5354" s="2" t="str">
        <f t="shared" si="82"/>
        <v>Error?</v>
      </c>
    </row>
    <row r="5355" spans="1:4" x14ac:dyDescent="0.2">
      <c r="A5355" s="5">
        <v>5294</v>
      </c>
      <c r="B5355" s="138">
        <f>'Revenues 9-14'!D108</f>
        <v>383</v>
      </c>
      <c r="C5355" s="2" t="s">
        <v>573</v>
      </c>
      <c r="D5355" s="2" t="str">
        <f t="shared" si="82"/>
        <v>Error?</v>
      </c>
    </row>
    <row r="5356" spans="1:4" x14ac:dyDescent="0.2">
      <c r="A5356" s="5">
        <v>5295</v>
      </c>
      <c r="B5356" s="138">
        <f>'Revenues 9-14'!D109</f>
        <v>275165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275165</v>
      </c>
      <c r="C5508" s="2" t="s">
        <v>573</v>
      </c>
      <c r="D5508" s="2" t="str">
        <f t="shared" si="85"/>
        <v>Error?</v>
      </c>
    </row>
    <row r="5509" spans="1:4" x14ac:dyDescent="0.2">
      <c r="A5509" s="5">
        <v>5448</v>
      </c>
      <c r="B5509" s="138">
        <f>'Revenues 9-14'!E5</f>
        <v>18246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18246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5622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5622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135869</v>
      </c>
      <c r="C5526" s="2" t="s">
        <v>573</v>
      </c>
      <c r="D5526" s="2" t="str">
        <f t="shared" si="85"/>
        <v>Error?</v>
      </c>
    </row>
    <row r="5527" spans="1:4" x14ac:dyDescent="0.2">
      <c r="A5527" s="5">
        <v>5466</v>
      </c>
      <c r="B5527" s="138">
        <f>'Revenues 9-14'!E109</f>
        <v>159737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159737</v>
      </c>
      <c r="C5552" s="2" t="s">
        <v>573</v>
      </c>
      <c r="D5552" s="2" t="str">
        <f t="shared" si="85"/>
        <v>Error?</v>
      </c>
    </row>
    <row r="5553" spans="1:4" x14ac:dyDescent="0.2">
      <c r="A5553" s="5">
        <v>5492</v>
      </c>
      <c r="B5553" s="138">
        <f>'Revenues 9-14'!F5</f>
        <v>107724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107724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911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245</v>
      </c>
      <c r="D5586" s="2" t="str">
        <f t="shared" si="86"/>
        <v>Error?</v>
      </c>
    </row>
    <row r="5587" spans="1:4" x14ac:dyDescent="0.2">
      <c r="A5587" s="5">
        <v>5526</v>
      </c>
      <c r="B5587" s="138">
        <f>'Revenues 9-14'!F108</f>
        <v>245</v>
      </c>
      <c r="C5587" s="2" t="s">
        <v>573</v>
      </c>
      <c r="D5587" s="2" t="str">
        <f t="shared" si="86"/>
        <v>Error?</v>
      </c>
    </row>
    <row r="5588" spans="1:4" x14ac:dyDescent="0.2">
      <c r="A5588" s="5">
        <v>5527</v>
      </c>
      <c r="B5588" s="138">
        <f>'Revenues 9-14'!F109</f>
        <v>108880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74854</v>
      </c>
      <c r="D5615" s="2" t="str">
        <f t="shared" si="86"/>
        <v>Error?</v>
      </c>
    </row>
    <row r="5616" spans="1:4" x14ac:dyDescent="0.2">
      <c r="A5616" s="10">
        <v>5555</v>
      </c>
      <c r="D5616" s="2" t="str">
        <f t="shared" si="86"/>
        <v>OK</v>
      </c>
    </row>
    <row r="5617" spans="1:5" x14ac:dyDescent="0.2">
      <c r="A5617" s="5">
        <v>5556</v>
      </c>
      <c r="B5617" s="138">
        <f>'Revenues 9-14'!F153</f>
        <v>42359</v>
      </c>
      <c r="D5617" s="2" t="str">
        <f t="shared" si="86"/>
        <v>Error?</v>
      </c>
    </row>
    <row r="5618" spans="1:5" x14ac:dyDescent="0.2">
      <c r="A5618" s="5">
        <v>5557</v>
      </c>
      <c r="B5618" s="138">
        <f>'Revenues 9-14'!F155</f>
        <v>117213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117213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117213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226093</v>
      </c>
      <c r="C5720" s="2" t="s">
        <v>573</v>
      </c>
      <c r="D5720" s="2" t="str">
        <f t="shared" si="88"/>
        <v>Error?</v>
      </c>
    </row>
    <row r="5721" spans="1:4" x14ac:dyDescent="0.2">
      <c r="A5721" s="5">
        <v>5660</v>
      </c>
      <c r="B5721" s="138">
        <f>'Revenues 9-14'!G5</f>
        <v>44928</v>
      </c>
      <c r="D5721" s="2" t="str">
        <f t="shared" si="88"/>
        <v>Error?</v>
      </c>
    </row>
    <row r="5722" spans="1:4" x14ac:dyDescent="0.2">
      <c r="A5722" s="5">
        <v>5661</v>
      </c>
      <c r="B5722" s="138">
        <f>'Revenues 9-14'!G7</f>
        <v>0</v>
      </c>
      <c r="D5722" s="2" t="str">
        <f t="shared" si="88"/>
        <v>Error?</v>
      </c>
    </row>
    <row r="5723" spans="1:4" x14ac:dyDescent="0.2">
      <c r="A5723" s="5">
        <v>5662</v>
      </c>
      <c r="B5723" s="138">
        <f>'Revenues 9-14'!G8</f>
        <v>62902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107830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6600</v>
      </c>
      <c r="C5730" s="2" t="s">
        <v>573</v>
      </c>
      <c r="D5730" s="2" t="str">
        <f t="shared" si="88"/>
        <v>Error?</v>
      </c>
    </row>
    <row r="5731" spans="1:4" x14ac:dyDescent="0.2">
      <c r="A5731" s="5">
        <v>5670</v>
      </c>
      <c r="B5731" s="138">
        <f>'Revenues 9-14'!G65</f>
        <v>5779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5779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120209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920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920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48502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49422</v>
      </c>
      <c r="C5915" s="2" t="s">
        <v>573</v>
      </c>
      <c r="D5915" s="2" t="str">
        <f t="shared" si="91"/>
        <v>Error?</v>
      </c>
    </row>
    <row r="5916" spans="1:4" x14ac:dyDescent="0.2">
      <c r="A5916" s="5">
        <v>5855</v>
      </c>
      <c r="B5916" s="138">
        <f>'Revenues 9-14'!I5</f>
        <v>26661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26661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8675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8675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35336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26934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26934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26941</v>
      </c>
      <c r="C6023" s="2" t="s">
        <v>573</v>
      </c>
      <c r="D6023" s="2" t="str">
        <f t="shared" si="93"/>
        <v>Error?</v>
      </c>
    </row>
    <row r="6024" spans="1:5" x14ac:dyDescent="0.2">
      <c r="A6024" s="5">
        <v>5963</v>
      </c>
      <c r="B6024" s="138">
        <f>'Revenues 9-14'!G109</f>
        <v>120209</v>
      </c>
      <c r="C6024" s="2" t="s">
        <v>573</v>
      </c>
      <c r="D6024" s="2" t="str">
        <f t="shared" si="93"/>
        <v>Error?</v>
      </c>
    </row>
    <row r="6025" spans="1:5" x14ac:dyDescent="0.2">
      <c r="A6025" s="5">
        <v>5964</v>
      </c>
      <c r="B6025" s="138">
        <f>'Revenues 9-14'!H109</f>
        <v>49422</v>
      </c>
      <c r="C6025" s="2" t="s">
        <v>573</v>
      </c>
      <c r="D6025" s="2" t="str">
        <f t="shared" si="93"/>
        <v>Error?</v>
      </c>
    </row>
    <row r="6026" spans="1:5" x14ac:dyDescent="0.2">
      <c r="A6026" s="5">
        <v>5965</v>
      </c>
      <c r="B6026" s="138">
        <f>'Revenues 9-14'!I109</f>
        <v>35336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26941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44237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12504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540.5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759227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759227</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759227</v>
      </c>
      <c r="D6216" s="2" t="str">
        <f t="shared" si="96"/>
        <v>Error?</v>
      </c>
      <c r="E6216" s="2" t="s">
        <v>190</v>
      </c>
    </row>
    <row r="6217" spans="1:5" x14ac:dyDescent="0.2">
      <c r="A6217">
        <v>6156</v>
      </c>
      <c r="B6217" s="138">
        <f>'Assets-Liab 5-6'!J4</f>
        <v>509227</v>
      </c>
      <c r="D6217" s="2" t="str">
        <f t="shared" si="96"/>
        <v>Error?</v>
      </c>
      <c r="E6217" s="2" t="s">
        <v>190</v>
      </c>
    </row>
    <row r="6218" spans="1:5" x14ac:dyDescent="0.2">
      <c r="A6218">
        <v>6157</v>
      </c>
      <c r="B6218" s="138">
        <f>'Assets-Liab 5-6'!J5</f>
        <v>250000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325669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325669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325669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461223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461223</v>
      </c>
      <c r="D6229" s="2" t="str">
        <f t="shared" si="96"/>
        <v>Error?</v>
      </c>
      <c r="E6229" s="2" t="s">
        <v>190</v>
      </c>
    </row>
    <row r="6230" spans="1:5" x14ac:dyDescent="0.2">
      <c r="A6230">
        <v>6169</v>
      </c>
      <c r="B6230" s="138">
        <f>'Acct Summary 7-8'!J20</f>
        <v>-135554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-135554</v>
      </c>
      <c r="D6263" s="2" t="str">
        <f t="shared" si="96"/>
        <v>Error?</v>
      </c>
      <c r="E6263" s="2" t="s">
        <v>190</v>
      </c>
    </row>
    <row r="6264" spans="1:5" x14ac:dyDescent="0.2">
      <c r="A6264">
        <v>6203</v>
      </c>
      <c r="B6264" s="138">
        <f>'Acct Summary 7-8'!J79</f>
        <v>894781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759227</v>
      </c>
      <c r="D6266" s="2" t="str">
        <f t="shared" si="96"/>
        <v>Error?</v>
      </c>
      <c r="E6266" s="2" t="s">
        <v>190</v>
      </c>
    </row>
    <row r="6267" spans="1:5" x14ac:dyDescent="0.2">
      <c r="A6267">
        <v>6206</v>
      </c>
      <c r="B6267" s="138">
        <f>'Acct Summary 7-8'!C82</f>
        <v>403221</v>
      </c>
      <c r="D6267" s="2" t="str">
        <f t="shared" si="96"/>
        <v>Error?</v>
      </c>
      <c r="E6267" s="2" t="s">
        <v>190</v>
      </c>
    </row>
    <row r="6268" spans="1:5" x14ac:dyDescent="0.2">
      <c r="A6268">
        <v>6207</v>
      </c>
      <c r="B6268" s="138">
        <f>'Acct Summary 7-8'!D82</f>
        <v>177497</v>
      </c>
      <c r="D6268" s="2" t="str">
        <f t="shared" si="96"/>
        <v>Error?</v>
      </c>
      <c r="E6268" s="2" t="s">
        <v>190</v>
      </c>
    </row>
    <row r="6269" spans="1:5" x14ac:dyDescent="0.2">
      <c r="A6269">
        <v>6208</v>
      </c>
      <c r="B6269" s="138">
        <f>'Acct Summary 7-8'!E82</f>
        <v>-17945</v>
      </c>
      <c r="D6269" s="2" t="str">
        <f t="shared" si="96"/>
        <v>Error?</v>
      </c>
      <c r="E6269" s="2" t="s">
        <v>190</v>
      </c>
    </row>
    <row r="6270" spans="1:5" x14ac:dyDescent="0.2">
      <c r="A6270">
        <v>6209</v>
      </c>
      <c r="B6270" s="138">
        <f>'Acct Summary 7-8'!F82</f>
        <v>-2277</v>
      </c>
      <c r="D6270" s="2" t="str">
        <f t="shared" si="96"/>
        <v>Error?</v>
      </c>
      <c r="E6270" s="2" t="s">
        <v>190</v>
      </c>
    </row>
    <row r="6271" spans="1:5" x14ac:dyDescent="0.2">
      <c r="A6271">
        <v>6210</v>
      </c>
      <c r="B6271" s="138">
        <f>'Acct Summary 7-8'!G82</f>
        <v>-82921</v>
      </c>
      <c r="D6271" s="2" t="str">
        <f t="shared" ref="D6271:D6334" si="97">IF(ISBLANK(B6271),"OK",IF(A6271-B6271=0,"OK","Error?"))</f>
        <v>Error?</v>
      </c>
      <c r="E6271" s="2" t="s">
        <v>190</v>
      </c>
    </row>
    <row r="6272" spans="1:5" x14ac:dyDescent="0.2">
      <c r="A6272">
        <v>6211</v>
      </c>
      <c r="B6272" s="138">
        <f>'Acct Summary 7-8'!H82</f>
        <v>-77070</v>
      </c>
      <c r="D6272" s="2" t="str">
        <f t="shared" si="97"/>
        <v>Error?</v>
      </c>
      <c r="E6272" s="2" t="s">
        <v>190</v>
      </c>
    </row>
    <row r="6273" spans="1:5" x14ac:dyDescent="0.2">
      <c r="A6273">
        <v>6212</v>
      </c>
      <c r="B6273" s="138">
        <f>'Acct Summary 7-8'!I82</f>
        <v>35336</v>
      </c>
      <c r="D6273" s="2" t="str">
        <f t="shared" si="97"/>
        <v>Error?</v>
      </c>
      <c r="E6273" s="2" t="s">
        <v>190</v>
      </c>
    </row>
    <row r="6274" spans="1:5" x14ac:dyDescent="0.2">
      <c r="A6274">
        <v>6213</v>
      </c>
      <c r="B6274" s="138">
        <f>'Acct Summary 7-8'!J82</f>
        <v>-135554</v>
      </c>
      <c r="D6274" s="2" t="str">
        <f t="shared" si="97"/>
        <v>Error?</v>
      </c>
      <c r="E6274" s="2" t="s">
        <v>190</v>
      </c>
    </row>
    <row r="6275" spans="1:5" x14ac:dyDescent="0.2">
      <c r="A6275">
        <v>6214</v>
      </c>
      <c r="B6275" s="138">
        <f>'Acct Summary 7-8'!K82</f>
        <v>-615648</v>
      </c>
      <c r="D6275" s="2" t="str">
        <f t="shared" si="97"/>
        <v>Error?</v>
      </c>
      <c r="E6275" s="2" t="s">
        <v>190</v>
      </c>
    </row>
    <row r="6276" spans="1:5" x14ac:dyDescent="0.2">
      <c r="A6276">
        <v>6215</v>
      </c>
      <c r="B6276" s="138">
        <f>'Acct Summary 7-8'!C83</f>
        <v>0.26017732690752893</v>
      </c>
      <c r="D6276" s="2" t="str">
        <f t="shared" si="97"/>
        <v>Error?</v>
      </c>
      <c r="E6276" s="2" t="s">
        <v>190</v>
      </c>
    </row>
    <row r="6277" spans="1:5" x14ac:dyDescent="0.2">
      <c r="A6277">
        <v>6216</v>
      </c>
      <c r="B6277" s="138">
        <f>'Acct Summary 7-8'!D83</f>
        <v>0.26222893933618763</v>
      </c>
      <c r="D6277" s="2" t="str">
        <f t="shared" si="97"/>
        <v>Error?</v>
      </c>
      <c r="E6277" s="2" t="s">
        <v>190</v>
      </c>
    </row>
    <row r="6278" spans="1:5" x14ac:dyDescent="0.2">
      <c r="A6278">
        <v>6217</v>
      </c>
      <c r="B6278" s="138">
        <f>'Acct Summary 7-8'!E83</f>
        <v>-8.7404838560413811E-2</v>
      </c>
      <c r="D6278" s="2" t="str">
        <f t="shared" si="97"/>
        <v>Error?</v>
      </c>
      <c r="E6278" s="2" t="s">
        <v>190</v>
      </c>
    </row>
    <row r="6279" spans="1:5" x14ac:dyDescent="0.2">
      <c r="A6279">
        <v>6218</v>
      </c>
      <c r="B6279" s="138">
        <f>'Acct Summary 7-8'!F83</f>
        <v>-4.4890877905486661E-2</v>
      </c>
      <c r="D6279" s="2" t="str">
        <f t="shared" si="97"/>
        <v>Error?</v>
      </c>
      <c r="E6279" s="2" t="s">
        <v>190</v>
      </c>
    </row>
    <row r="6280" spans="1:5" x14ac:dyDescent="0.2">
      <c r="A6280">
        <v>6219</v>
      </c>
      <c r="B6280" s="138">
        <f>'Acct Summary 7-8'!G83</f>
        <v>-0.13650311293142331</v>
      </c>
      <c r="D6280" s="2" t="str">
        <f t="shared" si="97"/>
        <v>Error?</v>
      </c>
      <c r="E6280" s="2" t="s">
        <v>190</v>
      </c>
    </row>
    <row r="6281" spans="1:5" x14ac:dyDescent="0.2">
      <c r="A6281">
        <v>6220</v>
      </c>
      <c r="B6281" s="138">
        <f>'Acct Summary 7-8'!H83</f>
        <v>-0.41836302641435691</v>
      </c>
      <c r="D6281" s="2" t="str">
        <f t="shared" si="97"/>
        <v>Error?</v>
      </c>
      <c r="E6281" s="2" t="s">
        <v>190</v>
      </c>
    </row>
    <row r="6282" spans="1:5" x14ac:dyDescent="0.2">
      <c r="A6282">
        <v>6221</v>
      </c>
      <c r="B6282" s="138">
        <f>'Acct Summary 7-8'!I83</f>
        <v>4.6027137462698035E-2</v>
      </c>
      <c r="D6282" s="2" t="str">
        <f t="shared" si="97"/>
        <v>Error?</v>
      </c>
      <c r="E6282" s="2" t="s">
        <v>190</v>
      </c>
    </row>
    <row r="6283" spans="1:5" x14ac:dyDescent="0.2">
      <c r="A6283">
        <v>6222</v>
      </c>
      <c r="B6283" s="138">
        <f>'Acct Summary 7-8'!J83</f>
        <v>-0.17854212244822695</v>
      </c>
      <c r="D6283" s="2" t="str">
        <f t="shared" si="97"/>
        <v>Error?</v>
      </c>
      <c r="E6283" s="2" t="s">
        <v>190</v>
      </c>
    </row>
    <row r="6284" spans="1:5" x14ac:dyDescent="0.2">
      <c r="A6284">
        <v>6223</v>
      </c>
      <c r="B6284" s="138">
        <f>'Acct Summary 7-8'!K83</f>
        <v>-10.1020297655186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319478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319478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5740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5740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451</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451</v>
      </c>
      <c r="D6351" s="2" t="str">
        <f t="shared" si="98"/>
        <v>Error?</v>
      </c>
      <c r="E6351" s="2" t="s">
        <v>190</v>
      </c>
    </row>
    <row r="6352" spans="1:5" x14ac:dyDescent="0.2">
      <c r="A6352">
        <v>6291</v>
      </c>
      <c r="B6352" s="138">
        <f>'Revenues 9-14'!J109</f>
        <v>325669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13282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52617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59178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461223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325669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6628</v>
      </c>
      <c r="D7067" s="2" t="str">
        <f t="shared" si="109"/>
        <v>Error?</v>
      </c>
    </row>
    <row r="7068" spans="1:4" x14ac:dyDescent="0.2">
      <c r="A7068">
        <v>7007</v>
      </c>
      <c r="B7068" s="138">
        <f>'Expenditures 15-22'!K205</f>
        <v>6628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1678</v>
      </c>
      <c r="D7073" s="2" t="str">
        <f t="shared" si="109"/>
        <v>Error?</v>
      </c>
    </row>
    <row r="7074" spans="1:4" x14ac:dyDescent="0.2">
      <c r="A7074">
        <v>7013</v>
      </c>
      <c r="B7074" s="138">
        <f>'Expenditures 15-22'!K216</f>
        <v>1678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6034</v>
      </c>
      <c r="D7083" s="2" t="str">
        <f t="shared" si="109"/>
        <v>Error?</v>
      </c>
    </row>
    <row r="7084" spans="1:4" x14ac:dyDescent="0.2">
      <c r="A7084">
        <v>7023</v>
      </c>
      <c r="B7084" s="138">
        <f>'Expenditures 15-22'!K249</f>
        <v>6034</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73755</v>
      </c>
      <c r="D7127" s="2" t="str">
        <f t="shared" si="110"/>
        <v>Error?</v>
      </c>
    </row>
    <row r="7128" spans="1:4" x14ac:dyDescent="0.2">
      <c r="A7128">
        <v>7067</v>
      </c>
      <c r="B7128" s="138">
        <f>'Expenditures 15-22'!D320</f>
        <v>6411</v>
      </c>
      <c r="D7128" s="2" t="str">
        <f t="shared" si="110"/>
        <v>Error?</v>
      </c>
    </row>
    <row r="7129" spans="1:4" x14ac:dyDescent="0.2">
      <c r="A7129">
        <v>7068</v>
      </c>
      <c r="B7129" s="138">
        <f>'Expenditures 15-22'!E320</f>
        <v>380572</v>
      </c>
      <c r="D7129" s="2" t="str">
        <f t="shared" si="110"/>
        <v>Error?</v>
      </c>
    </row>
    <row r="7130" spans="1:4" x14ac:dyDescent="0.2">
      <c r="A7130">
        <v>7069</v>
      </c>
      <c r="B7130" s="138">
        <f>'Expenditures 15-22'!F320</f>
        <v>485</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461223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73755</v>
      </c>
      <c r="D7199" s="2" t="str">
        <f t="shared" si="111"/>
        <v>Error?</v>
      </c>
    </row>
    <row r="7200" spans="1:4" x14ac:dyDescent="0.2">
      <c r="A7200">
        <v>7139</v>
      </c>
      <c r="B7200" s="138">
        <f>'Expenditures 15-22'!D330</f>
        <v>6411</v>
      </c>
      <c r="D7200" s="2" t="str">
        <f t="shared" si="111"/>
        <v>Error?</v>
      </c>
    </row>
    <row r="7201" spans="1:4" x14ac:dyDescent="0.2">
      <c r="A7201">
        <v>7140</v>
      </c>
      <c r="B7201" s="138">
        <f>'Expenditures 15-22'!E330</f>
        <v>380572</v>
      </c>
      <c r="D7201" s="2" t="str">
        <f t="shared" si="111"/>
        <v>Error?</v>
      </c>
    </row>
    <row r="7202" spans="1:4" x14ac:dyDescent="0.2">
      <c r="A7202">
        <v>7141</v>
      </c>
      <c r="B7202" s="138">
        <f>'Expenditures 15-22'!F330</f>
        <v>485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461223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73755</v>
      </c>
      <c r="D7216" s="2" t="str">
        <f t="shared" si="111"/>
        <v>Error?</v>
      </c>
    </row>
    <row r="7217" spans="1:4" x14ac:dyDescent="0.2">
      <c r="A7217">
        <v>7156</v>
      </c>
      <c r="B7217" s="138">
        <f>'Expenditures 15-22'!D342</f>
        <v>6411</v>
      </c>
      <c r="D7217" s="2" t="str">
        <f t="shared" si="111"/>
        <v>Error?</v>
      </c>
    </row>
    <row r="7218" spans="1:4" x14ac:dyDescent="0.2">
      <c r="A7218">
        <v>7157</v>
      </c>
      <c r="B7218" s="138">
        <f>'Expenditures 15-22'!E342</f>
        <v>380572</v>
      </c>
      <c r="D7218" s="2" t="str">
        <f t="shared" si="111"/>
        <v>Error?</v>
      </c>
    </row>
    <row r="7219" spans="1:4" x14ac:dyDescent="0.2">
      <c r="A7219">
        <v>7158</v>
      </c>
      <c r="B7219" s="138">
        <f>'Expenditures 15-22'!F342</f>
        <v>485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461223</v>
      </c>
      <c r="D7224" s="2" t="str">
        <f t="shared" si="111"/>
        <v>Error?</v>
      </c>
    </row>
    <row r="7225" spans="1:4" x14ac:dyDescent="0.2">
      <c r="A7225">
        <v>7164</v>
      </c>
      <c r="B7225" s="138">
        <f>'Expenditures 15-22'!K343</f>
        <v>-135554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6389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172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198838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261288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920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48502</v>
      </c>
      <c r="D7713" s="2" t="str">
        <f t="shared" si="126"/>
        <v>Error?</v>
      </c>
      <c r="E7713" s="2" t="s">
        <v>827</v>
      </c>
    </row>
    <row r="7714" spans="1:6" x14ac:dyDescent="0.2">
      <c r="A7714">
        <v>7653</v>
      </c>
      <c r="B7714" s="138">
        <f>'Rest Tax Levies-Tort Im 25'!K9</f>
        <v>7488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49422</v>
      </c>
      <c r="D7718" s="2" t="str">
        <f t="shared" si="126"/>
        <v>Error?</v>
      </c>
      <c r="E7718" s="2" t="s">
        <v>827</v>
      </c>
    </row>
    <row r="7719" spans="1:6" x14ac:dyDescent="0.2">
      <c r="A7719">
        <v>7658</v>
      </c>
      <c r="B7719" s="138">
        <f>'Rest Tax Levies-Tort Im 25'!K12</f>
        <v>7488</v>
      </c>
      <c r="D7719" s="2" t="str">
        <f t="shared" si="126"/>
        <v>Error?</v>
      </c>
      <c r="E7719" s="2" t="s">
        <v>827</v>
      </c>
    </row>
    <row r="7720" spans="1:6" x14ac:dyDescent="0.2">
      <c r="A7720">
        <v>7659</v>
      </c>
      <c r="B7720" s="138">
        <f>'Rest Tax Levies-Tort Im 25'!H14</f>
        <v>21544</v>
      </c>
      <c r="D7720" s="2" t="str">
        <f t="shared" si="126"/>
        <v>Error?</v>
      </c>
      <c r="E7720" s="2" t="s">
        <v>827</v>
      </c>
    </row>
    <row r="7721" spans="1:6" x14ac:dyDescent="0.2">
      <c r="A7721">
        <v>7660</v>
      </c>
      <c r="B7721" s="138">
        <f>'Rest Tax Levies-Tort Im 25'!K14</f>
        <v>7488</v>
      </c>
      <c r="D7721" s="2" t="str">
        <f t="shared" si="126"/>
        <v>Error?</v>
      </c>
      <c r="E7721" s="2" t="s">
        <v>827</v>
      </c>
    </row>
    <row r="7722" spans="1:6" x14ac:dyDescent="0.2">
      <c r="A7722">
        <v>7661</v>
      </c>
      <c r="B7722" s="138">
        <f>'Rest Tax Levies-Tort Im 25'!J15</f>
        <v>126492</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135869</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126492</v>
      </c>
      <c r="D7730" s="2" t="str">
        <f t="shared" si="126"/>
        <v>Error?</v>
      </c>
      <c r="E7730" s="2" t="s">
        <v>827</v>
      </c>
    </row>
    <row r="7731" spans="1:6" x14ac:dyDescent="0.2">
      <c r="A7731">
        <v>7670</v>
      </c>
      <c r="B7731" s="138">
        <f>'Revenues 9-14'!H103</f>
        <v>48502</v>
      </c>
      <c r="D7731" s="2" t="str">
        <f t="shared" si="126"/>
        <v>Error?</v>
      </c>
      <c r="E7731" s="2" t="s">
        <v>827</v>
      </c>
    </row>
    <row r="7732" spans="1:6" x14ac:dyDescent="0.2">
      <c r="A7732">
        <v>7671</v>
      </c>
      <c r="B7732" s="138">
        <f>'Rest Tax Levies-Tort Im 25'!J24</f>
        <v>184218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184218</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8" t="s">
        <v>1191</v>
      </c>
      <c r="B2" s="2378"/>
      <c r="C2" s="2378"/>
      <c r="D2" s="2378"/>
      <c r="E2" s="2378"/>
      <c r="F2" s="2378"/>
      <c r="G2" s="2378"/>
      <c r="H2" s="2378"/>
      <c r="I2" s="2378"/>
      <c r="J2" s="2378"/>
      <c r="K2" s="2378"/>
      <c r="L2" s="2378"/>
    </row>
    <row r="3" spans="1:29" ht="13.5" customHeight="1" x14ac:dyDescent="0.2">
      <c r="A3" s="2409" t="s">
        <v>1190</v>
      </c>
      <c r="B3" s="2409"/>
      <c r="C3" s="2409"/>
      <c r="D3" s="2409"/>
      <c r="E3" s="2409"/>
      <c r="F3" s="2409"/>
      <c r="G3" s="2409"/>
      <c r="H3" s="2409"/>
      <c r="I3" s="2409"/>
      <c r="J3" s="2409"/>
      <c r="K3" s="2409"/>
      <c r="L3" s="2409"/>
    </row>
    <row r="4" spans="1:29" ht="13.5" customHeight="1" x14ac:dyDescent="0.2">
      <c r="A4" s="2378" t="s">
        <v>1989</v>
      </c>
      <c r="B4" s="2399"/>
      <c r="C4" s="2399"/>
      <c r="D4" s="2399"/>
      <c r="E4" s="2399"/>
      <c r="F4" s="2399"/>
      <c r="G4" s="2399"/>
      <c r="H4" s="2399"/>
      <c r="I4" s="2399"/>
      <c r="J4" s="2399"/>
      <c r="K4" s="2399"/>
      <c r="L4" s="239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0" t="str">
        <f>COVER!A17</f>
        <v>Bunker Hill CUSD 8</v>
      </c>
      <c r="B7" s="2401"/>
      <c r="C7" s="2401"/>
      <c r="D7" s="2402"/>
      <c r="E7" s="2403">
        <f>COVER!A13</f>
        <v>40056008026</v>
      </c>
      <c r="F7" s="2404"/>
      <c r="G7" s="2410" t="str">
        <f>COVER!T23</f>
        <v>060-003363</v>
      </c>
      <c r="H7" s="2411"/>
      <c r="I7" s="2411"/>
      <c r="J7" s="2411"/>
      <c r="K7" s="2411"/>
      <c r="L7" s="241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3"/>
      <c r="B9" s="2414"/>
      <c r="C9" s="2414"/>
      <c r="D9" s="2414"/>
      <c r="E9" s="2414"/>
      <c r="F9" s="2415"/>
      <c r="G9" s="2384" t="str">
        <f>COVER!T13</f>
        <v>LOY MILLER TALLEY, PC</v>
      </c>
      <c r="H9" s="2416"/>
      <c r="I9" s="2416"/>
      <c r="J9" s="2416"/>
      <c r="K9" s="2416"/>
      <c r="L9" s="2417"/>
    </row>
    <row r="10" spans="1:29" ht="13.5" customHeight="1" x14ac:dyDescent="0.2">
      <c r="A10" s="2390" t="str">
        <f>COVER!A38</f>
        <v>TODD DUGAN</v>
      </c>
      <c r="B10" s="2391"/>
      <c r="C10" s="2391"/>
      <c r="D10" s="2391"/>
      <c r="E10" s="2391"/>
      <c r="F10" s="2392"/>
      <c r="G10" s="2384" t="str">
        <f>COVER!T17</f>
        <v>#2 CROSSROADS CT</v>
      </c>
      <c r="H10" s="2385"/>
      <c r="I10" s="2385"/>
      <c r="J10" s="2385"/>
      <c r="K10" s="2385"/>
      <c r="L10" s="2386"/>
    </row>
    <row r="11" spans="1:29" ht="13.5" customHeight="1" x14ac:dyDescent="0.2">
      <c r="A11" s="1184" t="s">
        <v>1519</v>
      </c>
      <c r="B11" s="1185"/>
      <c r="C11" s="1186"/>
      <c r="D11" s="1191"/>
      <c r="E11" s="1186"/>
      <c r="F11" s="1190"/>
      <c r="G11" s="2384" t="str">
        <f>COVER!T19</f>
        <v>ALTON</v>
      </c>
      <c r="H11" s="2385"/>
      <c r="I11" s="2385"/>
      <c r="J11" s="2385"/>
      <c r="K11" s="2385"/>
      <c r="L11" s="2386"/>
    </row>
    <row r="12" spans="1:29" ht="13.5" customHeight="1" x14ac:dyDescent="0.2">
      <c r="A12" s="2393" t="s">
        <v>1518</v>
      </c>
      <c r="B12" s="2394"/>
      <c r="C12" s="2394"/>
      <c r="D12" s="2394"/>
      <c r="E12" s="2394"/>
      <c r="F12" s="2395"/>
      <c r="G12" s="2387"/>
      <c r="H12" s="2388"/>
      <c r="I12" s="2388"/>
      <c r="J12" s="2388"/>
      <c r="K12" s="2388"/>
      <c r="L12" s="2389"/>
    </row>
    <row r="13" spans="1:29" ht="13.5" customHeight="1" x14ac:dyDescent="0.2">
      <c r="A13" s="2384"/>
      <c r="B13" s="2385"/>
      <c r="C13" s="2385"/>
      <c r="D13" s="2385"/>
      <c r="E13" s="2385"/>
      <c r="F13" s="2386"/>
      <c r="G13" s="2379" t="s">
        <v>1520</v>
      </c>
      <c r="H13" s="2380"/>
      <c r="I13" s="2396" t="str">
        <f>COVER!T25</f>
        <v>KEN@LMTCPAS.COM</v>
      </c>
      <c r="J13" s="2397"/>
      <c r="K13" s="2397"/>
      <c r="L13" s="2398"/>
    </row>
    <row r="14" spans="1:29" ht="13.5" customHeight="1" x14ac:dyDescent="0.2">
      <c r="A14" s="2384" t="str">
        <f>COVER!A19</f>
        <v>504 E WARREN</v>
      </c>
      <c r="B14" s="2385"/>
      <c r="C14" s="2385"/>
      <c r="D14" s="2385"/>
      <c r="E14" s="2385"/>
      <c r="F14" s="2386"/>
      <c r="G14" s="1195" t="s">
        <v>1185</v>
      </c>
      <c r="H14" s="1193"/>
      <c r="I14" s="1193"/>
      <c r="J14" s="1193"/>
      <c r="K14" s="1193"/>
      <c r="L14" s="1194"/>
    </row>
    <row r="15" spans="1:29" ht="13.5" customHeight="1" x14ac:dyDescent="0.2">
      <c r="A15" s="2384" t="str">
        <f>COVER!A21</f>
        <v xml:space="preserve">BUNKER HILL  </v>
      </c>
      <c r="B15" s="2385"/>
      <c r="C15" s="2385"/>
      <c r="D15" s="2385"/>
      <c r="E15" s="2385"/>
      <c r="F15" s="2386"/>
      <c r="G15" s="2381" t="str">
        <f>COVER!T15</f>
        <v>KENNETH E. LOY, C.P.A.</v>
      </c>
      <c r="H15" s="2382"/>
      <c r="I15" s="2382"/>
      <c r="J15" s="2382"/>
      <c r="K15" s="2382"/>
      <c r="L15" s="2383"/>
    </row>
    <row r="16" spans="1:29" ht="12.2" customHeight="1" x14ac:dyDescent="0.2">
      <c r="A16" s="2406">
        <f>COVER!A25</f>
        <v>62014</v>
      </c>
      <c r="B16" s="2407"/>
      <c r="C16" s="2407"/>
      <c r="D16" s="2407"/>
      <c r="E16" s="2407"/>
      <c r="F16" s="2408"/>
      <c r="G16" s="2418"/>
      <c r="H16" s="2419"/>
      <c r="I16" s="2419"/>
      <c r="J16" s="2419"/>
      <c r="K16" s="2419"/>
      <c r="L16" s="2420"/>
    </row>
    <row r="17" spans="1:13" ht="12.2" customHeight="1" x14ac:dyDescent="0.2">
      <c r="A17" s="2421"/>
      <c r="B17" s="2407"/>
      <c r="C17" s="2407"/>
      <c r="D17" s="2407"/>
      <c r="E17" s="2407"/>
      <c r="F17" s="2408"/>
      <c r="G17" s="1195" t="s">
        <v>1184</v>
      </c>
      <c r="H17" s="1193"/>
      <c r="I17" s="1193"/>
      <c r="J17" s="1193"/>
      <c r="K17" s="1197" t="s">
        <v>1183</v>
      </c>
      <c r="L17" s="1190"/>
      <c r="M17" s="1183"/>
    </row>
    <row r="18" spans="1:13" ht="12.2" customHeight="1" x14ac:dyDescent="0.2">
      <c r="A18" s="2390"/>
      <c r="B18" s="2391"/>
      <c r="C18" s="2391"/>
      <c r="D18" s="2391"/>
      <c r="E18" s="2391"/>
      <c r="F18" s="2392"/>
      <c r="G18" s="2400" t="str">
        <f>COVER!T21</f>
        <v>(618)465-1196</v>
      </c>
      <c r="H18" s="2401"/>
      <c r="I18" s="2401"/>
      <c r="J18" s="2401"/>
      <c r="K18" s="2400" t="str">
        <f>COVER!X21</f>
        <v>(618)465-2900</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Bunker Hill CUSD 8</v>
      </c>
      <c r="B1" s="2399"/>
      <c r="C1" s="2399"/>
      <c r="D1" s="2399"/>
    </row>
    <row r="2" spans="1:11" s="1212" customFormat="1" ht="12.75" x14ac:dyDescent="0.2">
      <c r="A2" s="2423">
        <f>'Single Audit Cover'!E7</f>
        <v>40056008026</v>
      </c>
      <c r="B2" s="2424"/>
      <c r="C2" s="2424"/>
      <c r="D2" s="2424"/>
    </row>
    <row r="3" spans="1:11" s="1212" customFormat="1" ht="12.75" x14ac:dyDescent="0.2">
      <c r="A3" s="2422" t="s">
        <v>1513</v>
      </c>
      <c r="B3" s="2399"/>
      <c r="C3" s="2399"/>
      <c r="D3" s="239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Bunker Hill CUSD 8</v>
      </c>
      <c r="B1" s="2426"/>
      <c r="C1" s="2426"/>
      <c r="D1" s="2426"/>
      <c r="E1" s="2426"/>
    </row>
    <row r="2" spans="1:5" x14ac:dyDescent="0.2">
      <c r="A2" s="2427">
        <f>'Single Audit Cover'!E7</f>
        <v>40056008026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521069</v>
      </c>
    </row>
    <row r="11" spans="1:5" ht="18" customHeight="1" x14ac:dyDescent="0.2">
      <c r="A11" s="1258" t="s">
        <v>1240</v>
      </c>
      <c r="B11" s="1259"/>
      <c r="C11" s="1259"/>
    </row>
    <row r="12" spans="1:5" x14ac:dyDescent="0.2">
      <c r="A12" s="1258" t="s">
        <v>1239</v>
      </c>
      <c r="B12" s="1259" t="s">
        <v>1238</v>
      </c>
      <c r="C12" s="1259"/>
      <c r="D12" s="1261">
        <f>SUM('Revenues 9-14'!C112:D112,'Revenues 9-14'!F112:G112)</f>
        <v>23201</v>
      </c>
    </row>
    <row r="13" spans="1:5" x14ac:dyDescent="0.2">
      <c r="A13" s="1258" t="s">
        <v>1237</v>
      </c>
      <c r="B13" s="1259"/>
      <c r="C13" s="1259"/>
    </row>
    <row r="14" spans="1:5" x14ac:dyDescent="0.2">
      <c r="A14" s="1258" t="s">
        <v>1727</v>
      </c>
      <c r="B14" s="1259"/>
      <c r="C14" s="1259"/>
      <c r="D14" s="1261">
        <f>'ICR Computation 30'!E11</f>
        <v>12504</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-5892</v>
      </c>
    </row>
    <row r="19" spans="1:4" ht="13.5" thickBot="1" x14ac:dyDescent="0.25">
      <c r="A19" s="1262" t="s">
        <v>1235</v>
      </c>
      <c r="D19" s="1263">
        <f>SUM(D10:D17)</f>
        <v>550882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550882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550882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G11" sqref="G1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Bunker Hill CUSD 8</v>
      </c>
      <c r="C1" s="2430"/>
      <c r="D1" s="2430"/>
      <c r="E1" s="2430"/>
      <c r="F1" s="2430"/>
      <c r="G1" s="2430"/>
      <c r="H1" s="2430"/>
      <c r="I1" s="2430"/>
      <c r="J1" s="2430"/>
      <c r="K1" s="2430"/>
      <c r="L1" s="2430"/>
      <c r="M1" s="2430"/>
    </row>
    <row r="2" spans="2:14" ht="15" x14ac:dyDescent="0.2">
      <c r="B2" s="2431">
        <f>'Single Audit Cover'!E7</f>
        <v>40056008026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Bunker Hill CUSD 8</v>
      </c>
      <c r="B1" s="2443"/>
      <c r="C1" s="2443"/>
      <c r="D1" s="2443"/>
      <c r="E1" s="2443"/>
      <c r="F1" s="2443"/>
    </row>
    <row r="2" spans="1:7" ht="13.5" customHeight="1" x14ac:dyDescent="0.2">
      <c r="A2" s="2431">
        <f>'Single Audit Cover'!E7</f>
        <v>40056008026</v>
      </c>
      <c r="B2" s="2431"/>
      <c r="C2" s="2431"/>
      <c r="D2" s="2431"/>
      <c r="E2" s="2431"/>
      <c r="F2" s="2431"/>
      <c r="G2" s="1272"/>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1728</v>
      </c>
      <c r="C6" s="317"/>
      <c r="D6" s="317"/>
    </row>
    <row r="7" spans="1:7" ht="60.95" customHeight="1" x14ac:dyDescent="0.2">
      <c r="A7" s="2442" t="s">
        <v>1729</v>
      </c>
      <c r="B7" s="2442"/>
      <c r="C7" s="2442"/>
      <c r="D7" s="2442"/>
      <c r="E7" s="2442"/>
      <c r="F7" s="244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2" t="s">
        <v>1731</v>
      </c>
      <c r="B13" s="2442"/>
      <c r="C13" s="2442"/>
      <c r="D13" s="2442"/>
      <c r="E13" s="2442"/>
      <c r="F13" s="2442"/>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5"/>
      <c r="E17" s="2435"/>
      <c r="F17" s="2435"/>
    </row>
    <row r="18" spans="1:6" ht="20.65" customHeight="1" x14ac:dyDescent="0.2">
      <c r="A18" s="1280"/>
      <c r="B18" s="1281"/>
      <c r="C18" s="1282"/>
      <c r="D18" s="2435"/>
      <c r="E18" s="2435"/>
      <c r="F18" s="2435"/>
    </row>
    <row r="19" spans="1:6" ht="20.65" customHeight="1" x14ac:dyDescent="0.2">
      <c r="A19" s="1280"/>
      <c r="B19" s="1281"/>
      <c r="C19" s="1282"/>
      <c r="D19" s="2435"/>
      <c r="E19" s="2435"/>
      <c r="F19" s="2435"/>
    </row>
    <row r="20" spans="1:6" ht="20.65" customHeight="1" x14ac:dyDescent="0.2">
      <c r="A20" s="1280"/>
      <c r="B20" s="1281"/>
      <c r="C20" s="1282"/>
      <c r="D20" s="2435"/>
      <c r="E20" s="2435"/>
      <c r="F20" s="2435"/>
    </row>
    <row r="21" spans="1:6" ht="20.65" customHeight="1" x14ac:dyDescent="0.2">
      <c r="A21" s="1280"/>
      <c r="B21" s="1281"/>
      <c r="C21" s="1282"/>
      <c r="D21" s="2435"/>
      <c r="E21" s="2435"/>
      <c r="F21" s="2435"/>
    </row>
    <row r="22" spans="1:6" ht="20.65" customHeight="1" x14ac:dyDescent="0.2">
      <c r="A22" s="1280"/>
      <c r="B22" s="1281"/>
      <c r="C22" s="1282"/>
      <c r="D22" s="2435"/>
      <c r="E22" s="2435"/>
      <c r="F22" s="2435"/>
    </row>
    <row r="23" spans="1:6" ht="20.65" customHeight="1" x14ac:dyDescent="0.2">
      <c r="A23" s="1280"/>
      <c r="B23" s="1281"/>
      <c r="C23" s="1282"/>
      <c r="D23" s="2435"/>
      <c r="E23" s="2435"/>
      <c r="F23" s="2435"/>
    </row>
    <row r="24" spans="1:6" ht="20.65" customHeight="1" x14ac:dyDescent="0.2">
      <c r="A24" s="1280"/>
      <c r="B24" s="1281"/>
      <c r="C24" s="1282"/>
      <c r="D24" s="2435"/>
      <c r="E24" s="2435"/>
      <c r="F24" s="2435"/>
    </row>
    <row r="25" spans="1:6" ht="20.65" customHeight="1" x14ac:dyDescent="0.2">
      <c r="A25" s="1280"/>
      <c r="B25" s="1281"/>
      <c r="C25" s="1282"/>
      <c r="D25" s="2435"/>
      <c r="E25" s="2435"/>
      <c r="F25" s="2435"/>
    </row>
    <row r="26" spans="1:6" ht="20.65" customHeight="1" x14ac:dyDescent="0.2">
      <c r="A26" s="1280"/>
      <c r="B26" s="1281"/>
      <c r="C26" s="1282"/>
      <c r="D26" s="2435"/>
      <c r="E26" s="2435"/>
      <c r="F26" s="2435"/>
    </row>
    <row r="27" spans="1:6" ht="20.65" customHeight="1" x14ac:dyDescent="0.2">
      <c r="A27" s="1280"/>
      <c r="B27" s="1281"/>
      <c r="C27" s="1282"/>
      <c r="D27" s="2435"/>
      <c r="E27" s="2435"/>
      <c r="F27" s="2435"/>
    </row>
    <row r="28" spans="1:6" ht="20.65" customHeight="1" x14ac:dyDescent="0.2">
      <c r="A28" s="1280"/>
      <c r="B28" s="1281"/>
      <c r="C28" s="1282"/>
      <c r="D28" s="2435"/>
      <c r="E28" s="2435"/>
      <c r="F28" s="2435"/>
    </row>
    <row r="29" spans="1:6" ht="20.65" customHeight="1" x14ac:dyDescent="0.2">
      <c r="A29" s="1280"/>
      <c r="B29" s="1281"/>
      <c r="C29" s="1282"/>
      <c r="D29" s="2435"/>
      <c r="E29" s="2435"/>
      <c r="F29" s="243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6" t="s">
        <v>1732</v>
      </c>
      <c r="B32" s="2436"/>
      <c r="C32" s="2436"/>
      <c r="D32" s="2436"/>
      <c r="E32" s="2436"/>
      <c r="F32" s="243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7">
        <f>+C33+C34</f>
        <v>0</v>
      </c>
      <c r="F34" s="243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9" t="s">
        <v>1590</v>
      </c>
      <c r="C49" s="2439"/>
      <c r="D49" s="2439"/>
      <c r="E49" s="1396"/>
    </row>
    <row r="50" spans="1:5" s="1297" customFormat="1" ht="3.75" customHeight="1" x14ac:dyDescent="0.2">
      <c r="A50" s="1296"/>
      <c r="B50" s="1845"/>
      <c r="C50" s="1845"/>
      <c r="D50" s="1845"/>
      <c r="E50" s="1396"/>
    </row>
    <row r="51" spans="1:5" s="1297" customFormat="1" ht="20.25" customHeight="1" x14ac:dyDescent="0.2">
      <c r="A51" s="1298">
        <v>6</v>
      </c>
      <c r="B51" s="2434" t="s">
        <v>1551</v>
      </c>
      <c r="C51" s="2434"/>
      <c r="D51" s="2434"/>
    </row>
    <row r="52" spans="1:5" ht="14.25" customHeight="1" x14ac:dyDescent="0.2">
      <c r="A52" s="1298"/>
      <c r="B52" s="2434"/>
      <c r="C52" s="2434"/>
      <c r="D52" s="243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7" colorId="8" zoomScale="110" zoomScaleNormal="110" workbookViewId="0">
      <selection activeCell="O52" sqref="O5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35065</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2069</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Bunker Hill CUSD 8</v>
      </c>
      <c r="C1" s="2458"/>
      <c r="D1" s="2458"/>
      <c r="E1" s="2458"/>
      <c r="F1" s="2458"/>
      <c r="G1" s="2458"/>
      <c r="H1" s="2458"/>
      <c r="I1" s="2458"/>
      <c r="J1" s="1406"/>
    </row>
    <row r="2" spans="2:10" s="317" customFormat="1" ht="12.75" customHeight="1" x14ac:dyDescent="0.2">
      <c r="B2" s="2459">
        <f>'Single Audit Cover'!E7</f>
        <v>40056008026</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46" t="s">
        <v>1593</v>
      </c>
      <c r="D43" s="2447"/>
      <c r="E43" s="2447"/>
      <c r="F43" s="2448"/>
      <c r="G43" s="2449">
        <f>SUM(G38:I42)</f>
        <v>0</v>
      </c>
      <c r="H43" s="2449"/>
      <c r="I43" s="2449"/>
    </row>
    <row r="44" spans="2:9" ht="12.75" customHeight="1" x14ac:dyDescent="0.2"/>
    <row r="45" spans="2:9" ht="12.75" customHeight="1" x14ac:dyDescent="0.2">
      <c r="B45" s="1419" t="s">
        <v>1841</v>
      </c>
      <c r="D45" s="2450">
        <v>0</v>
      </c>
      <c r="E45" s="245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2"/>
      <c r="F49" s="2452"/>
      <c r="G49" s="245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Bunker Hill CUSD 8</v>
      </c>
      <c r="C1" s="2457"/>
      <c r="D1" s="2457"/>
      <c r="E1" s="2457"/>
      <c r="F1" s="2457"/>
      <c r="G1" s="2457"/>
      <c r="H1" s="2457"/>
      <c r="I1" s="2457"/>
      <c r="J1" s="2457"/>
      <c r="K1" s="2457"/>
      <c r="L1" s="1371"/>
      <c r="M1" s="1371"/>
    </row>
    <row r="2" spans="1:13" ht="12" customHeight="1" x14ac:dyDescent="0.2">
      <c r="B2" s="2459">
        <f>'Single Audit Cover'!E7</f>
        <v>40056008026</v>
      </c>
      <c r="C2" s="2459"/>
      <c r="D2" s="2459"/>
      <c r="E2" s="2459"/>
      <c r="F2" s="2459"/>
      <c r="G2" s="2459"/>
      <c r="H2" s="2459"/>
      <c r="I2" s="2459"/>
      <c r="J2" s="2459"/>
      <c r="K2" s="2459"/>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Bunker Hill CUSD 8</v>
      </c>
      <c r="C1" s="2480"/>
      <c r="D1" s="2480"/>
      <c r="E1" s="2480"/>
      <c r="F1" s="2480"/>
      <c r="G1" s="2480"/>
      <c r="H1" s="2480"/>
      <c r="I1" s="2480"/>
      <c r="J1" s="2480"/>
      <c r="K1" s="2480"/>
      <c r="L1" s="1449"/>
    </row>
    <row r="2" spans="1:12" ht="12.75" customHeight="1" x14ac:dyDescent="0.2">
      <c r="B2" s="2481">
        <f>'Single Audit Cover'!E7</f>
        <v>40056008026</v>
      </c>
      <c r="C2" s="2481"/>
      <c r="D2" s="2481"/>
      <c r="E2" s="2481"/>
      <c r="F2" s="2481"/>
      <c r="G2" s="2481"/>
      <c r="H2" s="2481"/>
      <c r="I2" s="2481"/>
      <c r="J2" s="2481"/>
      <c r="K2" s="2481"/>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7"/>
      <c r="E14" s="2477"/>
      <c r="F14" s="2477"/>
      <c r="H14" s="1459" t="s">
        <v>1303</v>
      </c>
      <c r="I14" s="2478"/>
      <c r="J14" s="2478"/>
      <c r="K14" s="247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8"/>
      <c r="E16" s="2478"/>
      <c r="F16" s="2478"/>
      <c r="G16" s="2478"/>
      <c r="H16" s="2478"/>
      <c r="I16" s="2478"/>
      <c r="J16" s="2478"/>
      <c r="K16" s="2478"/>
      <c r="L16" s="322"/>
    </row>
    <row r="17" spans="2:12" ht="13.5" customHeight="1" x14ac:dyDescent="0.2">
      <c r="B17" s="1384" t="s">
        <v>1301</v>
      </c>
      <c r="C17" s="1384"/>
      <c r="D17" s="2479"/>
      <c r="E17" s="2479"/>
      <c r="F17" s="2479"/>
      <c r="G17" s="2479"/>
      <c r="H17" s="2479"/>
      <c r="I17" s="2479"/>
      <c r="J17" s="2479"/>
      <c r="K17" s="247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Bunker Hill CUSD 8</v>
      </c>
      <c r="C1" s="2457"/>
      <c r="D1" s="2457"/>
      <c r="E1" s="1469"/>
    </row>
    <row r="2" spans="2:5" s="1279" customFormat="1" ht="12.75" customHeight="1" x14ac:dyDescent="0.2">
      <c r="B2" s="2459">
        <f>'Single Audit Cover'!E7</f>
        <v>40056008026</v>
      </c>
      <c r="C2" s="2459"/>
      <c r="D2" s="2459"/>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82" sqref="D8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54127484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2.0729000000000001E-2</v>
      </c>
      <c r="E10" s="356" t="s">
        <v>1005</v>
      </c>
      <c r="F10" s="355">
        <v>5.1079999999999997E-3</v>
      </c>
      <c r="G10" s="356" t="s">
        <v>1005</v>
      </c>
      <c r="H10" s="355">
        <v>2.0839999999999999E-3</v>
      </c>
      <c r="I10" s="356" t="s">
        <v>1006</v>
      </c>
      <c r="J10" s="1732">
        <f>ROUND(D10+F10+H10,5)</f>
        <v>2.792E-2</v>
      </c>
      <c r="K10" s="222"/>
      <c r="L10" s="355">
        <v>5.0000000000000001E-3</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5527829</v>
      </c>
      <c r="E16" s="356"/>
      <c r="F16" s="1733">
        <f>SUM('Acct Summary 7-8'!C17,'Acct Summary 7-8'!D17,'Acct Summary 7-8'!F17)</f>
        <v>4914052</v>
      </c>
      <c r="G16" s="356"/>
      <c r="H16" s="1733">
        <f>SUM(D16-F16)</f>
        <v>613777</v>
      </c>
      <c r="I16" s="222"/>
      <c r="J16" s="1733">
        <f>SUM('Acct Summary 7-8'!C81,'Acct Summary 7-8'!D81,'Acct Summary 7-8'!F81,'Acct Summary 7-8'!I81)</f>
        <v>3045115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7469592.7920000004</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2347190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D82" sqref="D8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Bunker Hill CUSD 8</v>
      </c>
      <c r="E7" s="391"/>
      <c r="G7" s="252"/>
      <c r="H7" s="387"/>
      <c r="I7" s="387"/>
      <c r="J7" s="387"/>
      <c r="K7" s="387"/>
      <c r="L7" s="329"/>
      <c r="M7" s="329"/>
      <c r="N7" s="329"/>
      <c r="O7" s="329"/>
      <c r="P7" s="329"/>
    </row>
    <row r="8" spans="1:18" ht="12.75" x14ac:dyDescent="0.2">
      <c r="A8" s="329"/>
      <c r="B8" s="329"/>
      <c r="C8" s="389" t="s">
        <v>1125</v>
      </c>
      <c r="D8" s="392">
        <f>COVER!A13</f>
        <v>40056008026</v>
      </c>
      <c r="E8" s="393"/>
      <c r="G8" s="329"/>
      <c r="H8" s="329"/>
      <c r="I8" s="329"/>
      <c r="J8" s="329"/>
      <c r="K8" s="329"/>
      <c r="L8" s="329"/>
      <c r="M8" s="329"/>
      <c r="N8" s="329"/>
      <c r="O8" s="329"/>
      <c r="P8" s="329"/>
    </row>
    <row r="9" spans="1:18" ht="12.75" x14ac:dyDescent="0.2">
      <c r="A9" s="329"/>
      <c r="B9" s="329"/>
      <c r="C9" s="389" t="s">
        <v>713</v>
      </c>
      <c r="D9" s="394" t="str">
        <f>COVER!A15</f>
        <v>MACOUPIN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3045115</v>
      </c>
      <c r="I12" s="404"/>
      <c r="J12" s="404"/>
      <c r="K12" s="405">
        <f>TRUNC((H12/H13*100000),5)/100000</f>
        <v>0.5508699708</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5527829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4914052</v>
      </c>
      <c r="I17" s="404"/>
      <c r="J17" s="416"/>
      <c r="K17" s="405">
        <f>TRUNC((H17/H18*100000),5)/100000</f>
        <v>0.88896599369999996</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5527829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3045115</v>
      </c>
      <c r="I24" s="422"/>
      <c r="J24" s="422"/>
      <c r="K24" s="423">
        <f>TRUNC(((H24/H25*100000)/100000),2)</f>
        <v>223.08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13650.14444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1284553.4502900001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2347190</v>
      </c>
      <c r="I32" s="420"/>
      <c r="J32" s="420"/>
      <c r="K32" s="423">
        <f>TRUNC(100-((((H32/H33*100))*100)/100),2)</f>
        <v>68.569999999999993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7469592.7920000004</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1" activePane="bottomLeft" state="frozen"/>
      <selection activeCell="D82" sqref="D82"/>
      <selection pane="bottomLeft" activeCell="D82" sqref="D8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1549793</v>
      </c>
      <c r="D4" s="466">
        <v>676878</v>
      </c>
      <c r="E4" s="466">
        <v>105309</v>
      </c>
      <c r="F4" s="466">
        <v>50723</v>
      </c>
      <c r="G4" s="466">
        <v>157466</v>
      </c>
      <c r="H4" s="466">
        <v>184218</v>
      </c>
      <c r="I4" s="466">
        <v>463411</v>
      </c>
      <c r="J4" s="467">
        <v>509227</v>
      </c>
      <c r="K4" s="466">
        <v>60943</v>
      </c>
      <c r="L4" s="466">
        <v>99121</v>
      </c>
      <c r="M4" s="468"/>
      <c r="N4" s="469"/>
    </row>
    <row r="5" spans="1:14" x14ac:dyDescent="0.2">
      <c r="A5" s="463" t="s">
        <v>992</v>
      </c>
      <c r="B5" s="470">
        <v>120</v>
      </c>
      <c r="C5" s="465"/>
      <c r="D5" s="466"/>
      <c r="E5" s="466">
        <v>100000</v>
      </c>
      <c r="F5" s="466"/>
      <c r="G5" s="466">
        <v>450000</v>
      </c>
      <c r="H5" s="466"/>
      <c r="I5" s="466">
        <v>304310</v>
      </c>
      <c r="J5" s="467">
        <v>250000</v>
      </c>
      <c r="K5" s="471"/>
      <c r="L5" s="472">
        <v>3235</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1549793</v>
      </c>
      <c r="D13" s="1737">
        <f t="shared" ref="D13:L13" si="0">SUM(D4:D12)</f>
        <v>676878</v>
      </c>
      <c r="E13" s="1737">
        <f t="shared" si="0"/>
        <v>205309</v>
      </c>
      <c r="F13" s="1737">
        <f t="shared" si="0"/>
        <v>50723</v>
      </c>
      <c r="G13" s="1737">
        <f t="shared" si="0"/>
        <v>607466</v>
      </c>
      <c r="H13" s="1737">
        <f t="shared" si="0"/>
        <v>184218</v>
      </c>
      <c r="I13" s="1737">
        <f t="shared" si="0"/>
        <v>767721</v>
      </c>
      <c r="J13" s="1737">
        <f t="shared" si="0"/>
        <v>759227</v>
      </c>
      <c r="K13" s="1737">
        <f t="shared" si="0"/>
        <v>60943</v>
      </c>
      <c r="L13" s="1737">
        <f t="shared" si="0"/>
        <v>102356</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63426</v>
      </c>
      <c r="N16" s="484"/>
    </row>
    <row r="17" spans="1:14" s="485" customFormat="1" ht="12.75" customHeight="1" x14ac:dyDescent="0.2">
      <c r="A17" s="482" t="s">
        <v>1403</v>
      </c>
      <c r="B17" s="483">
        <v>230</v>
      </c>
      <c r="C17" s="477"/>
      <c r="D17" s="477"/>
      <c r="E17" s="477"/>
      <c r="F17" s="477"/>
      <c r="G17" s="477"/>
      <c r="H17" s="477"/>
      <c r="I17" s="477"/>
      <c r="J17" s="477"/>
      <c r="K17" s="477"/>
      <c r="L17" s="477"/>
      <c r="M17" s="467">
        <v>8945692</v>
      </c>
      <c r="N17" s="484"/>
    </row>
    <row r="18" spans="1:14" s="485" customFormat="1" ht="12.75" customHeight="1" x14ac:dyDescent="0.2">
      <c r="A18" s="482" t="s">
        <v>1404</v>
      </c>
      <c r="B18" s="483">
        <v>240</v>
      </c>
      <c r="C18" s="477"/>
      <c r="D18" s="477"/>
      <c r="E18" s="477"/>
      <c r="F18" s="477"/>
      <c r="G18" s="477"/>
      <c r="H18" s="477"/>
      <c r="I18" s="477"/>
      <c r="J18" s="477"/>
      <c r="K18" s="477"/>
      <c r="L18" s="477"/>
      <c r="M18" s="467">
        <v>38078</v>
      </c>
      <c r="N18" s="484"/>
    </row>
    <row r="19" spans="1:14" s="485" customFormat="1" ht="12.75" customHeight="1" x14ac:dyDescent="0.2">
      <c r="A19" s="482" t="s">
        <v>1405</v>
      </c>
      <c r="B19" s="483">
        <v>250</v>
      </c>
      <c r="C19" s="477"/>
      <c r="D19" s="477"/>
      <c r="E19" s="477"/>
      <c r="F19" s="477"/>
      <c r="G19" s="477"/>
      <c r="H19" s="477"/>
      <c r="I19" s="477"/>
      <c r="J19" s="477"/>
      <c r="K19" s="477"/>
      <c r="L19" s="477"/>
      <c r="M19" s="467">
        <v>2383121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205309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2141881</v>
      </c>
    </row>
    <row r="23" spans="1:14" ht="13.5" customHeight="1" thickBot="1" x14ac:dyDescent="0.25">
      <c r="A23" s="1736" t="s">
        <v>643</v>
      </c>
      <c r="B23" s="1741"/>
      <c r="C23" s="468"/>
      <c r="D23" s="468"/>
      <c r="E23" s="468"/>
      <c r="F23" s="468"/>
      <c r="G23" s="468"/>
      <c r="H23" s="468"/>
      <c r="I23" s="468"/>
      <c r="J23" s="468"/>
      <c r="K23" s="468"/>
      <c r="L23" s="468"/>
      <c r="M23" s="1688">
        <f>SUM(M15:M22)</f>
        <v>11430317</v>
      </c>
      <c r="N23" s="1688">
        <f>SUM(N21:N22)</f>
        <v>2347190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102356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102356</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2347190</v>
      </c>
    </row>
    <row r="37" spans="1:14" ht="13.5" thickBot="1" x14ac:dyDescent="0.25">
      <c r="A37" s="1736" t="s">
        <v>653</v>
      </c>
      <c r="B37" s="1741"/>
      <c r="C37" s="477"/>
      <c r="D37" s="477"/>
      <c r="E37" s="477"/>
      <c r="F37" s="477"/>
      <c r="G37" s="477"/>
      <c r="H37" s="477"/>
      <c r="I37" s="477"/>
      <c r="J37" s="477"/>
      <c r="K37" s="477"/>
      <c r="L37" s="480"/>
      <c r="M37" s="468"/>
      <c r="N37" s="1688">
        <f>SUM(N36:N36)</f>
        <v>2347190</v>
      </c>
    </row>
    <row r="38" spans="1:14" s="329" customFormat="1" ht="13.5" customHeight="1" thickTop="1" x14ac:dyDescent="0.2">
      <c r="A38" s="496" t="s">
        <v>420</v>
      </c>
      <c r="B38" s="483">
        <v>714</v>
      </c>
      <c r="C38" s="466"/>
      <c r="D38" s="466"/>
      <c r="E38" s="466">
        <v>205309</v>
      </c>
      <c r="F38" s="466"/>
      <c r="G38" s="466">
        <v>607466</v>
      </c>
      <c r="H38" s="466">
        <v>184218</v>
      </c>
      <c r="I38" s="466"/>
      <c r="J38" s="467">
        <v>759227</v>
      </c>
      <c r="K38" s="466">
        <v>60943</v>
      </c>
      <c r="L38" s="481"/>
      <c r="M38" s="497"/>
      <c r="N38" s="497"/>
    </row>
    <row r="39" spans="1:14" s="329" customFormat="1" ht="13.5" customHeight="1" x14ac:dyDescent="0.2">
      <c r="A39" s="496" t="s">
        <v>342</v>
      </c>
      <c r="B39" s="483">
        <v>730</v>
      </c>
      <c r="C39" s="466">
        <v>1549793</v>
      </c>
      <c r="D39" s="466">
        <v>676878</v>
      </c>
      <c r="E39" s="466"/>
      <c r="F39" s="466">
        <v>50723</v>
      </c>
      <c r="G39" s="466"/>
      <c r="H39" s="466"/>
      <c r="I39" s="466">
        <v>767721</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11430317</v>
      </c>
      <c r="N40" s="497"/>
    </row>
    <row r="41" spans="1:14" ht="13.5" customHeight="1" thickBot="1" x14ac:dyDescent="0.25">
      <c r="A41" s="1736" t="s">
        <v>655</v>
      </c>
      <c r="B41" s="1706"/>
      <c r="C41" s="1688">
        <f>(SUM(C34,C37,C38,C39))</f>
        <v>1549793</v>
      </c>
      <c r="D41" s="1688">
        <f t="shared" ref="D41:L41" si="2">SUM(D34,D37,D38:D39)</f>
        <v>676878</v>
      </c>
      <c r="E41" s="1688">
        <f t="shared" si="2"/>
        <v>205309</v>
      </c>
      <c r="F41" s="1688">
        <f t="shared" si="2"/>
        <v>50723</v>
      </c>
      <c r="G41" s="1688">
        <f t="shared" si="2"/>
        <v>607466</v>
      </c>
      <c r="H41" s="1688">
        <f t="shared" si="2"/>
        <v>184218</v>
      </c>
      <c r="I41" s="1688">
        <f t="shared" si="2"/>
        <v>767721</v>
      </c>
      <c r="J41" s="1688">
        <f t="shared" si="2"/>
        <v>759227</v>
      </c>
      <c r="K41" s="1688">
        <f t="shared" si="2"/>
        <v>60943</v>
      </c>
      <c r="L41" s="1688">
        <f t="shared" si="2"/>
        <v>102356</v>
      </c>
      <c r="M41" s="1688">
        <f>SUM(M40)</f>
        <v>11430317</v>
      </c>
      <c r="N41" s="1688">
        <f>SUM(N37)</f>
        <v>2347190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45" activePane="bottomLeft" state="frozen"/>
      <selection activeCell="D82" sqref="D82"/>
      <selection pane="bottomLeft" activeCell="D82" sqref="D8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1441232</v>
      </c>
      <c r="D4" s="1742">
        <f>'Revenues 9-14'!D109</f>
        <v>275165</v>
      </c>
      <c r="E4" s="1742">
        <f>'Revenues 9-14'!E109</f>
        <v>159737</v>
      </c>
      <c r="F4" s="1742">
        <f>'Revenues 9-14'!F109</f>
        <v>108880</v>
      </c>
      <c r="G4" s="1742">
        <f>'Revenues 9-14'!G109</f>
        <v>120209</v>
      </c>
      <c r="H4" s="1742">
        <f>'Revenues 9-14'!H109</f>
        <v>49422</v>
      </c>
      <c r="I4" s="1742">
        <f>'Revenues 9-14'!I109</f>
        <v>35336</v>
      </c>
      <c r="J4" s="1742">
        <f>'Revenues 9-14'!J109</f>
        <v>325669</v>
      </c>
      <c r="K4" s="1742">
        <f>'Revenues 9-14'!K109</f>
        <v>26941</v>
      </c>
      <c r="L4" s="347"/>
    </row>
    <row r="5" spans="1:13" ht="15.75" customHeight="1" x14ac:dyDescent="0.2">
      <c r="A5" s="1576" t="s">
        <v>1500</v>
      </c>
      <c r="B5" s="1577">
        <v>2000</v>
      </c>
      <c r="C5" s="1743">
        <f>'Revenues 9-14'!C114</f>
        <v>23201</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3005733</v>
      </c>
      <c r="D6" s="1743">
        <f>'Revenues 9-14'!D170</f>
        <v>0</v>
      </c>
      <c r="E6" s="1743">
        <f>'Revenues 9-14'!E170</f>
        <v>0</v>
      </c>
      <c r="F6" s="1743">
        <f>'Revenues 9-14'!F170</f>
        <v>117213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521069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4991235</v>
      </c>
      <c r="D8" s="1688">
        <f t="shared" ref="D8:K8" si="0">SUM(D4:D7)</f>
        <v>275165</v>
      </c>
      <c r="E8" s="1688">
        <f t="shared" si="0"/>
        <v>159737</v>
      </c>
      <c r="F8" s="1688">
        <f t="shared" si="0"/>
        <v>226093</v>
      </c>
      <c r="G8" s="1688">
        <f t="shared" si="0"/>
        <v>120209</v>
      </c>
      <c r="H8" s="1688">
        <f t="shared" si="0"/>
        <v>49422</v>
      </c>
      <c r="I8" s="1688">
        <f t="shared" si="0"/>
        <v>35336</v>
      </c>
      <c r="J8" s="1688">
        <f t="shared" si="0"/>
        <v>325669</v>
      </c>
      <c r="K8" s="1688">
        <f t="shared" si="0"/>
        <v>26941</v>
      </c>
      <c r="L8" s="347"/>
    </row>
    <row r="9" spans="1:13" ht="15.75" thickTop="1" x14ac:dyDescent="0.2">
      <c r="A9" s="514" t="s">
        <v>1653</v>
      </c>
      <c r="B9" s="515">
        <v>3998</v>
      </c>
      <c r="C9" s="481">
        <v>1612608</v>
      </c>
      <c r="D9" s="516"/>
      <c r="E9" s="481"/>
      <c r="F9" s="481"/>
      <c r="G9" s="517"/>
      <c r="H9" s="481"/>
      <c r="I9" s="509" t="s">
        <v>1169</v>
      </c>
      <c r="J9" s="478"/>
      <c r="K9" s="481"/>
      <c r="L9" s="347"/>
    </row>
    <row r="10" spans="1:13" s="519" customFormat="1" ht="13.5" thickBot="1" x14ac:dyDescent="0.25">
      <c r="A10" s="1736" t="s">
        <v>1173</v>
      </c>
      <c r="B10" s="1709"/>
      <c r="C10" s="1688">
        <f>SUM(C8:C9)</f>
        <v>6603843</v>
      </c>
      <c r="D10" s="1688">
        <f t="shared" ref="D10:K10" si="1">SUM(D8:D9)</f>
        <v>275165</v>
      </c>
      <c r="E10" s="1688">
        <f t="shared" si="1"/>
        <v>159737</v>
      </c>
      <c r="F10" s="1688">
        <f t="shared" si="1"/>
        <v>226093</v>
      </c>
      <c r="G10" s="1688">
        <f t="shared" si="1"/>
        <v>120209</v>
      </c>
      <c r="H10" s="1688">
        <f t="shared" si="1"/>
        <v>49422</v>
      </c>
      <c r="I10" s="1688">
        <f t="shared" si="1"/>
        <v>35336</v>
      </c>
      <c r="J10" s="1688">
        <f t="shared" si="1"/>
        <v>325669</v>
      </c>
      <c r="K10" s="1688">
        <f t="shared" si="1"/>
        <v>26941</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3016464</v>
      </c>
      <c r="D12" s="520" t="s">
        <v>1169</v>
      </c>
      <c r="E12" s="468" t="s">
        <v>1169</v>
      </c>
      <c r="F12" s="468" t="s">
        <v>1169</v>
      </c>
      <c r="G12" s="1742">
        <f>'Expenditures 15-22'!K229</f>
        <v>52722</v>
      </c>
      <c r="H12" s="521"/>
      <c r="I12" s="468" t="s">
        <v>1169</v>
      </c>
      <c r="J12" s="468" t="s">
        <v>1169</v>
      </c>
      <c r="K12" s="521" t="s">
        <v>1169</v>
      </c>
      <c r="L12" s="347"/>
    </row>
    <row r="13" spans="1:13" ht="15.75" customHeight="1" x14ac:dyDescent="0.2">
      <c r="A13" s="1576" t="s">
        <v>457</v>
      </c>
      <c r="B13" s="1578">
        <v>2000</v>
      </c>
      <c r="C13" s="1743">
        <f>'Expenditures 15-22'!K74</f>
        <v>1339153</v>
      </c>
      <c r="D13" s="1743">
        <f>'Expenditures 15-22'!K129</f>
        <v>97668</v>
      </c>
      <c r="E13" s="469" t="s">
        <v>1169</v>
      </c>
      <c r="F13" s="1743">
        <f>'Expenditures 15-22'!K184</f>
        <v>179183</v>
      </c>
      <c r="G13" s="1743">
        <f>'Expenditures 15-22'!K279</f>
        <v>150408</v>
      </c>
      <c r="H13" s="1743">
        <f>'Expenditures 15-22'!K303</f>
        <v>126492</v>
      </c>
      <c r="I13" s="468" t="s">
        <v>1169</v>
      </c>
      <c r="J13" s="1743">
        <f>'Expenditures 15-22'!K330</f>
        <v>461223</v>
      </c>
      <c r="K13" s="1747">
        <f>'Expenditures 15-22'!K352</f>
        <v>642589</v>
      </c>
      <c r="L13" s="347"/>
    </row>
    <row r="14" spans="1:13" ht="15.75" customHeight="1" x14ac:dyDescent="0.2">
      <c r="A14" s="1576" t="s">
        <v>449</v>
      </c>
      <c r="B14" s="1578">
        <v>3000</v>
      </c>
      <c r="C14" s="1743">
        <f>'Expenditures 15-22'!K75</f>
        <v>21767</v>
      </c>
      <c r="D14" s="1743">
        <f>'Expenditures 15-22'!K130</f>
        <v>0</v>
      </c>
      <c r="E14" s="520" t="s">
        <v>1169</v>
      </c>
      <c r="F14" s="1743">
        <f>'Expenditures 15-22'!K185</f>
        <v>434</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210630</v>
      </c>
      <c r="D15" s="1743">
        <f>'Expenditures 15-22'!K139</f>
        <v>0</v>
      </c>
      <c r="E15" s="1743">
        <f>'Expenditures 15-22'!K160</f>
        <v>0</v>
      </c>
      <c r="F15" s="1743">
        <f>'Expenditures 15-22'!K196</f>
        <v>150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177682</v>
      </c>
      <c r="F16" s="1743">
        <f>'Expenditures 15-22'!K208</f>
        <v>48603</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4588014</v>
      </c>
      <c r="D17" s="1688">
        <f t="shared" si="2"/>
        <v>97668</v>
      </c>
      <c r="E17" s="1688">
        <f t="shared" si="2"/>
        <v>177682</v>
      </c>
      <c r="F17" s="1688">
        <f t="shared" si="2"/>
        <v>228370</v>
      </c>
      <c r="G17" s="1688">
        <f t="shared" si="2"/>
        <v>203130</v>
      </c>
      <c r="H17" s="1688">
        <f t="shared" si="2"/>
        <v>126492</v>
      </c>
      <c r="I17" s="468"/>
      <c r="J17" s="1688">
        <f>SUM(J12:J16)</f>
        <v>461223</v>
      </c>
      <c r="K17" s="1688">
        <f>SUM(K12:K16)</f>
        <v>642589</v>
      </c>
      <c r="L17" s="347"/>
    </row>
    <row r="18" spans="1:12" ht="15" customHeight="1" thickTop="1" x14ac:dyDescent="0.2">
      <c r="A18" s="1744" t="s">
        <v>1654</v>
      </c>
      <c r="B18" s="1745">
        <v>4180</v>
      </c>
      <c r="C18" s="1742">
        <f t="shared" ref="C18:H18" si="3">C9</f>
        <v>1612608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6200622</v>
      </c>
      <c r="D19" s="1688">
        <f t="shared" si="4"/>
        <v>97668</v>
      </c>
      <c r="E19" s="1688">
        <f t="shared" si="4"/>
        <v>177682</v>
      </c>
      <c r="F19" s="1688">
        <f t="shared" si="4"/>
        <v>228370</v>
      </c>
      <c r="G19" s="1688">
        <f t="shared" si="4"/>
        <v>203130</v>
      </c>
      <c r="H19" s="1688">
        <f t="shared" si="4"/>
        <v>126492</v>
      </c>
      <c r="I19" s="468"/>
      <c r="J19" s="1688">
        <f>SUM(J17:J18)</f>
        <v>461223</v>
      </c>
      <c r="K19" s="1688">
        <f>SUM(K17:K18)</f>
        <v>642589</v>
      </c>
      <c r="L19" s="347"/>
    </row>
    <row r="20" spans="1:12" ht="16.5" thickTop="1" thickBot="1" x14ac:dyDescent="0.25">
      <c r="A20" s="2123" t="s">
        <v>1655</v>
      </c>
      <c r="B20" s="2124"/>
      <c r="C20" s="1746">
        <f>C8-C17</f>
        <v>403221</v>
      </c>
      <c r="D20" s="1746">
        <f t="shared" ref="D20:K20" si="5">D8-D17</f>
        <v>177497</v>
      </c>
      <c r="E20" s="1746">
        <f t="shared" si="5"/>
        <v>-17945</v>
      </c>
      <c r="F20" s="1746">
        <f t="shared" si="5"/>
        <v>-2277</v>
      </c>
      <c r="G20" s="1746">
        <f t="shared" si="5"/>
        <v>-82921</v>
      </c>
      <c r="H20" s="1746">
        <f t="shared" si="5"/>
        <v>-77070</v>
      </c>
      <c r="I20" s="1746">
        <f t="shared" si="5"/>
        <v>35336</v>
      </c>
      <c r="J20" s="1746">
        <f t="shared" si="5"/>
        <v>-135554</v>
      </c>
      <c r="K20" s="1746">
        <f t="shared" si="5"/>
        <v>-615648</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403221</v>
      </c>
      <c r="D78" s="1702">
        <f t="shared" si="9"/>
        <v>177497</v>
      </c>
      <c r="E78" s="1702">
        <f t="shared" si="9"/>
        <v>-17945</v>
      </c>
      <c r="F78" s="1702">
        <f t="shared" si="9"/>
        <v>-2277</v>
      </c>
      <c r="G78" s="1702">
        <f t="shared" si="9"/>
        <v>-82921</v>
      </c>
      <c r="H78" s="1702">
        <f t="shared" si="9"/>
        <v>-77070</v>
      </c>
      <c r="I78" s="1702">
        <f t="shared" si="9"/>
        <v>35336</v>
      </c>
      <c r="J78" s="1702">
        <f t="shared" si="9"/>
        <v>-135554</v>
      </c>
      <c r="K78" s="1702">
        <f t="shared" si="9"/>
        <v>-615648</v>
      </c>
      <c r="L78" s="533"/>
    </row>
    <row r="79" spans="1:12" ht="13.5" thickTop="1" x14ac:dyDescent="0.2">
      <c r="A79" s="1494" t="s">
        <v>1949</v>
      </c>
      <c r="B79" s="534"/>
      <c r="C79" s="478">
        <v>1146572</v>
      </c>
      <c r="D79" s="535">
        <v>499381</v>
      </c>
      <c r="E79" s="535">
        <v>223254</v>
      </c>
      <c r="F79" s="535">
        <v>53000</v>
      </c>
      <c r="G79" s="535">
        <v>690387</v>
      </c>
      <c r="H79" s="535">
        <v>261288</v>
      </c>
      <c r="I79" s="535">
        <v>732385</v>
      </c>
      <c r="J79" s="535">
        <v>894781</v>
      </c>
      <c r="K79" s="535">
        <v>676591</v>
      </c>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1950</v>
      </c>
      <c r="B81" s="2118"/>
      <c r="C81" s="1688">
        <f>(SUM(C78:C80))</f>
        <v>1549793</v>
      </c>
      <c r="D81" s="1688">
        <f>SUM(D78:D80)</f>
        <v>676878</v>
      </c>
      <c r="E81" s="1688">
        <f t="shared" ref="E81:K81" si="10">SUM(E78:E80)</f>
        <v>205309</v>
      </c>
      <c r="F81" s="1688">
        <f t="shared" si="10"/>
        <v>50723</v>
      </c>
      <c r="G81" s="1688">
        <f t="shared" si="10"/>
        <v>607466</v>
      </c>
      <c r="H81" s="1688">
        <f t="shared" si="10"/>
        <v>184218</v>
      </c>
      <c r="I81" s="1688">
        <f t="shared" si="10"/>
        <v>767721</v>
      </c>
      <c r="J81" s="1688">
        <f t="shared" si="10"/>
        <v>759227</v>
      </c>
      <c r="K81" s="1688">
        <f t="shared" si="10"/>
        <v>60943</v>
      </c>
      <c r="L81" s="347"/>
    </row>
    <row r="82" spans="1:12" ht="0.75" customHeight="1" thickTop="1" thickBot="1" x14ac:dyDescent="0.25">
      <c r="A82" s="536" t="s">
        <v>343</v>
      </c>
      <c r="B82" s="537"/>
      <c r="C82" s="538">
        <f>(C81-C79)</f>
        <v>403221</v>
      </c>
      <c r="D82" s="538">
        <f t="shared" ref="D82:K82" si="11">(D81-D79)</f>
        <v>177497</v>
      </c>
      <c r="E82" s="538">
        <f t="shared" si="11"/>
        <v>-17945</v>
      </c>
      <c r="F82" s="538">
        <f t="shared" si="11"/>
        <v>-2277</v>
      </c>
      <c r="G82" s="538">
        <f t="shared" si="11"/>
        <v>-82921</v>
      </c>
      <c r="H82" s="538">
        <f t="shared" si="11"/>
        <v>-77070</v>
      </c>
      <c r="I82" s="538">
        <f t="shared" si="11"/>
        <v>35336</v>
      </c>
      <c r="J82" s="538">
        <f t="shared" si="11"/>
        <v>-135554</v>
      </c>
      <c r="K82" s="538">
        <f t="shared" si="11"/>
        <v>-615648</v>
      </c>
    </row>
    <row r="83" spans="1:12" ht="14.25" hidden="1" thickTop="1" thickBot="1" x14ac:dyDescent="0.25">
      <c r="A83" s="539" t="s">
        <v>344</v>
      </c>
      <c r="B83" s="464"/>
      <c r="C83" s="540">
        <f>C82/C81</f>
        <v>0.26017732690752893</v>
      </c>
      <c r="D83" s="540">
        <f t="shared" ref="D83:K83" si="12">D82/D81</f>
        <v>0.26222893933618763</v>
      </c>
      <c r="E83" s="540">
        <f t="shared" si="12"/>
        <v>-8.7404838560413811E-2</v>
      </c>
      <c r="F83" s="540">
        <f t="shared" si="12"/>
        <v>-4.4890877905486661E-2</v>
      </c>
      <c r="G83" s="540">
        <f t="shared" si="12"/>
        <v>-0.13650311293142331</v>
      </c>
      <c r="H83" s="540">
        <f t="shared" si="12"/>
        <v>-0.41836302641435691</v>
      </c>
      <c r="I83" s="540">
        <f t="shared" si="12"/>
        <v>4.6027137462698035E-2</v>
      </c>
      <c r="J83" s="540">
        <f t="shared" si="12"/>
        <v>-0.17854212244822695</v>
      </c>
      <c r="K83" s="540">
        <f t="shared" si="12"/>
        <v>-10.1020297655186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7" activePane="bottomLeft" state="frozen"/>
      <selection activeCell="D82" sqref="D82"/>
      <selection pane="bottomLeft" activeCell="C99" sqref="C9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1071630</v>
      </c>
      <c r="D5" s="481">
        <v>269315</v>
      </c>
      <c r="E5" s="466">
        <v>18246</v>
      </c>
      <c r="F5" s="548">
        <v>107724</v>
      </c>
      <c r="G5" s="466">
        <v>44928</v>
      </c>
      <c r="H5" s="466"/>
      <c r="I5" s="466">
        <v>26661</v>
      </c>
      <c r="J5" s="467">
        <v>319478</v>
      </c>
      <c r="K5" s="466">
        <v>26934</v>
      </c>
    </row>
    <row r="6" spans="1:12" ht="15" x14ac:dyDescent="0.2">
      <c r="A6" s="463" t="s">
        <v>1662</v>
      </c>
      <c r="B6" s="470">
        <v>1130</v>
      </c>
      <c r="C6" s="466">
        <v>26934</v>
      </c>
      <c r="D6" s="466"/>
      <c r="E6" s="475"/>
      <c r="F6" s="475"/>
      <c r="G6" s="468"/>
      <c r="H6" s="468"/>
      <c r="I6" s="468"/>
      <c r="J6" s="468"/>
      <c r="K6" s="468"/>
    </row>
    <row r="7" spans="1:12" x14ac:dyDescent="0.2">
      <c r="A7" s="463" t="s">
        <v>110</v>
      </c>
      <c r="B7" s="549">
        <v>1140</v>
      </c>
      <c r="C7" s="466">
        <v>21544</v>
      </c>
      <c r="D7" s="466"/>
      <c r="E7" s="468"/>
      <c r="F7" s="467"/>
      <c r="G7" s="467"/>
      <c r="H7" s="467"/>
      <c r="I7" s="468"/>
      <c r="J7" s="468"/>
      <c r="K7" s="468"/>
    </row>
    <row r="8" spans="1:12" x14ac:dyDescent="0.2">
      <c r="A8" s="463" t="s">
        <v>413</v>
      </c>
      <c r="B8" s="470">
        <v>1150</v>
      </c>
      <c r="C8" s="475"/>
      <c r="D8" s="475"/>
      <c r="E8" s="477"/>
      <c r="F8" s="477"/>
      <c r="G8" s="481">
        <v>62902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1120108</v>
      </c>
      <c r="D12" s="1707">
        <f t="shared" si="0"/>
        <v>269315</v>
      </c>
      <c r="E12" s="1707">
        <f t="shared" si="0"/>
        <v>18246</v>
      </c>
      <c r="F12" s="1707">
        <f t="shared" si="0"/>
        <v>107724</v>
      </c>
      <c r="G12" s="1707">
        <f t="shared" si="0"/>
        <v>107830</v>
      </c>
      <c r="H12" s="1707">
        <f t="shared" si="0"/>
        <v>0</v>
      </c>
      <c r="I12" s="1707">
        <f t="shared" si="0"/>
        <v>26661</v>
      </c>
      <c r="J12" s="1707">
        <f t="shared" si="0"/>
        <v>319478</v>
      </c>
      <c r="K12" s="1688">
        <f t="shared" si="0"/>
        <v>26934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61392</v>
      </c>
      <c r="D16" s="466"/>
      <c r="E16" s="466"/>
      <c r="F16" s="466"/>
      <c r="G16" s="466">
        <v>6600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61392</v>
      </c>
      <c r="D18" s="1710">
        <f t="shared" ref="D18:K18" si="1">SUM(D14:D17)</f>
        <v>0</v>
      </c>
      <c r="E18" s="1710">
        <f t="shared" si="1"/>
        <v>0</v>
      </c>
      <c r="F18" s="1710">
        <f t="shared" si="1"/>
        <v>0</v>
      </c>
      <c r="G18" s="1710">
        <f t="shared" si="1"/>
        <v>6600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1500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1500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18136</v>
      </c>
      <c r="D65" s="466">
        <v>5467</v>
      </c>
      <c r="E65" s="466">
        <v>5622</v>
      </c>
      <c r="F65" s="467">
        <v>911</v>
      </c>
      <c r="G65" s="466">
        <v>5779</v>
      </c>
      <c r="H65" s="466">
        <v>920</v>
      </c>
      <c r="I65" s="466">
        <v>8675</v>
      </c>
      <c r="J65" s="467">
        <v>5740</v>
      </c>
      <c r="K65" s="466">
        <v>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18136</v>
      </c>
      <c r="D67" s="1688">
        <f t="shared" ref="D67:K67" si="2">SUM(D65:D66)</f>
        <v>5467</v>
      </c>
      <c r="E67" s="1688">
        <f t="shared" si="2"/>
        <v>5622</v>
      </c>
      <c r="F67" s="1688">
        <f t="shared" si="2"/>
        <v>911</v>
      </c>
      <c r="G67" s="1688">
        <f t="shared" si="2"/>
        <v>5779</v>
      </c>
      <c r="H67" s="1688">
        <f t="shared" si="2"/>
        <v>920</v>
      </c>
      <c r="I67" s="1688">
        <f t="shared" si="2"/>
        <v>8675</v>
      </c>
      <c r="J67" s="1688">
        <f t="shared" si="2"/>
        <v>5740</v>
      </c>
      <c r="K67" s="1688">
        <f t="shared" si="2"/>
        <v>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44237</v>
      </c>
      <c r="D69" s="468"/>
      <c r="E69" s="468"/>
      <c r="F69" s="468"/>
      <c r="G69" s="468"/>
      <c r="H69" s="468"/>
      <c r="I69" s="468"/>
      <c r="J69" s="468"/>
      <c r="K69" s="468"/>
    </row>
    <row r="70" spans="1:11" ht="12.75" customHeight="1" x14ac:dyDescent="0.2">
      <c r="A70" s="463" t="s">
        <v>997</v>
      </c>
      <c r="B70" s="470">
        <v>1612</v>
      </c>
      <c r="C70" s="551">
        <v>7477</v>
      </c>
      <c r="D70" s="468"/>
      <c r="E70" s="468"/>
      <c r="F70" s="468"/>
      <c r="G70" s="468"/>
      <c r="H70" s="468"/>
      <c r="I70" s="468"/>
      <c r="J70" s="468"/>
      <c r="K70" s="468"/>
    </row>
    <row r="71" spans="1:11" ht="12.75" customHeight="1" x14ac:dyDescent="0.2">
      <c r="A71" s="463" t="s">
        <v>273</v>
      </c>
      <c r="B71" s="470">
        <v>1613</v>
      </c>
      <c r="C71" s="551">
        <v>17110</v>
      </c>
      <c r="D71" s="468"/>
      <c r="E71" s="468"/>
      <c r="F71" s="468"/>
      <c r="G71" s="468"/>
      <c r="H71" s="468"/>
      <c r="I71" s="468"/>
      <c r="J71" s="468"/>
      <c r="K71" s="468"/>
    </row>
    <row r="72" spans="1:11" ht="12.75" customHeight="1" x14ac:dyDescent="0.2">
      <c r="A72" s="463" t="s">
        <v>24</v>
      </c>
      <c r="B72" s="470">
        <v>1614</v>
      </c>
      <c r="C72" s="551">
        <v>2375</v>
      </c>
      <c r="D72" s="468"/>
      <c r="E72" s="468"/>
      <c r="F72" s="468"/>
      <c r="G72" s="468"/>
      <c r="H72" s="468"/>
      <c r="I72" s="468"/>
      <c r="J72" s="468"/>
      <c r="K72" s="468"/>
    </row>
    <row r="73" spans="1:11" ht="12.75" customHeight="1" x14ac:dyDescent="0.2">
      <c r="A73" s="463" t="s">
        <v>998</v>
      </c>
      <c r="B73" s="470">
        <v>1620</v>
      </c>
      <c r="C73" s="551">
        <v>1721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72920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15362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11666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6379</v>
      </c>
      <c r="D81" s="466"/>
      <c r="E81" s="468"/>
      <c r="F81" s="468"/>
      <c r="G81" s="468"/>
      <c r="H81" s="468"/>
      <c r="I81" s="468"/>
      <c r="J81" s="468"/>
      <c r="K81" s="468"/>
    </row>
    <row r="82" spans="1:11" ht="12.75" customHeight="1" thickBot="1" x14ac:dyDescent="0.25">
      <c r="A82" s="1708" t="s">
        <v>241</v>
      </c>
      <c r="B82" s="1709"/>
      <c r="C82" s="1707">
        <f>SUM(C77:C81)</f>
        <v>33407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39774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161</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39935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1852</v>
      </c>
      <c r="D99" s="466"/>
      <c r="E99" s="466"/>
      <c r="F99" s="466"/>
      <c r="G99" s="466"/>
      <c r="H99" s="466"/>
      <c r="I99" s="468"/>
      <c r="J99" s="467">
        <v>451</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135869</v>
      </c>
      <c r="F103" s="468"/>
      <c r="G103" s="468"/>
      <c r="H103" s="489">
        <v>48502</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13165</v>
      </c>
      <c r="D106" s="489"/>
      <c r="E106" s="467"/>
      <c r="F106" s="467"/>
      <c r="G106" s="467"/>
      <c r="H106" s="467"/>
      <c r="I106" s="521"/>
      <c r="J106" s="467"/>
      <c r="K106" s="467"/>
    </row>
    <row r="107" spans="1:12" ht="12.75" customHeight="1" x14ac:dyDescent="0.2">
      <c r="A107" s="463" t="s">
        <v>78</v>
      </c>
      <c r="B107" s="470">
        <v>1999</v>
      </c>
      <c r="C107" s="551">
        <v>78817</v>
      </c>
      <c r="D107" s="466">
        <v>383</v>
      </c>
      <c r="E107" s="466"/>
      <c r="F107" s="466">
        <v>245</v>
      </c>
      <c r="G107" s="466"/>
      <c r="H107" s="466"/>
      <c r="I107" s="466"/>
      <c r="J107" s="467"/>
      <c r="K107" s="466"/>
    </row>
    <row r="108" spans="1:12" ht="12.75" customHeight="1" thickBot="1" x14ac:dyDescent="0.25">
      <c r="A108" s="1708" t="s">
        <v>487</v>
      </c>
      <c r="B108" s="1712"/>
      <c r="C108" s="1707">
        <f>SUM(C95:C107)</f>
        <v>93834</v>
      </c>
      <c r="D108" s="1707">
        <f t="shared" ref="D108:K108" si="3">SUM(D95:D107)</f>
        <v>383</v>
      </c>
      <c r="E108" s="1707">
        <f t="shared" si="3"/>
        <v>135869</v>
      </c>
      <c r="F108" s="1707">
        <f t="shared" si="3"/>
        <v>245</v>
      </c>
      <c r="G108" s="1707">
        <f t="shared" si="3"/>
        <v>0</v>
      </c>
      <c r="H108" s="1707">
        <f t="shared" si="3"/>
        <v>48502</v>
      </c>
      <c r="I108" s="1707">
        <f t="shared" si="3"/>
        <v>0</v>
      </c>
      <c r="J108" s="1707">
        <f t="shared" si="3"/>
        <v>451</v>
      </c>
      <c r="K108" s="1688">
        <f t="shared" si="3"/>
        <v>0</v>
      </c>
    </row>
    <row r="109" spans="1:12" ht="14.25" thickTop="1" thickBot="1" x14ac:dyDescent="0.25">
      <c r="A109" s="1713" t="s">
        <v>248</v>
      </c>
      <c r="B109" s="1714" t="s">
        <v>570</v>
      </c>
      <c r="C109" s="1715">
        <f t="shared" ref="C109:K109" si="4">SUM(C12,C18,C40,C63,C67,C75,C82,C93,C108,)</f>
        <v>1441232</v>
      </c>
      <c r="D109" s="1715">
        <f t="shared" si="4"/>
        <v>275165</v>
      </c>
      <c r="E109" s="1715">
        <f t="shared" si="4"/>
        <v>159737</v>
      </c>
      <c r="F109" s="1715">
        <f t="shared" si="4"/>
        <v>108880</v>
      </c>
      <c r="G109" s="1715">
        <f t="shared" si="4"/>
        <v>120209</v>
      </c>
      <c r="H109" s="1715">
        <f t="shared" si="4"/>
        <v>49422</v>
      </c>
      <c r="I109" s="1715">
        <f t="shared" si="4"/>
        <v>35336</v>
      </c>
      <c r="J109" s="1715">
        <f t="shared" si="4"/>
        <v>325669</v>
      </c>
      <c r="K109" s="1702">
        <f t="shared" si="4"/>
        <v>26941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23201</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23201</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2955521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2955521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8162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8162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13282</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13282</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2150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7488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74854</v>
      </c>
      <c r="G152" s="467"/>
      <c r="H152" s="468"/>
      <c r="I152" s="468"/>
      <c r="J152" s="468"/>
      <c r="K152" s="468"/>
    </row>
    <row r="153" spans="1:11" ht="12.75" customHeight="1" x14ac:dyDescent="0.2">
      <c r="A153" s="463" t="s">
        <v>1057</v>
      </c>
      <c r="B153" s="562">
        <v>3510</v>
      </c>
      <c r="C153" s="551"/>
      <c r="D153" s="466"/>
      <c r="E153" s="561"/>
      <c r="F153" s="466">
        <v>42359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117213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17397</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1733</v>
      </c>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50212</v>
      </c>
      <c r="D169" s="1722">
        <f t="shared" si="6"/>
        <v>0</v>
      </c>
      <c r="E169" s="1722">
        <f t="shared" si="6"/>
        <v>0</v>
      </c>
      <c r="F169" s="1722">
        <f t="shared" si="6"/>
        <v>117213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3005733</v>
      </c>
      <c r="D170" s="1715">
        <f t="shared" si="7"/>
        <v>0</v>
      </c>
      <c r="E170" s="1715">
        <f t="shared" si="7"/>
        <v>0</v>
      </c>
      <c r="F170" s="1715">
        <f t="shared" si="7"/>
        <v>117213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96957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28806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125763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145991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145991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5305</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5305</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11738</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176037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187775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17639</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17639</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18349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7345</v>
      </c>
      <c r="D263" s="576"/>
      <c r="E263" s="468"/>
      <c r="F263" s="576"/>
      <c r="G263" s="576"/>
      <c r="H263" s="468"/>
      <c r="I263" s="468"/>
      <c r="J263" s="468"/>
      <c r="K263" s="468"/>
    </row>
    <row r="264" spans="1:11" ht="12.75" customHeight="1" thickTop="1" thickBot="1" x14ac:dyDescent="0.25">
      <c r="A264" s="463" t="s">
        <v>377</v>
      </c>
      <c r="B264" s="470">
        <v>4992</v>
      </c>
      <c r="C264" s="575">
        <v>5892</v>
      </c>
      <c r="D264" s="576"/>
      <c r="E264" s="468"/>
      <c r="F264" s="576"/>
      <c r="G264" s="576"/>
      <c r="H264" s="468"/>
      <c r="I264" s="468"/>
      <c r="J264" s="468"/>
      <c r="K264" s="468"/>
    </row>
    <row r="265" spans="1:11" s="593" customFormat="1" ht="12.75" customHeight="1" thickTop="1" thickBot="1" x14ac:dyDescent="0.25">
      <c r="A265" s="563" t="s">
        <v>75</v>
      </c>
      <c r="B265" s="557">
        <v>4999</v>
      </c>
      <c r="C265" s="575">
        <v>7010</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521069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521069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4991235</v>
      </c>
      <c r="D268" s="1715">
        <f t="shared" si="12"/>
        <v>275165</v>
      </c>
      <c r="E268" s="1715">
        <f t="shared" si="12"/>
        <v>159737</v>
      </c>
      <c r="F268" s="1715">
        <f t="shared" si="12"/>
        <v>226093</v>
      </c>
      <c r="G268" s="1715">
        <f t="shared" si="12"/>
        <v>120209</v>
      </c>
      <c r="H268" s="1715">
        <f t="shared" si="12"/>
        <v>49422</v>
      </c>
      <c r="I268" s="1715">
        <f t="shared" si="12"/>
        <v>35336</v>
      </c>
      <c r="J268" s="1715">
        <f t="shared" si="12"/>
        <v>325669</v>
      </c>
      <c r="K268" s="1702">
        <f t="shared" si="12"/>
        <v>26941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8" activePane="bottomLeft" state="frozen"/>
      <selection activeCell="D82" sqref="D82"/>
      <selection pane="bottomLeft" activeCell="D82" sqref="D8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9" t="s">
        <v>297</v>
      </c>
      <c r="B3" s="216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18921+925+180+1103239+33934+748668+14971-5</f>
        <v>1920833</v>
      </c>
      <c r="D5" s="466">
        <f>2785+6+382+6+720+188+18+124537+26724+54428+8837+825+79010+17892+52422+5904+551</f>
        <v>375235</v>
      </c>
      <c r="E5" s="466">
        <f>8844+5237</f>
        <v>14081</v>
      </c>
      <c r="F5" s="466">
        <f>941+3463+514+123+235+1195+2270+573+413+363+3527+3302+1705+24789</f>
        <v>43413</v>
      </c>
      <c r="G5" s="466">
        <f>1191+675</f>
        <v>1866</v>
      </c>
      <c r="H5" s="466">
        <f>100+655+1376</f>
        <v>2131</v>
      </c>
      <c r="I5" s="467"/>
      <c r="J5" s="467"/>
      <c r="K5" s="1671">
        <f>SUM(C5:J5)</f>
        <v>2357559</v>
      </c>
      <c r="L5" s="466">
        <v>2320800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f>46970+4172+710+765</f>
        <v>52617</v>
      </c>
      <c r="D7" s="467">
        <f>4980+4+1128+7+263+7</f>
        <v>6389</v>
      </c>
      <c r="E7" s="467"/>
      <c r="F7" s="467">
        <f>172</f>
        <v>172</v>
      </c>
      <c r="G7" s="467"/>
      <c r="H7" s="467"/>
      <c r="I7" s="467"/>
      <c r="J7" s="467"/>
      <c r="K7" s="1671">
        <f t="shared" ref="K7:K32" si="0">SUM(C7:J7)</f>
        <v>59178</v>
      </c>
      <c r="L7" s="466"/>
    </row>
    <row r="8" spans="1:14" x14ac:dyDescent="0.2">
      <c r="A8" s="1504" t="s">
        <v>164</v>
      </c>
      <c r="B8" s="614">
        <v>1200</v>
      </c>
      <c r="C8" s="466">
        <f>200+169230+21643+23843+26557</f>
        <v>241473</v>
      </c>
      <c r="D8" s="466">
        <f>17721+2478+4001+560+12960+1632+776+152+72+3+5+2751+638+60</f>
        <v>43809</v>
      </c>
      <c r="E8" s="466"/>
      <c r="F8" s="466">
        <f>230+122+267</f>
        <v>619</v>
      </c>
      <c r="G8" s="466"/>
      <c r="H8" s="466"/>
      <c r="I8" s="467"/>
      <c r="J8" s="467"/>
      <c r="K8" s="1671">
        <f t="shared" si="0"/>
        <v>285901</v>
      </c>
      <c r="L8" s="466">
        <v>223600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f>41952+35927</f>
        <v>77879</v>
      </c>
      <c r="D10" s="466">
        <f>7470+844+2160+968+90</f>
        <v>11532</v>
      </c>
      <c r="E10" s="466"/>
      <c r="F10" s="466">
        <f>44085+12324</f>
        <v>56409</v>
      </c>
      <c r="G10" s="466"/>
      <c r="H10" s="466"/>
      <c r="I10" s="467"/>
      <c r="J10" s="467"/>
      <c r="K10" s="1671">
        <f t="shared" si="0"/>
        <v>145820</v>
      </c>
      <c r="L10" s="466">
        <v>95000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f>7048+16946+134</f>
        <v>24128</v>
      </c>
      <c r="G13" s="466"/>
      <c r="H13" s="466"/>
      <c r="I13" s="467"/>
      <c r="J13" s="467"/>
      <c r="K13" s="1671">
        <f t="shared" si="0"/>
        <v>24128</v>
      </c>
      <c r="L13" s="466">
        <v>34910</v>
      </c>
    </row>
    <row r="14" spans="1:14" x14ac:dyDescent="0.2">
      <c r="A14" s="1504" t="s">
        <v>963</v>
      </c>
      <c r="B14" s="614">
        <v>1500</v>
      </c>
      <c r="C14" s="466">
        <f>28809+57230</f>
        <v>86039</v>
      </c>
      <c r="D14" s="466">
        <f>3036+672+4853+1175</f>
        <v>9736</v>
      </c>
      <c r="E14" s="466">
        <f>2250+3775+64+2250+10387+1135</f>
        <v>19861</v>
      </c>
      <c r="F14" s="466">
        <f>604+2354+75+125+635+913+979+384+75+324-372</f>
        <v>6096</v>
      </c>
      <c r="G14" s="466">
        <f>378</f>
        <v>378</v>
      </c>
      <c r="H14" s="466">
        <f>950+110+840+1987+1638-13</f>
        <v>5512</v>
      </c>
      <c r="I14" s="467"/>
      <c r="J14" s="467"/>
      <c r="K14" s="1671">
        <f t="shared" si="0"/>
        <v>127622</v>
      </c>
      <c r="L14" s="466">
        <v>154400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v>16256</v>
      </c>
      <c r="G19" s="466"/>
      <c r="H19" s="466"/>
      <c r="I19" s="467"/>
      <c r="J19" s="467"/>
      <c r="K19" s="1671">
        <f t="shared" si="0"/>
        <v>16256</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2378841</v>
      </c>
      <c r="D33" s="1670">
        <f t="shared" ref="D33:L33" si="1">SUM(D5:D32)</f>
        <v>446701</v>
      </c>
      <c r="E33" s="1670">
        <f t="shared" si="1"/>
        <v>33942</v>
      </c>
      <c r="F33" s="1670">
        <f t="shared" si="1"/>
        <v>147093</v>
      </c>
      <c r="G33" s="1670">
        <f t="shared" si="1"/>
        <v>2244</v>
      </c>
      <c r="H33" s="1670">
        <f t="shared" si="1"/>
        <v>7643</v>
      </c>
      <c r="I33" s="1670">
        <f t="shared" si="1"/>
        <v>0</v>
      </c>
      <c r="J33" s="1670">
        <f t="shared" si="1"/>
        <v>0</v>
      </c>
      <c r="K33" s="1670">
        <f t="shared" si="1"/>
        <v>3016464</v>
      </c>
      <c r="L33" s="1670">
        <f t="shared" si="1"/>
        <v>2828710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f>5014</f>
        <v>5014</v>
      </c>
      <c r="F37" s="466"/>
      <c r="G37" s="466"/>
      <c r="H37" s="466"/>
      <c r="I37" s="467"/>
      <c r="J37" s="467"/>
      <c r="K37" s="1671">
        <f t="shared" si="2"/>
        <v>5014</v>
      </c>
      <c r="L37" s="466"/>
    </row>
    <row r="38" spans="1:14" x14ac:dyDescent="0.2">
      <c r="A38" s="1504" t="s">
        <v>198</v>
      </c>
      <c r="B38" s="614">
        <v>2130</v>
      </c>
      <c r="C38" s="466">
        <f>37847</f>
        <v>37847</v>
      </c>
      <c r="D38" s="466">
        <f>450+42</f>
        <v>492</v>
      </c>
      <c r="E38" s="466"/>
      <c r="F38" s="466">
        <f>516</f>
        <v>516</v>
      </c>
      <c r="G38" s="466"/>
      <c r="H38" s="466"/>
      <c r="I38" s="467"/>
      <c r="J38" s="467"/>
      <c r="K38" s="1671">
        <f t="shared" si="2"/>
        <v>38855</v>
      </c>
      <c r="L38" s="466">
        <v>46300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f>41494</f>
        <v>41494</v>
      </c>
      <c r="D40" s="466">
        <f>4348+982+3960+488+46</f>
        <v>9824</v>
      </c>
      <c r="E40" s="466"/>
      <c r="F40" s="466">
        <f>133</f>
        <v>133</v>
      </c>
      <c r="G40" s="466"/>
      <c r="H40" s="466"/>
      <c r="I40" s="467"/>
      <c r="J40" s="467"/>
      <c r="K40" s="1671">
        <f t="shared" si="2"/>
        <v>51451</v>
      </c>
      <c r="L40" s="466">
        <v>53350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79341</v>
      </c>
      <c r="D42" s="1670">
        <f t="shared" ref="D42:L42" si="3">SUM(D36:D41)</f>
        <v>10316</v>
      </c>
      <c r="E42" s="1670">
        <f t="shared" si="3"/>
        <v>5014</v>
      </c>
      <c r="F42" s="1670">
        <f t="shared" si="3"/>
        <v>649</v>
      </c>
      <c r="G42" s="1670">
        <f t="shared" si="3"/>
        <v>0</v>
      </c>
      <c r="H42" s="1670">
        <f t="shared" si="3"/>
        <v>0</v>
      </c>
      <c r="I42" s="1670">
        <f t="shared" si="3"/>
        <v>0</v>
      </c>
      <c r="J42" s="1670">
        <f t="shared" si="3"/>
        <v>0</v>
      </c>
      <c r="K42" s="1670">
        <f t="shared" si="3"/>
        <v>95320</v>
      </c>
      <c r="L42" s="1670">
        <f t="shared" si="3"/>
        <v>99650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1329</v>
      </c>
      <c r="E44" s="481">
        <f>3791+6640+21766+3795+49+987</f>
        <v>37028</v>
      </c>
      <c r="F44" s="481">
        <f>22911+12795</f>
        <v>35706</v>
      </c>
      <c r="G44" s="481">
        <f>4410</f>
        <v>4410</v>
      </c>
      <c r="H44" s="481"/>
      <c r="I44" s="467"/>
      <c r="J44" s="467"/>
      <c r="K44" s="1672">
        <f>SUM(C44:J44)</f>
        <v>78473</v>
      </c>
      <c r="L44" s="481">
        <v>41700</v>
      </c>
    </row>
    <row r="45" spans="1:14" x14ac:dyDescent="0.2">
      <c r="A45" s="1504" t="s">
        <v>815</v>
      </c>
      <c r="B45" s="614">
        <v>2220</v>
      </c>
      <c r="C45" s="466">
        <f>57366+35417</f>
        <v>92783</v>
      </c>
      <c r="D45" s="466">
        <f>6116+1381+4320+450+42+338+32</f>
        <v>12679</v>
      </c>
      <c r="E45" s="466">
        <f>2597+4067-14+2872</f>
        <v>9522</v>
      </c>
      <c r="F45" s="466">
        <f>56+213+971+491+4557</f>
        <v>6288</v>
      </c>
      <c r="G45" s="466"/>
      <c r="H45" s="466">
        <f>4002+2327</f>
        <v>6329</v>
      </c>
      <c r="I45" s="467"/>
      <c r="J45" s="467"/>
      <c r="K45" s="1672">
        <f>SUM(C45:J45)</f>
        <v>127601</v>
      </c>
      <c r="L45" s="466">
        <v>180100</v>
      </c>
    </row>
    <row r="46" spans="1:14" x14ac:dyDescent="0.2">
      <c r="A46" s="1504" t="s">
        <v>816</v>
      </c>
      <c r="B46" s="614">
        <v>2230</v>
      </c>
      <c r="C46" s="466"/>
      <c r="D46" s="466"/>
      <c r="E46" s="466"/>
      <c r="F46" s="466">
        <f>328</f>
        <v>328</v>
      </c>
      <c r="G46" s="466"/>
      <c r="H46" s="466"/>
      <c r="I46" s="467"/>
      <c r="J46" s="467"/>
      <c r="K46" s="1672">
        <f>SUM(C46:J46)</f>
        <v>328</v>
      </c>
      <c r="L46" s="466">
        <v>8000</v>
      </c>
    </row>
    <row r="47" spans="1:14" ht="12.75" customHeight="1" thickBot="1" x14ac:dyDescent="0.25">
      <c r="A47" s="1668" t="s">
        <v>561</v>
      </c>
      <c r="B47" s="1669" t="s">
        <v>32</v>
      </c>
      <c r="C47" s="1670">
        <f>SUM(C44:C46)</f>
        <v>92783</v>
      </c>
      <c r="D47" s="1670">
        <f t="shared" ref="D47:K47" si="4">SUM(D44:D46)</f>
        <v>14008</v>
      </c>
      <c r="E47" s="1670">
        <f t="shared" si="4"/>
        <v>46550</v>
      </c>
      <c r="F47" s="1670">
        <f t="shared" si="4"/>
        <v>42322</v>
      </c>
      <c r="G47" s="1670">
        <f t="shared" si="4"/>
        <v>4410</v>
      </c>
      <c r="H47" s="1670">
        <f t="shared" si="4"/>
        <v>6329</v>
      </c>
      <c r="I47" s="1670">
        <f t="shared" si="4"/>
        <v>0</v>
      </c>
      <c r="J47" s="1670">
        <f t="shared" si="4"/>
        <v>0</v>
      </c>
      <c r="K47" s="1670">
        <f t="shared" si="4"/>
        <v>206402</v>
      </c>
      <c r="L47" s="1670">
        <f>SUM(L44:L46)</f>
        <v>229800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f>7485+4284+4692+566+1070</f>
        <v>18097</v>
      </c>
      <c r="F49" s="481">
        <f>431</f>
        <v>431</v>
      </c>
      <c r="G49" s="481"/>
      <c r="H49" s="481">
        <f>3802+3436</f>
        <v>7238</v>
      </c>
      <c r="I49" s="467"/>
      <c r="J49" s="467"/>
      <c r="K49" s="1672">
        <f>SUM(C49:J49)</f>
        <v>25766</v>
      </c>
      <c r="L49" s="481">
        <v>38200</v>
      </c>
    </row>
    <row r="50" spans="1:14" x14ac:dyDescent="0.2">
      <c r="A50" s="1504" t="s">
        <v>818</v>
      </c>
      <c r="B50" s="614">
        <v>2320</v>
      </c>
      <c r="C50" s="466">
        <f>90533+46670</f>
        <v>137203</v>
      </c>
      <c r="D50" s="466">
        <f>7862+1770+7525+750+81</f>
        <v>17988</v>
      </c>
      <c r="E50" s="466">
        <f>3141+3759+92</f>
        <v>6992</v>
      </c>
      <c r="F50" s="466">
        <f>2312+300</f>
        <v>2612</v>
      </c>
      <c r="G50" s="466"/>
      <c r="H50" s="466">
        <f>3122+656</f>
        <v>3778</v>
      </c>
      <c r="I50" s="467"/>
      <c r="J50" s="467"/>
      <c r="K50" s="1672">
        <f>SUM(C50:J50)</f>
        <v>168573</v>
      </c>
      <c r="L50" s="466">
        <v>168650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137203</v>
      </c>
      <c r="D53" s="1670">
        <f t="shared" ref="D53:L53" si="5">SUM(D49:D52)</f>
        <v>17988</v>
      </c>
      <c r="E53" s="1670">
        <f t="shared" si="5"/>
        <v>25089</v>
      </c>
      <c r="F53" s="1670">
        <f t="shared" si="5"/>
        <v>3043</v>
      </c>
      <c r="G53" s="1670">
        <f t="shared" si="5"/>
        <v>0</v>
      </c>
      <c r="H53" s="1670">
        <f t="shared" si="5"/>
        <v>11016</v>
      </c>
      <c r="I53" s="1670">
        <f t="shared" si="5"/>
        <v>0</v>
      </c>
      <c r="J53" s="1670">
        <f t="shared" si="5"/>
        <v>0</v>
      </c>
      <c r="K53" s="1670">
        <f t="shared" si="5"/>
        <v>194339</v>
      </c>
      <c r="L53" s="1670">
        <f t="shared" si="5"/>
        <v>206850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74732+64138+32323+37182</f>
        <v>208375</v>
      </c>
      <c r="D55" s="481">
        <f>6593+5528+1484+1244+3888+8429+855+855+80+80</f>
        <v>29036</v>
      </c>
      <c r="E55" s="481">
        <f>3269</f>
        <v>3269</v>
      </c>
      <c r="F55" s="481">
        <f>8435+700+1352</f>
        <v>10487</v>
      </c>
      <c r="G55" s="481"/>
      <c r="H55" s="481"/>
      <c r="I55" s="467"/>
      <c r="J55" s="467"/>
      <c r="K55" s="1672">
        <f>SUM(C55:J55)</f>
        <v>251167</v>
      </c>
      <c r="L55" s="481">
        <v>256900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208375</v>
      </c>
      <c r="D57" s="1674">
        <f t="shared" ref="D57:K57" si="6">SUM(D55:D56)</f>
        <v>29036</v>
      </c>
      <c r="E57" s="1674">
        <f t="shared" si="6"/>
        <v>3269</v>
      </c>
      <c r="F57" s="1674">
        <f t="shared" si="6"/>
        <v>10487</v>
      </c>
      <c r="G57" s="1674">
        <f t="shared" si="6"/>
        <v>0</v>
      </c>
      <c r="H57" s="1674">
        <f t="shared" si="6"/>
        <v>0</v>
      </c>
      <c r="I57" s="1674">
        <f t="shared" si="6"/>
        <v>0</v>
      </c>
      <c r="J57" s="1674">
        <f t="shared" si="6"/>
        <v>0</v>
      </c>
      <c r="K57" s="1674">
        <f t="shared" si="6"/>
        <v>251167</v>
      </c>
      <c r="L57" s="1670">
        <f>SUM(L55:L56)</f>
        <v>256900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f>45880</f>
        <v>45880</v>
      </c>
      <c r="D60" s="466">
        <f>4315+450+42</f>
        <v>4807</v>
      </c>
      <c r="E60" s="466">
        <f>830</f>
        <v>830</v>
      </c>
      <c r="F60" s="466">
        <f>1167</f>
        <v>1167</v>
      </c>
      <c r="G60" s="466"/>
      <c r="H60" s="466"/>
      <c r="I60" s="467"/>
      <c r="J60" s="467"/>
      <c r="K60" s="1672">
        <f t="shared" si="7"/>
        <v>52684</v>
      </c>
      <c r="L60" s="466">
        <v>57400</v>
      </c>
      <c r="M60" s="609"/>
      <c r="N60" s="609"/>
    </row>
    <row r="61" spans="1:14" s="343" customFormat="1" x14ac:dyDescent="0.2">
      <c r="A61" s="1504" t="s">
        <v>197</v>
      </c>
      <c r="B61" s="614">
        <v>2540</v>
      </c>
      <c r="C61" s="466">
        <f>121951+20883+3996</f>
        <v>146830</v>
      </c>
      <c r="D61" s="466">
        <f>13035+2158+1351+225+21+126</f>
        <v>16916</v>
      </c>
      <c r="E61" s="466">
        <f>3877+4034+27126+1394+2009+5930+684</f>
        <v>45054</v>
      </c>
      <c r="F61" s="466">
        <f>31+7519+7205+4577+24043+33824+4361</f>
        <v>81560</v>
      </c>
      <c r="G61" s="466"/>
      <c r="H61" s="466"/>
      <c r="I61" s="467"/>
      <c r="J61" s="467"/>
      <c r="K61" s="1672">
        <f t="shared" si="7"/>
        <v>290360</v>
      </c>
      <c r="L61" s="466">
        <v>338400</v>
      </c>
      <c r="M61" s="609"/>
      <c r="N61" s="609"/>
    </row>
    <row r="62" spans="1:14" s="343" customFormat="1" x14ac:dyDescent="0.2">
      <c r="A62" s="1504" t="s">
        <v>953</v>
      </c>
      <c r="B62" s="614">
        <v>2550</v>
      </c>
      <c r="C62" s="466"/>
      <c r="D62" s="466"/>
      <c r="E62" s="466">
        <f>10558</f>
        <v>10558</v>
      </c>
      <c r="F62" s="466"/>
      <c r="G62" s="466"/>
      <c r="H62" s="466"/>
      <c r="I62" s="467"/>
      <c r="J62" s="467"/>
      <c r="K62" s="1672">
        <f t="shared" si="7"/>
        <v>10558</v>
      </c>
      <c r="L62" s="466"/>
      <c r="M62" s="609"/>
      <c r="N62" s="609"/>
    </row>
    <row r="63" spans="1:14" s="609" customFormat="1" x14ac:dyDescent="0.2">
      <c r="A63" s="1504" t="s">
        <v>100</v>
      </c>
      <c r="B63" s="614">
        <v>2560</v>
      </c>
      <c r="C63" s="466">
        <f>89237+14361+287</f>
        <v>103885</v>
      </c>
      <c r="D63" s="466">
        <f>8635+1332+124</f>
        <v>10091</v>
      </c>
      <c r="E63" s="466">
        <f>2525+11172+1883+1287</f>
        <v>16867</v>
      </c>
      <c r="F63" s="466">
        <f>104062+1240</f>
        <v>105302</v>
      </c>
      <c r="G63" s="466">
        <f>1414+764</f>
        <v>2178</v>
      </c>
      <c r="H63" s="466"/>
      <c r="I63" s="467"/>
      <c r="J63" s="467"/>
      <c r="K63" s="1672">
        <f t="shared" si="7"/>
        <v>238323</v>
      </c>
      <c r="L63" s="466">
        <v>220800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296595</v>
      </c>
      <c r="D65" s="1670">
        <f t="shared" ref="D65:L65" si="8">SUM(D59:D64)</f>
        <v>31814</v>
      </c>
      <c r="E65" s="1670">
        <f t="shared" si="8"/>
        <v>73309</v>
      </c>
      <c r="F65" s="1670">
        <f t="shared" si="8"/>
        <v>188029</v>
      </c>
      <c r="G65" s="1670">
        <f t="shared" si="8"/>
        <v>2178</v>
      </c>
      <c r="H65" s="1670">
        <f t="shared" si="8"/>
        <v>0</v>
      </c>
      <c r="I65" s="1670">
        <f t="shared" si="8"/>
        <v>0</v>
      </c>
      <c r="J65" s="1670">
        <f t="shared" si="8"/>
        <v>0</v>
      </c>
      <c r="K65" s="1670">
        <f t="shared" si="8"/>
        <v>591925</v>
      </c>
      <c r="L65" s="1670">
        <f t="shared" si="8"/>
        <v>616600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814297</v>
      </c>
      <c r="D74" s="1677">
        <f t="shared" ref="D74:K74" si="10">SUM(D42,D47,D53,D57,D65,D72,D73)</f>
        <v>103162</v>
      </c>
      <c r="E74" s="1677">
        <f t="shared" si="10"/>
        <v>153231</v>
      </c>
      <c r="F74" s="1677">
        <f t="shared" si="10"/>
        <v>244530</v>
      </c>
      <c r="G74" s="1677">
        <f t="shared" si="10"/>
        <v>6588</v>
      </c>
      <c r="H74" s="1677">
        <f t="shared" si="10"/>
        <v>17345</v>
      </c>
      <c r="I74" s="1677">
        <f t="shared" si="10"/>
        <v>0</v>
      </c>
      <c r="J74" s="1677">
        <f t="shared" si="10"/>
        <v>0</v>
      </c>
      <c r="K74" s="1677">
        <f t="shared" si="10"/>
        <v>1339153</v>
      </c>
      <c r="L74" s="1677">
        <f>SUM(L42,L47,L53,L57,L65,L72,L73)</f>
        <v>1409800</v>
      </c>
    </row>
    <row r="75" spans="1:14" s="259" customFormat="1" ht="15.75" customHeight="1" thickTop="1" thickBot="1" x14ac:dyDescent="0.25">
      <c r="A75" s="1610" t="s">
        <v>47</v>
      </c>
      <c r="B75" s="1611" t="s">
        <v>575</v>
      </c>
      <c r="C75" s="573"/>
      <c r="D75" s="573"/>
      <c r="E75" s="573">
        <f>20988+189</f>
        <v>21177</v>
      </c>
      <c r="F75" s="573">
        <f>498+25+67</f>
        <v>590</v>
      </c>
      <c r="G75" s="573"/>
      <c r="H75" s="573"/>
      <c r="I75" s="531"/>
      <c r="J75" s="531"/>
      <c r="K75" s="1670">
        <f>SUM(C75:J75)</f>
        <v>21767</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f>50+677</f>
        <v>727</v>
      </c>
      <c r="F78" s="616"/>
      <c r="G78" s="616"/>
      <c r="H78" s="634"/>
      <c r="I78" s="477"/>
      <c r="J78" s="477"/>
      <c r="K78" s="1671">
        <f t="shared" ref="K78:K83" si="11">SUM(C78:J78)</f>
        <v>727</v>
      </c>
      <c r="L78" s="481"/>
    </row>
    <row r="79" spans="1:14" x14ac:dyDescent="0.2">
      <c r="A79" s="1504" t="s">
        <v>304</v>
      </c>
      <c r="B79" s="614">
        <v>4120</v>
      </c>
      <c r="C79" s="616"/>
      <c r="D79" s="616"/>
      <c r="E79" s="466">
        <f>187657+22246</f>
        <v>209903</v>
      </c>
      <c r="F79" s="616"/>
      <c r="G79" s="616"/>
      <c r="H79" s="466"/>
      <c r="I79" s="477"/>
      <c r="J79" s="477"/>
      <c r="K79" s="1671">
        <f t="shared" si="11"/>
        <v>209903</v>
      </c>
      <c r="L79" s="466">
        <v>260000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210630</v>
      </c>
      <c r="F84" s="616"/>
      <c r="G84" s="616"/>
      <c r="H84" s="1670">
        <f>SUM(H78:H83)</f>
        <v>0</v>
      </c>
      <c r="I84" s="477"/>
      <c r="J84" s="477"/>
      <c r="K84" s="1670">
        <f>SUM(K78:K83)</f>
        <v>210630</v>
      </c>
      <c r="L84" s="1670">
        <f>SUM(L78:L83)</f>
        <v>260000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210630</v>
      </c>
      <c r="F102" s="616"/>
      <c r="G102" s="616"/>
      <c r="H102" s="1677">
        <f>SUM(H84,H92,H100,H101)</f>
        <v>0</v>
      </c>
      <c r="I102" s="477"/>
      <c r="J102" s="477"/>
      <c r="K102" s="1677">
        <f>SUM(K84,K92,K100,K101)</f>
        <v>210630</v>
      </c>
      <c r="L102" s="1677">
        <f>SUM(L84,L92,L100,L101)</f>
        <v>260000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25000</v>
      </c>
      <c r="M113" s="613"/>
      <c r="N113" s="613"/>
    </row>
    <row r="114" spans="1:14" ht="12.75" customHeight="1" thickTop="1" thickBot="1" x14ac:dyDescent="0.25">
      <c r="A114" s="1668" t="s">
        <v>48</v>
      </c>
      <c r="B114" s="1682"/>
      <c r="C114" s="1670">
        <f>SUM(C33,C74,C75,C102,C112,C113)</f>
        <v>3193138</v>
      </c>
      <c r="D114" s="1670">
        <f t="shared" ref="D114:K114" si="13">SUM(D33,D74,D75,D102,D112,D113)</f>
        <v>549863</v>
      </c>
      <c r="E114" s="1670">
        <f t="shared" si="13"/>
        <v>418980</v>
      </c>
      <c r="F114" s="1670">
        <f t="shared" si="13"/>
        <v>392213</v>
      </c>
      <c r="G114" s="1670">
        <f t="shared" si="13"/>
        <v>8832</v>
      </c>
      <c r="H114" s="1670">
        <f>SUM(H33,H74,H75,H102,H112,H113)</f>
        <v>24988</v>
      </c>
      <c r="I114" s="1670">
        <f t="shared" si="13"/>
        <v>0</v>
      </c>
      <c r="J114" s="1670">
        <f t="shared" si="13"/>
        <v>0</v>
      </c>
      <c r="K114" s="1670">
        <f t="shared" si="13"/>
        <v>4588014</v>
      </c>
      <c r="L114" s="1670">
        <f>SUM(L33,L74,L75,L102,L112,L113)</f>
        <v>4523510</v>
      </c>
    </row>
    <row r="115" spans="1:14" ht="13.5" thickTop="1" x14ac:dyDescent="0.2">
      <c r="A115" s="2178" t="s">
        <v>996</v>
      </c>
      <c r="B115" s="2179"/>
      <c r="C115" s="618"/>
      <c r="D115" s="618"/>
      <c r="E115" s="618"/>
      <c r="F115" s="618"/>
      <c r="G115" s="618"/>
      <c r="H115" s="618"/>
      <c r="I115" s="618"/>
      <c r="J115" s="618"/>
      <c r="K115" s="1684">
        <f>'Revenues 9-14'!C268-'Expenditures 15-22'!K114</f>
        <v>403221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6" t="s">
        <v>296</v>
      </c>
      <c r="B117" s="215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f>6867+290</f>
        <v>7157</v>
      </c>
      <c r="F123" s="466"/>
      <c r="G123" s="466"/>
      <c r="H123" s="466"/>
      <c r="I123" s="467"/>
      <c r="J123" s="467"/>
      <c r="K123" s="1670">
        <f>SUM(C123:J123)</f>
        <v>7157</v>
      </c>
      <c r="L123" s="466">
        <v>132000</v>
      </c>
    </row>
    <row r="124" spans="1:14" ht="14.25" thickTop="1" thickBot="1" x14ac:dyDescent="0.25">
      <c r="A124" s="1504" t="s">
        <v>197</v>
      </c>
      <c r="B124" s="614">
        <v>2540</v>
      </c>
      <c r="C124" s="466">
        <f>23566+20883+979</f>
        <v>45428</v>
      </c>
      <c r="D124" s="466">
        <f>1944+203+19+2158+225+21</f>
        <v>4570</v>
      </c>
      <c r="E124" s="466">
        <f>2976+450+12484+420+2558</f>
        <v>18888</v>
      </c>
      <c r="F124" s="466">
        <f>2869+11648+2610+2571+1927</f>
        <v>21625</v>
      </c>
      <c r="G124" s="466"/>
      <c r="H124" s="466"/>
      <c r="I124" s="467"/>
      <c r="J124" s="467"/>
      <c r="K124" s="1670">
        <f>SUM(C124:J124)</f>
        <v>90511</v>
      </c>
      <c r="L124" s="466">
        <v>105300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45428</v>
      </c>
      <c r="D127" s="1670">
        <f t="shared" ref="D127:L127" si="14">SUM(D122:D126)</f>
        <v>4570</v>
      </c>
      <c r="E127" s="1670">
        <f t="shared" si="14"/>
        <v>26045</v>
      </c>
      <c r="F127" s="1670">
        <f t="shared" si="14"/>
        <v>21625</v>
      </c>
      <c r="G127" s="1670">
        <f t="shared" si="14"/>
        <v>0</v>
      </c>
      <c r="H127" s="1670">
        <f t="shared" si="14"/>
        <v>0</v>
      </c>
      <c r="I127" s="1670">
        <f t="shared" si="14"/>
        <v>0</v>
      </c>
      <c r="J127" s="1670">
        <f t="shared" si="14"/>
        <v>0</v>
      </c>
      <c r="K127" s="1670">
        <f t="shared" si="14"/>
        <v>97668</v>
      </c>
      <c r="L127" s="1670">
        <f t="shared" si="14"/>
        <v>237300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45428</v>
      </c>
      <c r="D129" s="1677">
        <f t="shared" ref="D129:L129" si="15">SUM(D120,D127,D128)</f>
        <v>4570</v>
      </c>
      <c r="E129" s="1677">
        <f t="shared" si="15"/>
        <v>26045</v>
      </c>
      <c r="F129" s="1677">
        <f t="shared" si="15"/>
        <v>21625</v>
      </c>
      <c r="G129" s="1677">
        <f t="shared" si="15"/>
        <v>0</v>
      </c>
      <c r="H129" s="1677">
        <f t="shared" si="15"/>
        <v>0</v>
      </c>
      <c r="I129" s="1677">
        <f t="shared" si="15"/>
        <v>0</v>
      </c>
      <c r="J129" s="1677">
        <f t="shared" si="15"/>
        <v>0</v>
      </c>
      <c r="K129" s="1677">
        <f t="shared" si="15"/>
        <v>97668</v>
      </c>
      <c r="L129" s="1677">
        <f t="shared" si="15"/>
        <v>237300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15000</v>
      </c>
    </row>
    <row r="151" spans="1:14" ht="12.75" customHeight="1" thickTop="1" thickBot="1" x14ac:dyDescent="0.25">
      <c r="A151" s="2168" t="s">
        <v>620</v>
      </c>
      <c r="B151" s="2150"/>
      <c r="C151" s="1670">
        <f>SUM(C129,C130,C139,C149,C150)</f>
        <v>45428</v>
      </c>
      <c r="D151" s="1670">
        <f t="shared" ref="D151:K151" si="16">SUM(D129,D130,D139,D149,D150)</f>
        <v>4570</v>
      </c>
      <c r="E151" s="1670">
        <f t="shared" si="16"/>
        <v>26045</v>
      </c>
      <c r="F151" s="1670">
        <f t="shared" si="16"/>
        <v>21625</v>
      </c>
      <c r="G151" s="1670">
        <f t="shared" si="16"/>
        <v>0</v>
      </c>
      <c r="H151" s="1670">
        <f t="shared" si="16"/>
        <v>0</v>
      </c>
      <c r="I151" s="1670">
        <f t="shared" si="16"/>
        <v>0</v>
      </c>
      <c r="J151" s="1670">
        <f t="shared" si="16"/>
        <v>0</v>
      </c>
      <c r="K151" s="1670">
        <f t="shared" si="16"/>
        <v>97668</v>
      </c>
      <c r="L151" s="1670">
        <f>SUM(L129,L130,L139,L149,L150)</f>
        <v>252300</v>
      </c>
    </row>
    <row r="152" spans="1:14" ht="12.75" customHeight="1" thickTop="1" x14ac:dyDescent="0.2">
      <c r="A152" s="2171" t="s">
        <v>1178</v>
      </c>
      <c r="B152" s="2172"/>
      <c r="C152" s="618"/>
      <c r="D152" s="618"/>
      <c r="E152" s="618"/>
      <c r="F152" s="618"/>
      <c r="G152" s="618"/>
      <c r="H152" s="618"/>
      <c r="I152" s="618"/>
      <c r="J152" s="616"/>
      <c r="K152" s="1684">
        <f>'Revenues 9-14'!D268-'Expenditures 15-22'!K151</f>
        <v>177497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6" t="s">
        <v>621</v>
      </c>
      <c r="B154" s="215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87682</v>
      </c>
      <c r="I169" s="616"/>
      <c r="J169" s="616"/>
      <c r="K169" s="1671">
        <f>SUM(C169:H169)</f>
        <v>87682</v>
      </c>
      <c r="L169" s="656">
        <v>98320</v>
      </c>
    </row>
    <row r="170" spans="1:14" ht="33.75" customHeight="1" x14ac:dyDescent="0.2">
      <c r="A170" s="669" t="s">
        <v>1670</v>
      </c>
      <c r="B170" s="671" t="s">
        <v>31</v>
      </c>
      <c r="C170" s="616"/>
      <c r="D170" s="616"/>
      <c r="E170" s="616"/>
      <c r="F170" s="616"/>
      <c r="G170" s="616"/>
      <c r="H170" s="569">
        <v>90000</v>
      </c>
      <c r="I170" s="616"/>
      <c r="J170" s="616"/>
      <c r="K170" s="1671">
        <f>SUM(C170:J170)</f>
        <v>90000</v>
      </c>
      <c r="L170" s="569">
        <v>90000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177682</v>
      </c>
      <c r="I172" s="638"/>
      <c r="J172" s="616"/>
      <c r="K172" s="1677">
        <f>SUM(K168,K169,K170,K171)</f>
        <v>177682</v>
      </c>
      <c r="L172" s="1677">
        <f>SUM(L168,L169,L170,L171)</f>
        <v>188320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177682</v>
      </c>
      <c r="I174" s="638"/>
      <c r="J174" s="616"/>
      <c r="K174" s="1677">
        <f>SUM(K160,K172,K173)</f>
        <v>177682</v>
      </c>
      <c r="L174" s="1677">
        <f>SUM(L160,L172,L173)</f>
        <v>188320</v>
      </c>
    </row>
    <row r="175" spans="1:14" ht="13.5" thickTop="1" x14ac:dyDescent="0.2">
      <c r="A175" s="2178" t="s">
        <v>996</v>
      </c>
      <c r="B175" s="2179"/>
      <c r="C175" s="616"/>
      <c r="D175" s="616"/>
      <c r="E175" s="616"/>
      <c r="F175" s="616"/>
      <c r="G175" s="616"/>
      <c r="H175" s="618"/>
      <c r="I175" s="616"/>
      <c r="J175" s="616"/>
      <c r="K175" s="1684">
        <f>'Revenues 9-14'!E268-'Expenditures 15-22'!K174</f>
        <v>-17945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f>23566+428+58853+2261+7529+9713-2</f>
        <v>102348</v>
      </c>
      <c r="D182" s="466">
        <f>1968+203+19+9097+1051+91</f>
        <v>12429</v>
      </c>
      <c r="E182" s="466">
        <f>2890+684+143+1496+1506+24363</f>
        <v>31082</v>
      </c>
      <c r="F182" s="466">
        <f>1212+79+18342+1448+398+10996</f>
        <v>32475</v>
      </c>
      <c r="G182" s="466">
        <f>849</f>
        <v>849</v>
      </c>
      <c r="H182" s="466"/>
      <c r="I182" s="467"/>
      <c r="J182" s="467"/>
      <c r="K182" s="1671">
        <f>SUM(C182:J182)</f>
        <v>179183</v>
      </c>
      <c r="L182" s="466">
        <v>263550</v>
      </c>
    </row>
    <row r="183" spans="1:14" ht="12.75" customHeight="1" thickBot="1" x14ac:dyDescent="0.25">
      <c r="A183" s="1509" t="s">
        <v>980</v>
      </c>
      <c r="B183" s="677">
        <v>2900</v>
      </c>
      <c r="C183" s="573"/>
      <c r="D183" s="573"/>
      <c r="E183" s="573"/>
      <c r="F183" s="573"/>
      <c r="G183" s="573"/>
      <c r="H183" s="573"/>
      <c r="I183" s="532"/>
      <c r="J183" s="532"/>
      <c r="K183" s="1677">
        <f>SUM(C183:J183)</f>
        <v>0</v>
      </c>
      <c r="L183" s="573">
        <v>6000</v>
      </c>
    </row>
    <row r="184" spans="1:14" ht="12.75" customHeight="1" thickTop="1" thickBot="1" x14ac:dyDescent="0.25">
      <c r="A184" s="1691" t="s">
        <v>811</v>
      </c>
      <c r="B184" s="1669" t="s">
        <v>569</v>
      </c>
      <c r="C184" s="1677">
        <f>SUM(C180,C182,C183)</f>
        <v>102348</v>
      </c>
      <c r="D184" s="1677">
        <f t="shared" ref="D184:J184" si="17">SUM(D180,D182,D183)</f>
        <v>12429</v>
      </c>
      <c r="E184" s="1677">
        <f t="shared" si="17"/>
        <v>31082</v>
      </c>
      <c r="F184" s="1677">
        <f t="shared" si="17"/>
        <v>32475</v>
      </c>
      <c r="G184" s="1677">
        <f t="shared" si="17"/>
        <v>849</v>
      </c>
      <c r="H184" s="1677">
        <f t="shared" si="17"/>
        <v>0</v>
      </c>
      <c r="I184" s="1677">
        <f t="shared" si="17"/>
        <v>0</v>
      </c>
      <c r="J184" s="1677">
        <f t="shared" si="17"/>
        <v>0</v>
      </c>
      <c r="K184" s="1677">
        <f>SUM(K180,K182,K183)</f>
        <v>179183</v>
      </c>
      <c r="L184" s="1677">
        <f>SUM(L180, L182:L183)</f>
        <v>269550</v>
      </c>
    </row>
    <row r="185" spans="1:14" ht="15.75" customHeight="1" thickTop="1" thickBot="1" x14ac:dyDescent="0.25">
      <c r="A185" s="1622" t="s">
        <v>939</v>
      </c>
      <c r="B185" s="1611">
        <v>3000</v>
      </c>
      <c r="C185" s="576"/>
      <c r="D185" s="576"/>
      <c r="E185" s="576">
        <f>434</f>
        <v>434</v>
      </c>
      <c r="F185" s="576"/>
      <c r="G185" s="576"/>
      <c r="H185" s="576"/>
      <c r="I185" s="531"/>
      <c r="J185" s="531"/>
      <c r="K185" s="1670">
        <f>SUM(C185:J185)</f>
        <v>434</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f>150</f>
        <v>150</v>
      </c>
      <c r="F189" s="616"/>
      <c r="G189" s="616"/>
      <c r="H189" s="466"/>
      <c r="I189" s="477"/>
      <c r="J189" s="616"/>
      <c r="K189" s="1671">
        <f t="shared" si="18"/>
        <v>150</v>
      </c>
      <c r="L189" s="466">
        <v>2500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150</v>
      </c>
      <c r="F194" s="616"/>
      <c r="G194" s="616"/>
      <c r="H194" s="1670">
        <f>SUM(H188:H193)</f>
        <v>0</v>
      </c>
      <c r="I194" s="477"/>
      <c r="J194" s="616"/>
      <c r="K194" s="1670">
        <f>SUM(K188:K193)</f>
        <v>150</v>
      </c>
      <c r="L194" s="1670">
        <f>SUM(L188:L193)</f>
        <v>2500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150</v>
      </c>
      <c r="F196" s="616"/>
      <c r="G196" s="616"/>
      <c r="H196" s="1677">
        <f>SUM(H194,H195)</f>
        <v>0</v>
      </c>
      <c r="I196" s="477"/>
      <c r="J196" s="616"/>
      <c r="K196" s="1677">
        <f>SUM(K194,K195)</f>
        <v>150</v>
      </c>
      <c r="L196" s="1677">
        <f>SUM(L194,L195)</f>
        <v>2500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6628</v>
      </c>
      <c r="I205" s="616"/>
      <c r="J205" s="616"/>
      <c r="K205" s="1685">
        <f>SUM(H205)</f>
        <v>6628</v>
      </c>
      <c r="L205" s="535"/>
    </row>
    <row r="206" spans="1:14" ht="30" customHeight="1" x14ac:dyDescent="0.2">
      <c r="A206" s="681" t="s">
        <v>1671</v>
      </c>
      <c r="B206" s="672" t="s">
        <v>31</v>
      </c>
      <c r="C206" s="616"/>
      <c r="D206" s="616"/>
      <c r="E206" s="616"/>
      <c r="F206" s="616"/>
      <c r="G206" s="616"/>
      <c r="H206" s="466">
        <v>41975</v>
      </c>
      <c r="I206" s="616"/>
      <c r="J206" s="616"/>
      <c r="K206" s="1671">
        <f>SUM(H206)</f>
        <v>41975</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48603</v>
      </c>
      <c r="I208" s="616"/>
      <c r="J208" s="616"/>
      <c r="K208" s="1677">
        <f>SUM(K204,K205,K206,K207)</f>
        <v>48603</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102348</v>
      </c>
      <c r="D210" s="1670">
        <f>SUM(D184,D185)</f>
        <v>12429</v>
      </c>
      <c r="E210" s="1670">
        <f>SUM(E184,E185,E196)</f>
        <v>31666</v>
      </c>
      <c r="F210" s="1670">
        <f>SUM(F184,F185)</f>
        <v>32475</v>
      </c>
      <c r="G210" s="1670">
        <f>SUM(G184,G185)</f>
        <v>849</v>
      </c>
      <c r="H210" s="1670">
        <f>SUM(H184,H185,H196,H208,H209)</f>
        <v>48603</v>
      </c>
      <c r="I210" s="1670">
        <f>SUM(I184,I185)</f>
        <v>0</v>
      </c>
      <c r="J210" s="1670">
        <f>SUM(J184,J185)</f>
        <v>0</v>
      </c>
      <c r="K210" s="1671">
        <f>SUM(K184,K185,K196,K208,K209)</f>
        <v>228370</v>
      </c>
      <c r="L210" s="1670">
        <f>SUM(L184,L185,L196,L208,L209)</f>
        <v>272050</v>
      </c>
    </row>
    <row r="211" spans="1:14" ht="13.5" thickTop="1" x14ac:dyDescent="0.2">
      <c r="A211" s="2178" t="s">
        <v>996</v>
      </c>
      <c r="B211" s="2179"/>
      <c r="C211" s="618"/>
      <c r="D211" s="618"/>
      <c r="E211" s="618"/>
      <c r="F211" s="618"/>
      <c r="G211" s="618"/>
      <c r="H211" s="618"/>
      <c r="I211" s="616"/>
      <c r="J211" s="616"/>
      <c r="K211" s="1684">
        <f>'Revenues 9-14'!F268-'Expenditures 15-22'!K210</f>
        <v>-2277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3" t="s">
        <v>965</v>
      </c>
      <c r="B213" s="217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277+13+16489+11113</f>
        <v>27892</v>
      </c>
      <c r="E215" s="616"/>
      <c r="F215" s="616"/>
      <c r="G215" s="616"/>
      <c r="H215" s="616"/>
      <c r="I215" s="616"/>
      <c r="J215" s="616"/>
      <c r="K215" s="1671">
        <f>D215</f>
        <v>27892</v>
      </c>
      <c r="L215" s="466">
        <v>16500</v>
      </c>
    </row>
    <row r="216" spans="1:14" x14ac:dyDescent="0.2">
      <c r="A216" s="1504" t="s">
        <v>163</v>
      </c>
      <c r="B216" s="614" t="s">
        <v>967</v>
      </c>
      <c r="C216" s="616"/>
      <c r="D216" s="467">
        <f>649+327+691+11</f>
        <v>1678</v>
      </c>
      <c r="E216" s="616"/>
      <c r="F216" s="616"/>
      <c r="G216" s="616"/>
      <c r="H216" s="616"/>
      <c r="I216" s="616"/>
      <c r="J216" s="616"/>
      <c r="K216" s="1671">
        <f t="shared" ref="K216:K228" si="19">D216</f>
        <v>1678</v>
      </c>
      <c r="L216" s="466">
        <v>22000</v>
      </c>
    </row>
    <row r="217" spans="1:14" x14ac:dyDescent="0.2">
      <c r="A217" s="1504" t="s">
        <v>164</v>
      </c>
      <c r="B217" s="614">
        <v>1200</v>
      </c>
      <c r="C217" s="616"/>
      <c r="D217" s="466">
        <f>2844+1871+2454+314+3665+1967+22</f>
        <v>13137</v>
      </c>
      <c r="E217" s="616"/>
      <c r="F217" s="616"/>
      <c r="G217" s="616"/>
      <c r="H217" s="616"/>
      <c r="I217" s="616"/>
      <c r="J217" s="616"/>
      <c r="K217" s="1671">
        <f t="shared" si="19"/>
        <v>13137</v>
      </c>
      <c r="L217" s="466">
        <v>10000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4835+2819+608</f>
        <v>8262</v>
      </c>
      <c r="E219" s="616"/>
      <c r="F219" s="616"/>
      <c r="G219" s="616"/>
      <c r="H219" s="616"/>
      <c r="I219" s="616"/>
      <c r="J219" s="616"/>
      <c r="K219" s="1671">
        <f t="shared" si="19"/>
        <v>8262</v>
      </c>
      <c r="L219" s="466">
        <v>6000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f>418+640+707-12</f>
        <v>1753</v>
      </c>
      <c r="E223" s="616"/>
      <c r="F223" s="616"/>
      <c r="G223" s="616"/>
      <c r="H223" s="616"/>
      <c r="I223" s="616"/>
      <c r="J223" s="616"/>
      <c r="K223" s="1671">
        <f t="shared" si="19"/>
        <v>1753</v>
      </c>
      <c r="L223" s="466">
        <v>800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52722</v>
      </c>
      <c r="E229" s="616"/>
      <c r="F229" s="616"/>
      <c r="G229" s="616"/>
      <c r="H229" s="616"/>
      <c r="I229" s="616"/>
      <c r="J229" s="616"/>
      <c r="K229" s="1670">
        <f>SUM(K215:K228)</f>
        <v>52722</v>
      </c>
      <c r="L229" s="1670">
        <f>SUM(L215:L228)</f>
        <v>55300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f>5178+2772</f>
        <v>7950</v>
      </c>
      <c r="E234" s="616"/>
      <c r="F234" s="616"/>
      <c r="G234" s="616"/>
      <c r="H234" s="616"/>
      <c r="I234" s="616"/>
      <c r="J234" s="616"/>
      <c r="K234" s="1671">
        <f t="shared" si="20"/>
        <v>7950</v>
      </c>
      <c r="L234" s="466">
        <v>700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f>602</f>
        <v>602</v>
      </c>
      <c r="E236" s="616"/>
      <c r="F236" s="616"/>
      <c r="G236" s="616"/>
      <c r="H236" s="616"/>
      <c r="I236" s="616"/>
      <c r="J236" s="616"/>
      <c r="K236" s="1671">
        <f t="shared" si="20"/>
        <v>602</v>
      </c>
      <c r="L236" s="466">
        <v>600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8552</v>
      </c>
      <c r="E238" s="616"/>
      <c r="F238" s="616"/>
      <c r="G238" s="616"/>
      <c r="H238" s="616"/>
      <c r="I238" s="616"/>
      <c r="J238" s="616"/>
      <c r="K238" s="1670">
        <f>SUM(K232:K237)</f>
        <v>8552</v>
      </c>
      <c r="L238" s="1670">
        <f>SUM(L232:L237)</f>
        <v>1300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f>832+5844+2837</f>
        <v>9513</v>
      </c>
      <c r="E241" s="616"/>
      <c r="F241" s="616"/>
      <c r="G241" s="616"/>
      <c r="H241" s="616"/>
      <c r="I241" s="616"/>
      <c r="J241" s="616"/>
      <c r="K241" s="1672">
        <f>D241</f>
        <v>9513</v>
      </c>
      <c r="L241" s="466">
        <v>750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9513</v>
      </c>
      <c r="E243" s="616"/>
      <c r="F243" s="616"/>
      <c r="G243" s="616"/>
      <c r="H243" s="616"/>
      <c r="I243" s="616"/>
      <c r="J243" s="616"/>
      <c r="K243" s="1670">
        <f>SUM(K240:K242)</f>
        <v>9513</v>
      </c>
      <c r="L243" s="1670">
        <f>SUM(L240:L242)</f>
        <v>750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f>7458+3739+1313</f>
        <v>12510</v>
      </c>
      <c r="E246" s="616"/>
      <c r="F246" s="616"/>
      <c r="G246" s="616"/>
      <c r="H246" s="616"/>
      <c r="I246" s="616"/>
      <c r="J246" s="616"/>
      <c r="K246" s="1672">
        <f t="shared" ref="K246:K256" si="21">D246</f>
        <v>12510</v>
      </c>
      <c r="L246" s="466">
        <v>12000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f>2634+2865+535</f>
        <v>6034</v>
      </c>
      <c r="E249" s="616"/>
      <c r="F249" s="616"/>
      <c r="G249" s="616"/>
      <c r="H249" s="616"/>
      <c r="I249" s="616"/>
      <c r="J249" s="616"/>
      <c r="K249" s="1672">
        <f t="shared" si="21"/>
        <v>6034</v>
      </c>
      <c r="L249" s="466">
        <v>7800</v>
      </c>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18544</v>
      </c>
      <c r="E257" s="616"/>
      <c r="F257" s="616"/>
      <c r="G257" s="616"/>
      <c r="H257" s="616"/>
      <c r="I257" s="616"/>
      <c r="J257" s="616"/>
      <c r="K257" s="1670">
        <f>SUM(K245:K256)</f>
        <v>18544</v>
      </c>
      <c r="L257" s="1670">
        <f>SUM(L245:L256)</f>
        <v>19800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4408+4940+2914+2535+1084+930</f>
        <v>16811</v>
      </c>
      <c r="E259" s="616"/>
      <c r="F259" s="616"/>
      <c r="G259" s="616"/>
      <c r="H259" s="616"/>
      <c r="I259" s="616"/>
      <c r="J259" s="616"/>
      <c r="K259" s="1672">
        <f>D259</f>
        <v>16811</v>
      </c>
      <c r="L259" s="481"/>
    </row>
    <row r="260" spans="1:14" s="597" customFormat="1" x14ac:dyDescent="0.2">
      <c r="A260" s="1522" t="s">
        <v>1804</v>
      </c>
      <c r="B260" s="628">
        <v>2490</v>
      </c>
      <c r="C260" s="616"/>
      <c r="D260" s="466"/>
      <c r="E260" s="616"/>
      <c r="F260" s="616"/>
      <c r="G260" s="616"/>
      <c r="H260" s="616"/>
      <c r="I260" s="616"/>
      <c r="J260" s="616"/>
      <c r="K260" s="1672">
        <f>D260</f>
        <v>0</v>
      </c>
      <c r="L260" s="466">
        <v>18000</v>
      </c>
      <c r="M260" s="210"/>
      <c r="N260" s="210"/>
    </row>
    <row r="261" spans="1:14" ht="12.75" customHeight="1" thickBot="1" x14ac:dyDescent="0.25">
      <c r="A261" s="1692" t="s">
        <v>263</v>
      </c>
      <c r="B261" s="1697" t="s">
        <v>34</v>
      </c>
      <c r="C261" s="616"/>
      <c r="D261" s="1670">
        <f>SUM(D259:D260)</f>
        <v>16811</v>
      </c>
      <c r="E261" s="616"/>
      <c r="F261" s="616"/>
      <c r="G261" s="616"/>
      <c r="H261" s="616"/>
      <c r="I261" s="616"/>
      <c r="J261" s="616"/>
      <c r="K261" s="1670">
        <f>SUM(K259:K260)</f>
        <v>16811</v>
      </c>
      <c r="L261" s="1670">
        <f>SUM(L259:L260)</f>
        <v>18000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7378+3675</f>
        <v>11053</v>
      </c>
      <c r="E264" s="616"/>
      <c r="F264" s="616"/>
      <c r="G264" s="616"/>
      <c r="H264" s="616"/>
      <c r="I264" s="616"/>
      <c r="J264" s="616"/>
      <c r="K264" s="1672">
        <f t="shared" ref="K264:K269" si="22">D264</f>
        <v>11053</v>
      </c>
      <c r="L264" s="466">
        <v>11600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3793+1888+2882+1638+102+16613+2861+381+9563+1638</f>
        <v>41359</v>
      </c>
      <c r="E266" s="616"/>
      <c r="F266" s="616"/>
      <c r="G266" s="616"/>
      <c r="H266" s="616"/>
      <c r="I266" s="616"/>
      <c r="J266" s="616"/>
      <c r="K266" s="1672">
        <f t="shared" si="22"/>
        <v>41359</v>
      </c>
      <c r="L266" s="466">
        <v>45600</v>
      </c>
    </row>
    <row r="267" spans="1:14" x14ac:dyDescent="0.2">
      <c r="A267" s="1504" t="s">
        <v>953</v>
      </c>
      <c r="B267" s="614">
        <v>2550</v>
      </c>
      <c r="C267" s="616"/>
      <c r="D267" s="466">
        <f>3860+1921+8476+241+992+6074+155+591</f>
        <v>22310</v>
      </c>
      <c r="E267" s="616"/>
      <c r="F267" s="616"/>
      <c r="G267" s="616"/>
      <c r="H267" s="616"/>
      <c r="I267" s="616"/>
      <c r="J267" s="616"/>
      <c r="K267" s="1672">
        <f t="shared" si="22"/>
        <v>22310</v>
      </c>
      <c r="L267" s="466">
        <v>29000</v>
      </c>
    </row>
    <row r="268" spans="1:14" x14ac:dyDescent="0.2">
      <c r="A268" s="1504" t="s">
        <v>100</v>
      </c>
      <c r="B268" s="614">
        <v>2560</v>
      </c>
      <c r="C268" s="616"/>
      <c r="D268" s="466">
        <f>14052+8214</f>
        <v>22266</v>
      </c>
      <c r="E268" s="616"/>
      <c r="F268" s="616"/>
      <c r="G268" s="616"/>
      <c r="H268" s="616"/>
      <c r="I268" s="616"/>
      <c r="J268" s="616"/>
      <c r="K268" s="1672">
        <f t="shared" si="22"/>
        <v>22266</v>
      </c>
      <c r="L268" s="466">
        <v>23000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96988</v>
      </c>
      <c r="E270" s="616"/>
      <c r="F270" s="616"/>
      <c r="G270" s="616"/>
      <c r="H270" s="616"/>
      <c r="I270" s="616"/>
      <c r="J270" s="616"/>
      <c r="K270" s="1670">
        <f>SUM(K263:K269)</f>
        <v>96988</v>
      </c>
      <c r="L270" s="1670">
        <f>SUM(L263:L269)</f>
        <v>109200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150408</v>
      </c>
      <c r="E279" s="616"/>
      <c r="F279" s="616"/>
      <c r="G279" s="616"/>
      <c r="H279" s="616"/>
      <c r="I279" s="616"/>
      <c r="J279" s="616"/>
      <c r="K279" s="1677">
        <f>SUM(K238,K243,K257,K261,K270,K277,K278)</f>
        <v>150408</v>
      </c>
      <c r="L279" s="1677">
        <f>SUM(L238,L243,L257,L261,L270,L277,L278)</f>
        <v>149050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69" t="s">
        <v>505</v>
      </c>
      <c r="B295" s="2170"/>
      <c r="C295" s="616"/>
      <c r="D295" s="1670">
        <f>SUM(D229,D279,D280,D285)</f>
        <v>203130</v>
      </c>
      <c r="E295" s="616"/>
      <c r="F295" s="616"/>
      <c r="G295" s="616"/>
      <c r="H295" s="1670">
        <f>H293</f>
        <v>0</v>
      </c>
      <c r="I295" s="616"/>
      <c r="J295" s="616"/>
      <c r="K295" s="1670">
        <f>SUM(K229,K279,K280,K285,K293,K294)</f>
        <v>203130</v>
      </c>
      <c r="L295" s="1670">
        <f>SUM(L229,L279,L280,L285,L293,L294)</f>
        <v>204350</v>
      </c>
    </row>
    <row r="296" spans="1:14" ht="13.5" thickTop="1" x14ac:dyDescent="0.2">
      <c r="A296" s="2178" t="s">
        <v>996</v>
      </c>
      <c r="B296" s="2179"/>
      <c r="C296" s="616"/>
      <c r="D296" s="618"/>
      <c r="E296" s="616"/>
      <c r="F296" s="616"/>
      <c r="G296" s="616"/>
      <c r="H296" s="687"/>
      <c r="I296" s="616"/>
      <c r="J296" s="616"/>
      <c r="K296" s="1684">
        <f>'Revenues 9-14'!G268-'Expenditures 15-22'!K295</f>
        <v>-82921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1" t="s">
        <v>143</v>
      </c>
      <c r="B298" s="215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126492</v>
      </c>
      <c r="F301" s="466"/>
      <c r="G301" s="466"/>
      <c r="H301" s="466"/>
      <c r="I301" s="467"/>
      <c r="J301" s="467"/>
      <c r="K301" s="1671">
        <f>SUM(C301:J301)</f>
        <v>126492</v>
      </c>
      <c r="L301" s="467">
        <v>200000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126492</v>
      </c>
      <c r="F303" s="1677">
        <f t="shared" si="23"/>
        <v>0</v>
      </c>
      <c r="G303" s="1677">
        <f t="shared" si="23"/>
        <v>0</v>
      </c>
      <c r="H303" s="1677">
        <f t="shared" si="23"/>
        <v>0</v>
      </c>
      <c r="I303" s="1677">
        <f t="shared" si="23"/>
        <v>0</v>
      </c>
      <c r="J303" s="1677">
        <f t="shared" si="23"/>
        <v>0</v>
      </c>
      <c r="K303" s="1677">
        <f t="shared" si="23"/>
        <v>126492</v>
      </c>
      <c r="L303" s="1677">
        <f t="shared" si="23"/>
        <v>200000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6" t="s">
        <v>277</v>
      </c>
      <c r="B312" s="2167"/>
      <c r="C312" s="1670">
        <f>SUM(C303)</f>
        <v>0</v>
      </c>
      <c r="D312" s="1670">
        <f>SUM(D303)</f>
        <v>0</v>
      </c>
      <c r="E312" s="1670">
        <f>SUM(E303,E310)</f>
        <v>126492</v>
      </c>
      <c r="F312" s="1670">
        <f>SUM(F303)</f>
        <v>0</v>
      </c>
      <c r="G312" s="1670">
        <f>SUM(G303)</f>
        <v>0</v>
      </c>
      <c r="H312" s="1670">
        <f>SUM(H303,H310)</f>
        <v>0</v>
      </c>
      <c r="I312" s="1670">
        <f>SUM(I303)</f>
        <v>0</v>
      </c>
      <c r="J312" s="1670">
        <f>SUM(J303)</f>
        <v>0</v>
      </c>
      <c r="K312" s="1670">
        <f>SUM(K303,K310,K311)</f>
        <v>126492</v>
      </c>
      <c r="L312" s="1670">
        <f>SUM(L303,L310,L311)</f>
        <v>200000</v>
      </c>
      <c r="M312" s="665"/>
      <c r="N312" s="665"/>
    </row>
    <row r="313" spans="1:14" ht="13.5" thickTop="1" x14ac:dyDescent="0.2">
      <c r="A313" s="2162" t="s">
        <v>996</v>
      </c>
      <c r="B313" s="2163"/>
      <c r="C313" s="626"/>
      <c r="D313" s="626"/>
      <c r="E313" s="626"/>
      <c r="F313" s="626"/>
      <c r="G313" s="626"/>
      <c r="H313" s="626"/>
      <c r="I313" s="626"/>
      <c r="J313" s="626"/>
      <c r="K313" s="1685">
        <f>'Revenues 9-14'!H268-'Expenditures 15-22'!K312</f>
        <v>-77070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5" t="s">
        <v>149</v>
      </c>
      <c r="B315" s="217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7" t="s">
        <v>898</v>
      </c>
      <c r="B317" s="217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f>24670+49087-2</f>
        <v>73755</v>
      </c>
      <c r="D320" s="467">
        <f>3312+746+2123+210+20</f>
        <v>6411</v>
      </c>
      <c r="E320" s="467">
        <f>277107+8058+93220+579+1608</f>
        <v>380572</v>
      </c>
      <c r="F320" s="467">
        <f>485</f>
        <v>485</v>
      </c>
      <c r="G320" s="467"/>
      <c r="H320" s="467"/>
      <c r="I320" s="467"/>
      <c r="J320" s="467"/>
      <c r="K320" s="1671">
        <f t="shared" ref="K320:K327" si="24">SUM(C320:J320)</f>
        <v>461223</v>
      </c>
      <c r="L320" s="467">
        <v>36000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1000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282000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5000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30000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25000</v>
      </c>
      <c r="M329" s="665"/>
      <c r="N329" s="665"/>
    </row>
    <row r="330" spans="1:14" s="674" customFormat="1" ht="12.75" customHeight="1" thickBot="1" x14ac:dyDescent="0.25">
      <c r="A330" s="1700" t="s">
        <v>717</v>
      </c>
      <c r="B330" s="1669" t="s">
        <v>569</v>
      </c>
      <c r="C330" s="1670">
        <f>SUM(C319:C329)</f>
        <v>73755</v>
      </c>
      <c r="D330" s="1670">
        <f t="shared" ref="D330:J330" si="25">SUM(D319:D329)</f>
        <v>6411</v>
      </c>
      <c r="E330" s="1670">
        <f t="shared" si="25"/>
        <v>380572</v>
      </c>
      <c r="F330" s="1670">
        <f t="shared" si="25"/>
        <v>485</v>
      </c>
      <c r="G330" s="1670">
        <f t="shared" si="25"/>
        <v>0</v>
      </c>
      <c r="H330" s="1670">
        <f t="shared" si="25"/>
        <v>0</v>
      </c>
      <c r="I330" s="1670">
        <f t="shared" si="25"/>
        <v>0</v>
      </c>
      <c r="J330" s="1670">
        <f t="shared" si="25"/>
        <v>0</v>
      </c>
      <c r="K330" s="1670">
        <f>SUM(K319:K329)</f>
        <v>461223</v>
      </c>
      <c r="L330" s="1670">
        <f>SUM(L319:L329)</f>
        <v>379000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10000</v>
      </c>
    </row>
    <row r="342" spans="1:14" ht="12.75" customHeight="1" thickTop="1" thickBot="1" x14ac:dyDescent="0.25">
      <c r="A342" s="1686" t="s">
        <v>505</v>
      </c>
      <c r="B342" s="1701"/>
      <c r="C342" s="1670">
        <f>SUM(C330)</f>
        <v>73755</v>
      </c>
      <c r="D342" s="1670">
        <f>SUM(D330)</f>
        <v>6411</v>
      </c>
      <c r="E342" s="1670">
        <f>SUM(E330)</f>
        <v>380572</v>
      </c>
      <c r="F342" s="1670">
        <f>SUM(F330)</f>
        <v>485</v>
      </c>
      <c r="G342" s="1670">
        <f>SUM(G330)</f>
        <v>0</v>
      </c>
      <c r="H342" s="1670">
        <f>SUM(H330,H334,H340)</f>
        <v>0</v>
      </c>
      <c r="I342" s="1670">
        <f>SUM(I330)</f>
        <v>0</v>
      </c>
      <c r="J342" s="1670">
        <f>SUM(J330)</f>
        <v>0</v>
      </c>
      <c r="K342" s="1670">
        <f>SUM(K330,K334,K340)</f>
        <v>461223</v>
      </c>
      <c r="L342" s="1677">
        <f>SUM(L330,L340,L341)</f>
        <v>389000</v>
      </c>
    </row>
    <row r="343" spans="1:14" ht="12.75" customHeight="1" thickTop="1" x14ac:dyDescent="0.2">
      <c r="A343" s="2164" t="s">
        <v>996</v>
      </c>
      <c r="B343" s="2165"/>
      <c r="C343" s="616"/>
      <c r="D343" s="616"/>
      <c r="E343" s="616"/>
      <c r="F343" s="616"/>
      <c r="G343" s="616"/>
      <c r="H343" s="616"/>
      <c r="I343" s="616"/>
      <c r="J343" s="616"/>
      <c r="K343" s="1684">
        <f>'Revenues 9-14'!J268-'Expenditures 15-22'!K342</f>
        <v>-135554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4" t="s">
        <v>966</v>
      </c>
      <c r="B345" s="215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634302</v>
      </c>
      <c r="H348" s="466"/>
      <c r="I348" s="467"/>
      <c r="J348" s="467"/>
      <c r="K348" s="1671">
        <f>SUM(C348:J348)</f>
        <v>634302</v>
      </c>
      <c r="L348" s="466">
        <v>635000</v>
      </c>
    </row>
    <row r="349" spans="1:14" x14ac:dyDescent="0.2">
      <c r="A349" s="1504" t="s">
        <v>197</v>
      </c>
      <c r="B349" s="614">
        <v>2540</v>
      </c>
      <c r="C349" s="466"/>
      <c r="D349" s="466"/>
      <c r="E349" s="466">
        <v>8287</v>
      </c>
      <c r="F349" s="466"/>
      <c r="G349" s="466"/>
      <c r="H349" s="466"/>
      <c r="I349" s="467"/>
      <c r="J349" s="467"/>
      <c r="K349" s="1671">
        <f>SUM(C349:J349)</f>
        <v>8287</v>
      </c>
      <c r="L349" s="466"/>
    </row>
    <row r="350" spans="1:14" ht="12.75" customHeight="1" thickBot="1" x14ac:dyDescent="0.25">
      <c r="A350" s="1668" t="s">
        <v>719</v>
      </c>
      <c r="B350" s="1669" t="s">
        <v>35</v>
      </c>
      <c r="C350" s="1670">
        <f>SUM(C348:C349)</f>
        <v>0</v>
      </c>
      <c r="D350" s="1670">
        <f t="shared" ref="D350:L350" si="26">SUM(D348:D349)</f>
        <v>0</v>
      </c>
      <c r="E350" s="1670">
        <f t="shared" si="26"/>
        <v>8287</v>
      </c>
      <c r="F350" s="1670">
        <f t="shared" si="26"/>
        <v>0</v>
      </c>
      <c r="G350" s="1670">
        <f t="shared" si="26"/>
        <v>634302</v>
      </c>
      <c r="H350" s="1670">
        <f t="shared" si="26"/>
        <v>0</v>
      </c>
      <c r="I350" s="1670">
        <f t="shared" si="26"/>
        <v>0</v>
      </c>
      <c r="J350" s="1670">
        <f t="shared" si="26"/>
        <v>0</v>
      </c>
      <c r="K350" s="1670">
        <f t="shared" si="26"/>
        <v>642589</v>
      </c>
      <c r="L350" s="1670">
        <f t="shared" si="26"/>
        <v>635000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8287</v>
      </c>
      <c r="F352" s="1670">
        <f t="shared" si="27"/>
        <v>0</v>
      </c>
      <c r="G352" s="1670">
        <f t="shared" si="27"/>
        <v>634302</v>
      </c>
      <c r="H352" s="1670">
        <f t="shared" si="27"/>
        <v>0</v>
      </c>
      <c r="I352" s="1670">
        <f t="shared" si="27"/>
        <v>0</v>
      </c>
      <c r="J352" s="1670">
        <f t="shared" si="27"/>
        <v>0</v>
      </c>
      <c r="K352" s="1670">
        <f t="shared" si="27"/>
        <v>642589</v>
      </c>
      <c r="L352" s="1670">
        <f t="shared" si="27"/>
        <v>635000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8287</v>
      </c>
      <c r="F367" s="1670">
        <f t="shared" si="28"/>
        <v>0</v>
      </c>
      <c r="G367" s="1670">
        <f t="shared" si="28"/>
        <v>634302</v>
      </c>
      <c r="H367" s="1670">
        <f t="shared" si="28"/>
        <v>0</v>
      </c>
      <c r="I367" s="1670">
        <f t="shared" si="28"/>
        <v>0</v>
      </c>
      <c r="J367" s="1670">
        <f t="shared" si="28"/>
        <v>0</v>
      </c>
      <c r="K367" s="1670">
        <f t="shared" si="28"/>
        <v>642589</v>
      </c>
      <c r="L367" s="1670">
        <f t="shared" si="28"/>
        <v>635000</v>
      </c>
    </row>
    <row r="368" spans="1:14" ht="13.5" thickTop="1" x14ac:dyDescent="0.2">
      <c r="A368" s="2178" t="s">
        <v>996</v>
      </c>
      <c r="B368" s="2179"/>
      <c r="C368" s="654"/>
      <c r="D368" s="654"/>
      <c r="E368" s="626"/>
      <c r="F368" s="626"/>
      <c r="G368" s="626"/>
      <c r="H368" s="626"/>
      <c r="I368" s="626"/>
      <c r="J368" s="623"/>
      <c r="K368" s="1671">
        <f>'Revenues 9-14'!K268-'Expenditures 15-22'!K367</f>
        <v>-615648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http://www.w3.org/XML/1998/namespace"/>
    <ds:schemaRef ds:uri="4d435f69-8686-490b-bd6d-b153bf22ab50"/>
    <ds:schemaRef ds:uri="d21dc803-237d-4c68-8692-8d731fd29118"/>
    <ds:schemaRef ds:uri="6ce3111e-7420-4802-b50a-75d4e9a0b980"/>
    <ds:schemaRef ds:uri="http://schemas.microsoft.com/sharepoint/v3"/>
    <ds:schemaRef ds:uri="http://purl.org/dc/dcmitype/"/>
  </ds:schemaRefs>
</ds:datastoreItem>
</file>

<file path=customXml/itemProps3.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2019-09-25T20:17:52Z</cp:lastPrinted>
  <dcterms:created xsi:type="dcterms:W3CDTF">2003-10-29T19:06:34Z</dcterms:created>
  <dcterms:modified xsi:type="dcterms:W3CDTF">2019-12-26T20:38:21Z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