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13368F3-31B7-4A14-AA90-45C9D1C1DA5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L5" i="3"/>
  <c r="G41" i="174" l="1"/>
  <c r="G40" i="174"/>
  <c r="G39" i="174"/>
  <c r="G38" i="174"/>
  <c r="D45" i="174"/>
  <c r="C33" i="173"/>
  <c r="M17" i="186"/>
  <c r="M15" i="186"/>
  <c r="M13" i="186"/>
  <c r="M27" i="186" s="1"/>
  <c r="K17" i="186"/>
  <c r="J17" i="186"/>
  <c r="I17" i="186"/>
  <c r="H17" i="186"/>
  <c r="G17" i="186"/>
  <c r="F17" i="186"/>
  <c r="K15" i="186"/>
  <c r="J15" i="186"/>
  <c r="I15" i="186"/>
  <c r="H15" i="186"/>
  <c r="G15" i="186"/>
  <c r="F15" i="186"/>
  <c r="K13" i="186"/>
  <c r="J13" i="186"/>
  <c r="J27" i="186" s="1"/>
  <c r="H13" i="186"/>
  <c r="H27" i="186" s="1"/>
  <c r="G13" i="186"/>
  <c r="G27" i="186" s="1"/>
  <c r="F13" i="186"/>
  <c r="F27" i="186" s="1"/>
  <c r="D35" i="171" s="1"/>
  <c r="E17" i="186"/>
  <c r="E15" i="186"/>
  <c r="E13" i="186"/>
  <c r="K27" i="186"/>
  <c r="K27" i="185"/>
  <c r="J27" i="185"/>
  <c r="H27" i="185"/>
  <c r="G27" i="185"/>
  <c r="E27" i="185"/>
  <c r="M17" i="185"/>
  <c r="K17" i="185"/>
  <c r="J17" i="185"/>
  <c r="I17" i="185"/>
  <c r="I27" i="185" s="1"/>
  <c r="H17" i="185"/>
  <c r="G17" i="185"/>
  <c r="F17" i="185"/>
  <c r="E17" i="185"/>
  <c r="M21" i="185"/>
  <c r="E21" i="185"/>
  <c r="F21" i="185"/>
  <c r="G21" i="185"/>
  <c r="H21" i="185"/>
  <c r="I21" i="185"/>
  <c r="J21" i="185"/>
  <c r="K21" i="185"/>
  <c r="M27" i="184"/>
  <c r="K27" i="184"/>
  <c r="J27" i="184"/>
  <c r="I27" i="184"/>
  <c r="H27" i="184"/>
  <c r="G27" i="184"/>
  <c r="F27" i="184"/>
  <c r="E27" i="184"/>
  <c r="M27" i="183"/>
  <c r="K27" i="183"/>
  <c r="J27" i="183"/>
  <c r="I27" i="183"/>
  <c r="H27" i="183"/>
  <c r="G27" i="183"/>
  <c r="F27" i="183"/>
  <c r="E27" i="183"/>
  <c r="M19" i="179"/>
  <c r="M27" i="179" s="1"/>
  <c r="K19" i="179"/>
  <c r="K27" i="179" s="1"/>
  <c r="J19" i="179"/>
  <c r="J27" i="179" s="1"/>
  <c r="I19" i="179"/>
  <c r="I27" i="179" s="1"/>
  <c r="I13" i="186" s="1"/>
  <c r="I27" i="186" s="1"/>
  <c r="H19" i="179"/>
  <c r="H27" i="179" s="1"/>
  <c r="G19" i="179"/>
  <c r="G27" i="179" s="1"/>
  <c r="F19" i="179"/>
  <c r="F27" i="179" s="1"/>
  <c r="E19" i="179"/>
  <c r="E27" i="179" s="1"/>
  <c r="E27" i="186" l="1"/>
  <c r="F27" i="185"/>
  <c r="M27" i="185"/>
  <c r="L27" i="186" l="1"/>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C74" i="5" l="1"/>
  <c r="J35" i="8" l="1"/>
  <c r="D267" i="29"/>
  <c r="D232" i="29"/>
  <c r="D224" i="29"/>
  <c r="D217" i="29"/>
  <c r="D216" i="29"/>
  <c r="D215" i="29"/>
  <c r="H195" i="29" l="1"/>
  <c r="D182" i="29"/>
  <c r="C182" i="29"/>
  <c r="E4" i="3"/>
  <c r="H171" i="29"/>
  <c r="H170" i="29"/>
  <c r="H169" i="29"/>
  <c r="F124" i="29"/>
  <c r="C5" i="29"/>
  <c r="F14" i="29"/>
  <c r="F13" i="29"/>
  <c r="G5" i="29"/>
  <c r="D5" i="29"/>
  <c r="H79" i="29"/>
  <c r="G71" i="29"/>
  <c r="F45" i="29"/>
  <c r="D36" i="29"/>
  <c r="C36" i="29"/>
  <c r="D15" i="29"/>
  <c r="C15" i="29"/>
  <c r="E8" i="29"/>
  <c r="D8" i="29"/>
  <c r="C8" i="29"/>
  <c r="H5" i="29"/>
  <c r="F5" i="29"/>
  <c r="E5" i="29"/>
  <c r="I65" i="5"/>
  <c r="H103" i="5"/>
  <c r="D107" i="5"/>
  <c r="C43" i="4"/>
  <c r="C200" i="5"/>
  <c r="C159" i="5"/>
  <c r="C107" i="5"/>
  <c r="C101" i="5"/>
  <c r="C77" i="5"/>
  <c r="C65" i="5"/>
  <c r="J4" i="3"/>
  <c r="I5" i="3"/>
  <c r="I4" i="3"/>
  <c r="H4" i="3"/>
  <c r="G4" i="3"/>
  <c r="F4" i="3"/>
  <c r="C5"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4"/>
  <c r="B2" i="185"/>
  <c r="B2" i="183"/>
  <c r="B1" i="184"/>
  <c r="B1" i="186"/>
  <c r="B1" i="183"/>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D26" i="108"/>
  <c r="E26" i="108"/>
  <c r="G26" i="108"/>
  <c r="D27" i="108"/>
  <c r="E27" i="108"/>
  <c r="F27" i="108"/>
  <c r="G27" i="108"/>
  <c r="E28" i="108"/>
  <c r="F28" i="108"/>
  <c r="F31" i="108"/>
  <c r="F36" i="108"/>
  <c r="F37" i="108"/>
  <c r="G28" i="108"/>
  <c r="D31"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D54" i="36" l="1"/>
  <c r="L13" i="11"/>
  <c r="B2060" i="106" s="1"/>
  <c r="D2060" i="106" s="1"/>
  <c r="L5" i="11"/>
  <c r="B2056" i="106" s="1"/>
  <c r="D2056" i="106" s="1"/>
  <c r="D69" i="36"/>
  <c r="D68" i="36"/>
  <c r="F71" i="34"/>
  <c r="K184" i="29"/>
  <c r="F13" i="4" s="1"/>
  <c r="B2596" i="106" s="1"/>
  <c r="D2596" i="106" s="1"/>
  <c r="F65" i="34"/>
  <c r="G29" i="108"/>
  <c r="G38" i="108"/>
  <c r="D37" i="108"/>
  <c r="D41" i="108" s="1"/>
  <c r="E43" i="108" s="1"/>
  <c r="G30" i="108"/>
  <c r="E30" i="108"/>
  <c r="F38" i="34"/>
  <c r="F34" i="34"/>
  <c r="F77" i="4"/>
  <c r="B3255" i="106" s="1"/>
  <c r="D3255" i="106" s="1"/>
  <c r="B4087" i="106"/>
  <c r="D4087" i="106" s="1"/>
  <c r="K41" i="3"/>
  <c r="L15" i="11"/>
  <c r="B3459" i="106" s="1"/>
  <c r="D3459" i="106" s="1"/>
  <c r="D17" i="7"/>
  <c r="B4104" i="106" s="1"/>
  <c r="D4104" i="106" s="1"/>
  <c r="D11" i="37"/>
  <c r="D31" i="36"/>
  <c r="B1308" i="106"/>
  <c r="D1308" i="106" s="1"/>
  <c r="E174" i="29"/>
  <c r="B1309" i="106" s="1"/>
  <c r="D1309" i="106" s="1"/>
  <c r="B1126" i="106"/>
  <c r="D1126" i="106" s="1"/>
  <c r="L367" i="29"/>
  <c r="F19" i="7"/>
  <c r="B1807" i="106" s="1"/>
  <c r="D1807" i="106" s="1"/>
  <c r="D7245" i="106"/>
  <c r="C352" i="29"/>
  <c r="D9" i="7"/>
  <c r="B1767" i="106" s="1"/>
  <c r="D1767" i="106" s="1"/>
  <c r="H29" i="118"/>
  <c r="K28" i="118" s="1"/>
  <c r="O27" i="118" s="1"/>
  <c r="O29" i="118" s="1"/>
  <c r="N22" i="3"/>
  <c r="B283" i="106" s="1"/>
  <c r="D283" i="106" s="1"/>
  <c r="L342" i="29"/>
  <c r="F49" i="34"/>
  <c r="F44" i="34"/>
  <c r="E29" i="108"/>
  <c r="F26" i="108"/>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L16" i="11"/>
  <c r="B2061" i="106" s="1"/>
  <c r="D2061" i="106" s="1"/>
  <c r="B1381" i="106"/>
  <c r="D1381" i="106" s="1"/>
  <c r="B1317" i="106"/>
  <c r="D1317" i="106" s="1"/>
  <c r="C114" i="29"/>
  <c r="B757" i="106" s="1"/>
  <c r="D757" i="106" s="1"/>
  <c r="B5527" i="106"/>
  <c r="D5527" i="106" s="1"/>
  <c r="F174" i="34"/>
  <c r="B5778" i="106"/>
  <c r="D5778" i="106" s="1"/>
  <c r="G6" i="4"/>
  <c r="B2604" i="106" s="1"/>
  <c r="D2604" i="106" s="1"/>
  <c r="B1996" i="106"/>
  <c r="D1996" i="106" s="1"/>
  <c r="I26" i="12"/>
  <c r="B7741" i="106" s="1"/>
  <c r="D7741" i="106" s="1"/>
  <c r="K342" i="29"/>
  <c r="F13" i="34" s="1"/>
  <c r="B5770" i="106"/>
  <c r="D5770" i="106" s="1"/>
  <c r="B3568" i="106"/>
  <c r="D3568" i="106" s="1"/>
  <c r="D52" i="36"/>
  <c r="J16" i="4"/>
  <c r="B6226" i="106" s="1"/>
  <c r="D6226" i="106" s="1"/>
  <c r="N23" i="3"/>
  <c r="B284" i="106" s="1"/>
  <c r="D284"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<sst xmlns="http://schemas.openxmlformats.org/spreadsheetml/2006/main" count="5383" uniqueCount="2173">
  <si>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</si>
  <si>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</si>
  <si>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</si>
  <si>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</si>
  <si>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</si>
  <si>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</si>
  <si>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</si>
  <si>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</si>
  <si>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</si>
  <si>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</si>
  <si>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</si>
  <si>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</si>
  <si>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</si>
  <si>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</si>
  <si>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</si>
  <si>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</si>
  <si>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</si>
  <si>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</si>
  <si>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</si>
  <si>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</si>
  <si>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</si>
  <si>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</si>
  <si>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</si>
  <si>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</si>
  <si>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</si>
  <si>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</si>
  <si>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</si>
  <si>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</si>
  <si>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</si>
  <si>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</si>
  <si>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</si>
  <si>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</si>
  <si>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</si>
  <si>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</si>
  <si>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</si>
  <si>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</si>
  <si>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</si>
  <si>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</si>
  <si>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</si>
  <si>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</si>
  <si>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</si>
  <si>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</si>
  <si>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</si>
  <si>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</si>
  <si>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</si>
  <si>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</si>
  <si>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</si>
  <si>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</si>
  <si>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</si>
  <si>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</si>
  <si>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</si>
  <si>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</si>
  <si>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</si>
  <si>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</si>
  <si>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</si>
  <si>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</si>
  <si>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</si>
  <si>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</si>
  <si>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</si>
  <si>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</si>
  <si>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</si>
  <si>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</si>
  <si>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</si>
  <si>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</si>
  <si>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</si>
  <si>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</si>
  <si>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</si>
  <si>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</si>
  <si>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</si>
  <si>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</si>
  <si>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</si>
  <si>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</si>
  <si>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</si>
  <si>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</si>
  <si>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</si>
  <si>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</si>
  <si>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</si>
  <si>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</si>
  <si>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</si>
  <si>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</si>
  <si>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</si>
  <si>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</si>
  <si>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</si>
  <si>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</si>
  <si>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</si>
  <si>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</si>
  <si>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</si>
  <si>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</si>
  <si>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</si>
  <si>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</si>
  <si>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</si>
  <si>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</si>
  <si>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</si>
  <si>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</si>
  <si>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</si>
  <si>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</si>
  <si>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</si>
  <si>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</si>
  <si>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</si>
  <si>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</si>
  <si>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</si>
  <si>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</si>
  <si>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</si>
  <si>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</si>
  <si>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</si>
  <si>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</si>
  <si>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</si>
  <si>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</si>
  <si>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</si>
  <si>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</si>
  <si>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</si>
  <si>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</si>
  <si>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</si>
  <si>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</si>
  <si>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</si>
  <si>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</si>
  <si>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</si>
  <si>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</si>
  <si>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</si>
  <si>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</si>
  <si>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</si>
  <si>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</si>
  <si>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</si>
  <si>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</si>
  <si>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</si>
  <si>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</si>
  <si>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</si>
  <si>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</si>
  <si>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</si>
  <si>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</si>
  <si>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</si>
  <si>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</si>
  <si>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</si>
  <si>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</si>
  <si>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</si>
  <si>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</si>
  <si>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</si>
  <si>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</si>
  <si>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</si>
  <si>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</si>
  <si>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</si>
  <si>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</si>
  <si>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</si>
  <si>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</si>
  <si>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</si>
  <si>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</si>
  <si>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</si>
  <si>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</si>
  <si>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</si>
  <si>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</si>
  <si>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</si>
  <si>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</si>
  <si>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</si>
  <si>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</si>
  <si>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</si>
  <si>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</si>
  <si>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</si>
  <si>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</si>
  <si>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</si>
  <si>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</si>
  <si>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</si>
  <si>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</si>
  <si>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</si>
  <si>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</si>
  <si>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</si>
  <si>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</si>
  <si>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</si>
  <si>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</si>
  <si>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</si>
  <si>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</si>
  <si>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</si>
  <si>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</si>
  <si>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</si>
  <si>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</si>
  <si>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</si>
  <si>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</si>
  <si>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</si>
  <si>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</si>
  <si>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</si>
  <si>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</si>
  <si>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</si>
  <si>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</si>
  <si>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</si>
  <si>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</si>
  <si>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</si>
  <si>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</si>
  <si>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</si>
  <si>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</si>
  <si>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</si>
  <si>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</si>
  <si>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</si>
  <si>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</si>
  <si>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</si>
  <si>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</si>
  <si>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</si>
  <si>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</si>
  <si>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</si>
  <si>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</si>
  <si>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</si>
  <si>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</si>
  <si>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</si>
  <si>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</si>
  <si>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</si>
  <si>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</si>
  <si>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</si>
  <si>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</si>
  <si>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</si>
  <si>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</si>
  <si>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</si>
  <si>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</si>
  <si>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</si>
  <si>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</si>
  <si>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</si>
  <si>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</si>
  <si>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</si>
  <si>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</si>
  <si>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</si>
  <si>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</si>
  <si>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</si>
  <si>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</si>
  <si>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</si>
  <si>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</si>
  <si>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</si>
  <si>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</si>
  <si>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</si>
  <si>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</si>
  <si>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</si>
  <si>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</si>
  <si>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</si>
  <si>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</si>
  <si>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</si>
  <si>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</si>
  <si>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</si>
  <si>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</si>
  <si>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</si>
  <si>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</si>
  <si>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</si>
  <si>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</si>
  <si>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</si>
  <si>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</si>
  <si>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</si>
  <si>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</si>
  <si>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</si>
  <si>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</si>
  <si>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</si>
  <si>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</si>
  <si>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</si>
  <si>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</si>
  <si>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</si>
  <si>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</si>
  <si>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</si>
  <si>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</si>
  <si>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</si>
  <si>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</si>
  <si>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</si>
  <si>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</si>
  <si>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</si>
  <si>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</si>
  <si>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</si>
  <si>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</si>
  <si>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</si>
  <si>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</si>
  <si>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</si>
  <si>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</si>
  <si>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</si>
  <si>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</si>
  <si>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</si>
  <si>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</si>
  <si>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</si>
  <si>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</si>
  <si>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</si>
  <si>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</si>
  <si>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</si>
  <si>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</si>
  <si>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</si>
  <si>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</si>
  <si>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</si>
  <si>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</si>
  <si>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</si>
  <si>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</si>
  <si>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</si>
  <si>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</si>
  <si>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</si>
  <si>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</si>
  <si>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</si>
  <si>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</si>
  <si>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</si>
  <si>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</si>
  <si>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</si>
  <si>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</si>
  <si>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</si>
  <si>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</si>
  <si>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</si>
  <si>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</si>
  <si>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</si>
  <si>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</si>
  <si>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</si>
  <si>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</si>
  <si>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</si>
  <si>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</si>
  <si>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</si>
  <si>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</si>
  <si>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</si>
  <si>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</si>
  <si>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</si>
  <si>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</si>
  <si>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</si>
  <si>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</si>
  <si>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</si>
  <si>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</si>
  <si>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</si>
  <si>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</si>
  <si>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</si>
  <si>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</si>
  <si>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</si>
  <si>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</si>
  <si>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</si>
  <si>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</si>
  <si>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</si>
  <si>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</si>
  <si>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</si>
  <si>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</si>
  <si>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</si>
  <si>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</si>
  <si>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</si>
  <si>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</si>
  <si>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</si>
  <si>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</si>
  <si>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</si>
  <si>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</si>
  <si>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</si>
  <si>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</si>
  <si>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</si>
  <si>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</si>
  <si>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</si>
  <si>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</si>
  <si>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</si>
  <si>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</si>
  <si>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</si>
  <si>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</si>
  <si>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</si>
  <si>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</si>
  <si>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</si>
  <si>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</si>
  <si>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</si>
  <si>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</si>
  <si>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</si>
  <si>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</si>
  <si>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</si>
  <si>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</si>
  <si>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</si>
  <si>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</si>
  <si>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</si>
  <si>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</si>
  <si>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</si>
  <si>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</si>
  <si>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</si>
  <si>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</si>
  <si>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</si>
  <si>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</si>
  <si>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</si>
  <si>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</si>
  <si>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</si>
  <si>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</si>
  <si>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</si>
  <si>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</si>
  <si>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</si>
  <si>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</si>
  <si>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</si>
  <si>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</si>
  <si>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</si>
  <si>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</si>
  <si>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</si>
  <si>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</si>
  <si>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</si>
  <si>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</si>
  <si>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</si>
  <si>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</si>
  <si>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</si>
  <si>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</si>
  <si>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</si>
  <si>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</si>
  <si>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</si>
  <si>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</si>
  <si>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</si>
  <si>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</si>
  <si>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</si>
  <si>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</si>
  <si>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</si>
  <si>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</si>
  <si>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</si>
  <si>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</si>
  <si>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</si>
  <si>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</si>
  <si>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</si>
  <si>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</si>
  <si>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</si>
  <si>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</si>
  <si>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</si>
  <si>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</si>
  <si>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</si>
  <si>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</si>
  <si>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</si>
  <si>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</si>
  <si>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</si>
  <si>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</si>
  <si>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</si>
  <si>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</si>
  <si>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</si>
  <si>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</si>
  <si>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</si>
  <si>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</si>
  <si>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</si>
  <si>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</si>
  <si>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</si>
  <si>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</si>
  <si>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</si>
  <si>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</si>
  <si>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</si>
  <si>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</si>
  <si>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</si>
  <si>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</si>
  <si>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</si>
  <si>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</si>
  <si>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</si>
  <si>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</si>
  <si>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</si>
  <si>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</si>
  <si>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</si>
  <si>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</si>
  <si>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</si>
  <si>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</si>
  <si>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</si>
  <si>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</si>
  <si>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</si>
  <si>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</si>
  <si>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</si>
  <si>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</si>
  <si>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</si>
  <si>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</si>
  <si>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</si>
  <si>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</si>
  <si>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</si>
  <si>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</si>
  <si>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</si>
  <si>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</si>
  <si>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</si>
  <si>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</si>
  <si>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</si>
  <si>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</si>
  <si>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</si>
  <si>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</si>
  <si>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</si>
  <si>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</si>
  <si>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</si>
  <si>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</si>
  <si>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</si>
  <si>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</si>
  <si>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</si>
  <si>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</si>
  <si>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</si>
  <si>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</si>
  <si>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</si>
  <si>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</si>
  <si>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</si>
  <si>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</si>
  <si>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</si>
  <si>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</si>
  <si>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</si>
  <si>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</si>
  <si>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</si>
  <si>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</si>
  <si>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</si>
  <si>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</si>
  <si>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</si>
  <si>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</si>
  <si>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</si>
  <si>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</si>
  <si>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</si>
  <si>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</si>
  <si>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</si>
  <si>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</si>
  <si>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</si>
  <si>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</si>
  <si>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</si>
  <si>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</si>
  <si>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</si>
  <si>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</si>
  <si>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</si>
  <si>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</si>
  <si>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</si>
  <si>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</si>
  <si>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</si>
  <si>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</si>
  <si>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</si>
  <si>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</si>
  <si>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</si>
  <si>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</si>
  <si>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</si>
  <si>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</si>
  <si>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</si>
  <si>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</si>
  <si>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</si>
  <si>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</si>
  <si>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</si>
  <si>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</si>
  <si>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</si>
  <si>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</si>
  <si>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</si>
  <si>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</si>
  <si>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</si>
  <si>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</si>
  <si>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</si>
  <si>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</si>
  <si>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</si>
  <si>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</si>
  <si>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</si>
  <si>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</si>
  <si>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</si>
  <si>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</si>
  <si>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</si>
  <si>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</si>
  <si>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</si>
  <si>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</si>
  <si>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</si>
  <si>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</si>
  <si>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</si>
  <si>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</si>
  <si>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</si>
  <si>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</si>
  <si>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</si>
  <si>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</si>
  <si>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</si>
  <si>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</si>
  <si>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</si>
  <si>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</si>
  <si>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</si>
  <si>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</si>
  <si>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</si>
  <si>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</si>
  <si>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</si>
  <si>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</si>
  <si>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</si>
  <si>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</si>
  <si>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</si>
  <si>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</si>
  <si>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</si>
  <si>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</si>
  <si>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</si>
  <si>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</si>
  <si>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</si>
  <si>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</si>
  <si>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</si>
  <si>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</si>
  <si>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</si>
  <si>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</si>
  <si>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</si>
  <si>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</si>
  <si>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</si>
  <si>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</si>
  <si>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</si>
  <si>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</si>
  <si>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</si>
  <si>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</si>
  <si>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</si>
  <si>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</si>
  <si>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</si>
  <si>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</si>
  <si>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</si>
  <si>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</si>
  <si>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</si>
  <si>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</si>
  <si>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</si>
  <si>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</si>
  <si>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</si>
  <si>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</si>
  <si>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</si>
  <si>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</si>
  <si>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</si>
  <si>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</si>
  <si>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</si>
  <si>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</si>
  <si>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</si>
  <si>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</si>
  <si>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</si>
  <si>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</si>
  <si>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</si>
  <si>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</si>
  <si>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</si>
  <si>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</si>
  <si>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</si>
  <si>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</si>
  <si>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</si>
  <si>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</si>
  <si>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</si>
  <si>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</si>
  <si>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</si>
  <si>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</si>
  <si>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</si>
  <si>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</si>
  <si>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</si>
  <si>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</si>
  <si>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</si>
  <si>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</si>
  <si>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</si>
  <si>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</si>
  <si>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</si>
  <si>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</si>
  <si>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</si>
  <si>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</si>
  <si>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</si>
  <si>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</si>
  <si>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</si>
  <si>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</si>
  <si>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</si>
  <si>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</si>
  <si>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</si>
  <si>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</si>
  <si>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</si>
  <si>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</si>
  <si>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</si>
  <si>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</si>
  <si>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</si>
  <si>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</si>
  <si>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</si>
  <si>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</si>
  <si>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</si>
  <si>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</si>
  <si>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</si>
  <si>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</si>
  <si>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</si>
  <si>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</si>
  <si>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</si>
  <si>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</si>
  <si>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</si>
  <si>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</si>
  <si>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</si>
  <si>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</si>
  <si>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</si>
  <si>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</si>
  <si>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</si>
  <si>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</si>
  <si>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</si>
  <si>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</si>
  <si>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</si>
  <si>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</si>
  <si>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</si>
  <si>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</si>
  <si>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</si>
  <si>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</si>
  <si>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</si>
  <si>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</si>
  <si>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</si>
  <si>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</si>
  <si>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</si>
  <si>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</si>
  <si>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</si>
  <si>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</si>
  <si>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</si>
  <si>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</si>
  <si>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</si>
  <si>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</si>
  <si>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</si>
  <si>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</si>
  <si>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</si>
  <si>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</si>
  <si>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</si>
  <si>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</si>
  <si>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</si>
  <si>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</si>
  <si>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</si>
  <si>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</si>
  <si>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</si>
  <si>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</si>
  <si>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</si>
  <si>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</si>
  <si>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</si>
  <si>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</si>
  <si>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</si>
  <si>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</si>
  <si>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</si>
  <si>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</si>
  <si>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</si>
  <si>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</si>
  <si>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</si>
  <si>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</si>
  <si>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</si>
  <si>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</si>
  <si>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</si>
  <si>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</si>
  <si>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</si>
  <si>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</si>
  <si>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</si>
  <si>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</si>
  <si>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</si>
  <si>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</si>
  <si>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</si>
  <si>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</si>
  <si>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</si>
  <si>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</si>
  <si>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</si>
  <si>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</si>
  <si>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</si>
  <si>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</si>
  <si>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</si>
  <si>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</si>
  <si>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</si>
  <si>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</si>
  <si>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</si>
  <si>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</si>
  <si>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</si>
  <si>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</si>
  <si>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</si>
  <si>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</si>
  <si>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</si>
  <si>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</si>
  <si>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</si>
  <si>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</si>
  <si>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</si>
  <si>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</si>
  <si>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</si>
  <si>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</si>
  <si>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</si>
  <si>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</si>
  <si>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</si>
  <si>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</si>
  <si>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</si>
  <si>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</si>
  <si>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</si>
  <si>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</si>
  <si>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</si>
  <si>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</si>
  <si>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</si>
  <si>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</si>
  <si>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</si>
  <si>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</si>
  <si>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</si>
  <si>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</si>
  <si>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</si>
  <si>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</si>
  <si>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</si>
  <si>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</si>
  <si>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</si>
  <si>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</si>
  <si>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</si>
  <si>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</si>
  <si>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</si>
  <si>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</si>
  <si>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</si>
  <si>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</si>
  <si>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</si>
  <si>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</si>
  <si>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</si>
  <si>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</si>
  <si>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</si>
  <si>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</si>
  <si>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</si>
  <si>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</si>
  <si>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</si>
  <si>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</si>
  <si>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</si>
  <si>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</si>
  <si>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</si>
  <si>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</si>
  <si>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</si>
  <si>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</si>
  <si>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</si>
  <si>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</si>
  <si>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</si>
  <si>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</si>
  <si>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</si>
  <si>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</si>
  <si>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</si>
  <si>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</si>
  <si>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</si>
  <si>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</si>
  <si>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</si>
  <si>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</si>
  <si>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</si>
  <si>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</si>
  <si>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</si>
  <si>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</si>
  <si>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</si>
  <si>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</si>
  <si>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</si>
  <si>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</si>
  <si>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</si>
  <si>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</si>
  <si>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</si>
  <si>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</si>
  <si>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</si>
  <si>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</si>
  <si>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</si>
  <si>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</si>
  <si>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</si>
  <si>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</si>
  <si>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</si>
  <si>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</si>
  <si>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</si>
  <si>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</si>
  <si>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</si>
  <si>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</si>
  <si>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</si>
  <si>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</si>
  <si>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</si>
  <si>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</si>
  <si>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</si>
  <si>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</si>
  <si>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</si>
  <si>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</si>
  <si>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</si>
  <si>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</si>
  <si>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</si>
  <si>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</si>
  <si>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</si>
  <si>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</si>
  <si>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</si>
  <si>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</si>
  <si>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</si>
  <si>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</si>
  <si>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</si>
  <si>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</si>
  <si>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</si>
  <si>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</si>
  <si>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</si>
  <si>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</si>
  <si>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</si>
  <si>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</si>
  <si>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</si>
  <si>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</si>
  <si>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</si>
  <si>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</si>
  <si>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</si>
  <si>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</si>
  <si>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</si>
  <si>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</si>
  <si>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</si>
  <si>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</si>
  <si>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</si>
  <si>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</si>
  <si>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</si>
  <si>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</si>
  <si>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</si>
  <si>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</si>
  <si>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</si>
  <si>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</si>
  <si>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</si>
  <si>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</si>
  <si>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</si>
  <si>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</si>
  <si>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</si>
  <si>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</si>
  <si>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</si>
  <si>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</si>
  <si>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</si>
  <si>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</si>
  <si>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</si>
  <si>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</si>
  <si>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</si>
  <si>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</si>
  <si>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</si>
  <si>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</si>
  <si>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</si>
  <si>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</si>
  <si>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</si>
  <si>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</si>
  <si>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</si>
  <si>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</si>
  <si>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</si>
  <si>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</si>
  <si>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</si>
  <si>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</si>
  <si>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</si>
  <si>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</si>
  <si>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</si>
  <si>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</si>
  <si>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</si>
  <si>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</si>
  <si>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</si>
  <si>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</si>
  <si>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</si>
  <si>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</si>
  <si>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</si>
  <si>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</si>
  <si>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</si>
  <si>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</si>
  <si>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</si>
  <si>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</si>
  <si>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</si>
  <si>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</si>
  <si>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</si>
  <si>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</si>
  <si>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</si>
  <si>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</si>
  <si>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</si>
  <si>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</si>
  <si>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</si>
  <si>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</si>
  <si>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</si>
  <si>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</si>
  <si>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</si>
  <si>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</si>
  <si>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</si>
  <si>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</si>
  <si>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</si>
  <si>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</si>
  <si>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</si>
  <si>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</si>
  <si>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</si>
  <si>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</si>
  <si>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</si>
  <si>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</si>
  <si>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</si>
  <si>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</si>
  <si>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</si>
  <si>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</si>
  <si>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</si>
  <si>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</si>
  <si>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</si>
  <si>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</si>
  <si>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</si>
  <si>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</si>
  <si>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</si>
  <si>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</si>
  <si>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</si>
  <si>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</si>
  <si>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</si>
  <si>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</si>
  <si>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</si>
  <si>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</si>
  <si>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</si>
  <si>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</si>
  <si>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</si>
  <si>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</si>
  <si>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</si>
  <si>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</si>
  <si>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</si>
  <si>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</si>
  <si>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</si>
  <si>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</si>
  <si>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</si>
  <si>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</si>
  <si>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</si>
  <si>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</si>
  <si>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</si>
  <si>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</si>
  <si>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</si>
  <si>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</si>
  <si>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</si>
  <si>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</si>
  <si>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</si>
  <si>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</si>
  <si>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</si>
  <si>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</si>
  <si>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</si>
  <si>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</si>
  <si>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</si>
  <si>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</si>
  <si>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</si>
  <si>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</si>
  <si>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</si>
  <si>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</si>
  <si>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</si>
  <si>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</si>
  <si>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</si>
  <si>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</si>
  <si>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</si>
  <si>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</si>
  <si>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</si>
  <si>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</si>
  <si>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</si>
  <si>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</si>
  <si>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</si>
  <si>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</si>
  <si>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</si>
  <si>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</si>
  <si>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</si>
  <si>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</si>
  <si>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</si>
  <si>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</si>
  <si>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</si>
  <si>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</si>
  <si>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</si>
  <si>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</si>
  <si>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</si>
  <si>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</si>
  <si>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</si>
  <si>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</si>
  <si>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</si>
  <si>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</si>
  <si>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</si>
  <si>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</si>
  <si>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</si>
  <si>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</si>
  <si>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</si>
  <si>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</si>
  <si>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</si>
  <si>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</si>
  <si>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</si>
  <si>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</si>
  <si>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</si>
  <si>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</si>
  <si>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</si>
  <si>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</si>
  <si>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</si>
  <si>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</si>
  <si>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</si>
  <si>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</si>
  <si>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</si>
  <si>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</si>
  <si>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</si>
  <si>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</si>
  <si>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</si>
  <si>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</si>
  <si>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</si>
  <si>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</si>
  <si>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</si>
  <si>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</si>
  <si>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</si>
  <si>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</si>
  <si>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</si>
  <si>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</si>
  <si>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</si>
  <si>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</si>
  <si>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</si>
  <si>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</si>
  <si>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</si>
  <si>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</si>
  <si>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</si>
  <si>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</si>
  <si>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</si>
  <si>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</si>
  <si>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</si>
  <si>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</si>
  <si>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</si>
  <si>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</si>
  <si>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</si>
  <si>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</si>
  <si>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</si>
  <si>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</si>
  <si>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</si>
  <si>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</si>
  <si>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</si>
  <si>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</si>
  <si>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</si>
  <si>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</si>
  <si>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</si>
  <si>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</si>
  <si>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</si>
  <si>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</si>
  <si>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</si>
  <si>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</si>
  <si>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</si>
  <si>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</si>
  <si>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</si>
  <si>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</si>
  <si>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</si>
  <si>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</si>
  <si>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</si>
  <si>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</si>
  <si>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</si>
  <si>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</si>
  <si>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</si>
  <si>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</si>
  <si>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</si>
  <si>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</si>
  <si>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</si>
  <si>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</si>
  <si>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</si>
  <si>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</si>
  <si>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</si>
  <si>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</si>
  <si>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</si>
  <si>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</si>
  <si>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</si>
  <si>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</si>
  <si>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</si>
  <si>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</si>
  <si>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</si>
  <si>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</si>
  <si>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</si>
  <si>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</si>
  <si>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</si>
  <si>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</si>
  <si>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</si>
  <si>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</si>
  <si>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</si>
  <si>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</si>
  <si>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</si>
  <si>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</si>
  <si>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</si>
  <si>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</si>
  <si>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</si>
  <si>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</si>
  <si>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</si>
  <si>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</si>
  <si>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</si>
  <si>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</si>
  <si>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</si>
  <si>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</si>
  <si>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</si>
  <si>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</si>
  <si>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</si>
  <si>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</si>
  <si>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</si>
  <si>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</si>
  <si>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</si>
  <si>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</si>
  <si>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</si>
  <si>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</si>
  <si>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</si>
  <si>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</si>
  <si>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</si>
  <si>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</si>
  <si>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</si>
  <si>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</si>
  <si>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</si>
  <si>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</si>
  <si>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</si>
  <si>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</si>
  <si>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</si>
  <si>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</si>
  <si>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</si>
  <si>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</si>
  <si>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</si>
  <si>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</si>
  <si>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</si>
  <si>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</si>
  <si>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</si>
  <si>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</si>
  <si>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</si>
  <si>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</si>
  <si>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</si>
  <si>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</si>
  <si>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</si>
  <si>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</si>
  <si>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</si>
  <si>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</si>
  <si>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</si>
  <si>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</si>
  <si>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</si>
  <si>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</si>
  <si>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</si>
  <si>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</si>
  <si>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</si>
  <si>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</si>
  <si>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</si>
  <si>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</si>
  <si>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</si>
  <si>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</si>
  <si>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</si>
  <si>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</si>
  <si>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</si>
  <si>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</si>
  <si>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</si>
  <si>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</si>
  <si>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</si>
  <si>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</si>
  <si>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</si>
  <si>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</si>
  <si>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</si>
  <si>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</si>
  <si>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</si>
  <si>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</si>
  <si>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</si>
  <si>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</si>
  <si>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</si>
  <si>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</si>
  <si>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</si>
  <si>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</si>
  <si>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</si>
  <si>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</si>
  <si>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</si>
  <si>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</si>
  <si>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</si>
  <si>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</si>
  <si>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</si>
  <si>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</si>
  <si>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</si>
  <si>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</si>
  <si>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</si>
  <si>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</si>
  <si>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</si>
  <si>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</si>
  <si>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</si>
  <si>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</si>
  <si>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</si>
  <si>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</si>
  <si>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</si>
  <si>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</si>
  <si>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</si>
  <si>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</si>
  <si>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</si>
  <si>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</si>
  <si>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</si>
  <si>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</si>
  <si>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</si>
  <si>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</si>
  <si>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</si>
  <si>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</si>
  <si>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</si>
  <si>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</si>
  <si>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</si>
  <si>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</si>
  <si>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</si>
  <si>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</si>
  <si>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</si>
  <si>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</si>
  <si>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</si>
  <si>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</si>
  <si>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</si>
  <si>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</si>
  <si>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</si>
  <si>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</si>
  <si>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</si>
  <si>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</si>
  <si>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</si>
  <si>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</si>
  <si>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</si>
  <si>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</si>
  <si>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</si>
  <si>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</si>
  <si>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</si>
  <si>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</si>
  <si>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</si>
  <si>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</si>
  <si>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</si>
  <si>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</si>
  <si>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</si>
  <si>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</si>
  <si>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</si>
  <si>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</si>
  <si>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</si>
  <si>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</si>
  <si>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</si>
  <si>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</si>
  <si>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</si>
  <si>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</si>
  <si>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</si>
  <si>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</si>
  <si>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</si>
  <si>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</si>
  <si>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</si>
  <si>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</si>
  <si>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</si>
  <si>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</si>
  <si>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</si>
  <si>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</si>
  <si>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</si>
  <si>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</si>
  <si>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</si>
  <si>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</si>
  <si>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</si>
  <si>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</si>
  <si>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</si>
  <si>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</si>
  <si>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</si>
  <si>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</si>
  <si>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</si>
  <si>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</si>
  <si>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</si>
  <si>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</si>
  <si>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</si>
  <si>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</si>
  <si>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</si>
  <si>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</si>
  <si>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</si>
  <si>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</si>
  <si>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</si>
  <si>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</si>
  <si>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</si>
  <si>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</si>
  <si>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</si>
  <si>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</si>
  <si>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</si>
  <si>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</si>
  <si>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</si>
  <si>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</si>
  <si>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</si>
  <si>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</si>
  <si>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</si>
  <si>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</si>
  <si>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</si>
  <si>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</si>
  <si>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</si>
  <si>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</si>
  <si>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</si>
  <si>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</si>
  <si>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</si>
  <si>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</si>
  <si>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</si>
  <si>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</si>
  <si>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</si>
  <si>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</si>
  <si>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</si>
  <si>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</si>
  <si>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</si>
  <si>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</si>
  <si>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</si>
  <si>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</si>
  <si>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</si>
  <si>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</si>
  <si>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</si>
  <si>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</si>
  <si>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</si>
  <si>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</si>
  <si>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</si>
  <si>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</si>
  <si>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</si>
  <si>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</si>
  <si>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</si>
  <si>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</si>
  <si>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</si>
  <si>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</si>
  <si>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</si>
  <si>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</si>
  <si>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</si>
  <si>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</si>
  <si>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</si>
  <si>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</si>
  <si>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</si>
  <si>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</si>
  <si>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</si>
  <si>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</si>
  <si>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</si>
  <si>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</si>
  <si>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</si>
  <si>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</si>
  <si>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</si>
  <si>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</si>
  <si>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</si>
  <si>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</si>
  <si>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</si>
  <si>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</si>
  <si>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</si>
  <si>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</si>
  <si>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</si>
  <si>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</si>
  <si>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</si>
  <si>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</si>
  <si>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</si>
  <si>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</si>
  <si>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</si>
  <si>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</si>
  <si>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</si>
  <si>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</si>
  <si>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</si>
  <si>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</si>
  <si>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</si>
  <si>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</si>
  <si>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</si>
  <si>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</si>
  <si>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</si>
  <si>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</si>
  <si>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</si>
  <si>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</si>
  <si>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</si>
  <si>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</si>
  <si>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</si>
  <si>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</si>
  <si>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</si>
  <si>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</si>
  <si>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</si>
  <si>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</si>
  <si>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</si>
  <si>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</si>
  <si>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</si>
  <si>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</si>
  <si>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</si>
  <si>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</si>
  <si>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</si>
  <si>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</si>
  <si>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</si>
  <si>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</si>
  <si>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</si>
  <si>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</si>
  <si>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</si>
  <si>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</si>
  <si>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</si>
  <si>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</si>
  <si>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</si>
  <si>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</si>
  <si>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</si>
  <si>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</si>
  <si>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</si>
  <si>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</si>
  <si>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</si>
  <si>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</si>
  <si>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</si>
  <si>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</si>
  <si>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</si>
  <si>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</si>
  <si>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</si>
  <si>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</si>
  <si>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</si>
  <si>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</si>
  <si>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</si>
  <si>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</si>
  <si>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</si>
  <si>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</si>
  <si>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</si>
  <si>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</si>
  <si>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</si>
  <si>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</si>
  <si>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</si>
  <si>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</si>
  <si>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</si>
  <si>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</si>
  <si>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</si>
  <si>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</si>
  <si>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</si>
  <si>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</si>
  <si>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</si>
  <si>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</si>
  <si>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</si>
  <si>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</si>
  <si>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</si>
  <si>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</si>
  <si>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</si>
  <si>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</si>
  <si>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</si>
  <si>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</si>
  <si>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</si>
  <si>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</si>
  <si>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</si>
  <si>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</si>
  <si>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</si>
  <si>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</si>
  <si>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</si>
  <si>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</si>
  <si>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</si>
  <si>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</si>
  <si>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</si>
  <si>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</si>
  <si>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</si>
  <si>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</si>
  <si>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</si>
  <si>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</si>
  <si>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</si>
  <si>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</si>
  <si>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</si>
  <si>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</si>
  <si>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</si>
  <si>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</si>
  <si>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</si>
  <si>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</si>
  <si>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</si>
  <si>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</si>
  <si>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</si>
  <si>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</si>
  <si>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</si>
  <si>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</si>
  <si>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</si>
  <si>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</si>
  <si>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</si>
  <si>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</si>
  <si>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</si>
  <si>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</si>
  <si>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</si>
  <si>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</si>
  <si>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</si>
  <si>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</si>
  <si>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</si>
  <si>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</si>
  <si>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</si>
  <si>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</si>
  <si>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</si>
  <si>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</si>
  <si>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</si>
  <si>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</si>
  <si>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</si>
  <si>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</si>
  <si>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</si>
  <si>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</si>
  <si>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</si>
  <si>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</si>
  <si>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</si>
  <si>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</si>
  <si>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</si>
  <si>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</si>
  <si>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</si>
  <si>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</si>
  <si>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</si>
  <si>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</si>
  <si>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</si>
  <si>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</si>
  <si>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</si>
  <si>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</si>
  <si>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</si>
  <si>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</si>
  <si>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</si>
  <si>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</si>
  <si>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</si>
  <si>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</si>
  <si>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</si>
  <si>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</si>
  <si>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</si>
  <si>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</si>
  <si>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</si>
  <si>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</si>
  <si>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</si>
  <si>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</si>
  <si>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</si>
  <si>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</si>
  <si>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</si>
  <si>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</si>
  <si>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</si>
  <si>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</si>
  <si>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</si>
  <si>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</si>
  <si>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</si>
  <si>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</si>
  <si>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</si>
  <si>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</si>
  <si>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</si>
  <si>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</si>
  <si>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</si>
  <si>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</si>
  <si>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</si>
  <si>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</si>
  <si>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</si>
  <si>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</si>
  <si>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</si>
  <si>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</si>
  <si>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</si>
  <si>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</si>
  <si>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</si>
  <si>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</si>
  <si>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</si>
  <si>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</si>
  <si>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</si>
  <si>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</si>
  <si>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</si>
  <si>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</si>
  <si>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</si>
  <si>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</si>
  <si>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</si>
  <si>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</si>
  <si>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</si>
  <si>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</si>
  <si>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</si>
  <si>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</si>
  <si>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</si>
  <si>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</si>
  <si>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</si>
  <si>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</si>
  <si>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</si>
  <si>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</si>
  <si>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</si>
  <si>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</si>
  <si>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</si>
  <si>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</si>
  <si>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</si>
  <si>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</si>
  <si>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</si>
  <si>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</si>
  <si>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</si>
  <si>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</si>
  <si>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</si>
  <si>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</si>
  <si>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</si>
  <si>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</si>
  <si>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</si>
  <si>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</si>
  <si>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</si>
  <si>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</si>
  <si>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</si>
  <si>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</si>
  <si>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</si>
  <si>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</si>
  <si>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</si>
  <si>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</si>
  <si>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</si>
  <si>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</si>
  <si>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</si>
  <si>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</si>
  <si>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</si>
  <si>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</si>
  <si>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</si>
  <si>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</si>
  <si>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</si>
  <si>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</si>
  <si>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</si>
  <si>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</si>
  <si>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</si>
  <si>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</si>
  <si>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</si>
  <si>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</si>
  <si>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</si>
  <si>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</si>
  <si>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</si>
  <si>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</si>
  <si>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</si>
  <si>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</si>
  <si>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</si>
  <si>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</si>
  <si>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</si>
  <si>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</si>
  <si>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</si>
  <si>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</si>
  <si>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</si>
  <si>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</si>
  <si>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</si>
  <si>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</si>
  <si>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</si>
  <si>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</si>
  <si>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</si>
  <si>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</si>
  <si>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</si>
  <si>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</si>
  <si>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</si>
  <si>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</si>
  <si>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</si>
  <si>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</si>
  <si>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</si>
  <si>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</si>
  <si>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</si>
  <si>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</si>
  <si>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</si>
  <si>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</si>
  <si>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</si>
  <si>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</si>
  <si>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</si>
  <si>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</si>
  <si>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</si>
  <si>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</si>
  <si>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</si>
  <si>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</si>
  <si>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</si>
  <si>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</si>
  <si>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</si>
  <si>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</si>
  <si>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</si>
  <si>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</si>
  <si>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</si>
  <si>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</si>
  <si>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</si>
  <si>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</si>
  <si>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</si>
  <si>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</si>
  <si>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</si>
  <si>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</si>
  <si>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</si>
  <si>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</si>
  <si>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</si>
  <si>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</si>
  <si>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</si>
  <si>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</si>
  <si>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</si>
  <si>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</si>
  <si>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</si>
  <si>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</si>
  <si>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</si>
  <si>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</si>
  <si>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</si>
  <si>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</si>
  <si>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</si>
  <si>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</si>
  <si>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</si>
  <si>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</si>
  <si>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</si>
  <si>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</si>
  <si>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</si>
  <si>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</si>
  <si>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</si>
  <si>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</si>
  <si>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</si>
  <si>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</si>
  <si>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</si>
  <si>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</si>
  <si>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</si>
  <si>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</si>
  <si>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</si>
  <si>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</si>
  <si>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</si>
  <si>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</si>
  <si>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</si>
  <si>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</si>
  <si>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</si>
  <si>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</si>
  <si>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</si>
  <si>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</si>
  <si>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</si>
  <si>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</si>
  <si>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</si>
  <si>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</si>
  <si>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</si>
  <si>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</si>
  <si>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</si>
  <si>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</si>
  <si>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</si>
  <si>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</si>
  <si>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</si>
  <si>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</si>
  <si>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</si>
  <si>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</si>
  <si>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</si>
  <si>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</si>
  <si>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</si>
  <si>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</si>
  <si>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</si>
  <si>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</si>
  <si>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</si>
  <si>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</si>
  <si>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</si>
  <si>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</si>
  <si>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</si>
  <si>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</si>
  <si>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</si>
  <si>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</si>
  <si>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</si>
  <si>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</si>
  <si>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</si>
  <si>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</si>
  <si>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</si>
  <si>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</si>
  <si>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</si>
  <si>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</si>
  <si>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</si>
  <si>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</si>
  <si>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</si>
  <si>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</si>
  <si>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</si>
  <si>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</si>
  <si>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</si>
  <si>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</si>
  <si>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</si>
  <si>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</si>
  <si>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</si>
  <si>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</si>
  <si>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</si>
  <si>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</si>
  <si>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</si>
  <si>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</si>
  <si>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</si>
  <si>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</si>
  <si>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</si>
  <si>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</si>
  <si>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</si>
  <si>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</si>
  <si>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</si>
  <si>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</si>
  <si>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</si>
  <si>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</si>
  <si>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</si>
  <si>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</si>
  <si>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</si>
  <si>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</si>
  <si>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</si>
  <si>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</si>
  <si>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</si>
  <si>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</si>
  <si>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</si>
  <si>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</si>
  <si>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</si>
  <si>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</si>
  <si>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</si>
  <si>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</si>
  <si>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</si>
  <si>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</si>
  <si>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</si>
  <si>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</si>
  <si>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</si>
  <si>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</si>
  <si>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</si>
  <si>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</si>
  <si>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</si>
  <si>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</si>
  <si>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</si>
  <si>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</si>
  <si>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</si>
  <si>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</si>
  <si>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</si>
  <si>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</si>
  <si>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</si>
  <si>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</si>
  <si>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</si>
  <si>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</si>
  <si>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</si>
  <si>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</si>
  <si>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</si>
  <si>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</si>
  <si>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</si>
  <si>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</si>
  <si>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</si>
  <si>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</si>
  <si>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</si>
  <si>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</si>
  <si>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</si>
  <si>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</si>
  <si>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</si>
  <si>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</si>
  <si>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</si>
  <si>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</si>
  <si>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</si>
  <si>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</si>
  <si>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</si>
  <si>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</si>
  <si>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</si>
  <si>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</si>
  <si>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</si>
  <si>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</si>
  <si>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</si>
  <si>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</si>
  <si>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</si>
  <si>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</si>
  <si>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</si>
  <si>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</si>
  <si>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</si>
  <si>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</si>
  <si>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</si>
  <si>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</si>
  <si>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</si>
  <si>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</si>
  <si>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</si>
  <si>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</si>
  <si>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</si>
  <si>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</si>
  <si>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</si>
  <si>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</si>
  <si>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</si>
  <si>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</si>
  <si>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</si>
  <si>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</si>
  <si>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</si>
  <si>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</si>
  <si>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</si>
  <si>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</si>
  <si>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</si>
  <si>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</si>
  <si>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</si>
  <si>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</si>
  <si>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</si>
  <si>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</si>
  <si>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</si>
  <si>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</si>
  <si>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</si>
  <si>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</si>
  <si>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</si>
  <si>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</si>
  <si>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</si>
  <si>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</si>
  <si>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</si>
  <si>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</si>
  <si>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</si>
  <si>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</si>
  <si>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</si>
  <si>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</si>
  <si>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</si>
  <si>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</si>
  <si>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</si>
  <si>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</si>
  <si>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</si>
  <si>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</si>
  <si>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</si>
  <si>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</si>
  <si>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</si>
  <si>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</si>
  <si>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</si>
  <si>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</si>
  <si>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</si>
  <si>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</si>
  <si>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</si>
  <si>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</si>
  <si>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</si>
  <si>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</si>
  <si>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</si>
  <si>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</si>
  <si>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</si>
  <si>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</si>
  <si>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</si>
  <si>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</si>
  <si>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</si>
  <si>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</si>
  <si>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</si>
  <si>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</si>
  <si>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</si>
  <si>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</si>
  <si>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</si>
  <si>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</si>
  <si>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</si>
  <si>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</si>
  <si>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</si>
  <si>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</si>
  <si>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</si>
  <si>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</si>
  <si>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</si>
  <si>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</si>
  <si>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</si>
  <si>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</si>
  <si>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</si>
  <si>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</si>
  <si>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</si>
  <si>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</si>
  <si>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</si>
  <si>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</si>
  <si>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</si>
  <si>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</si>
  <si>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</si>
  <si>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</si>
  <si>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</si>
  <si>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</si>
  <si>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</si>
  <si>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</si>
  <si>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</si>
  <si>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</si>
  <si>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</si>
  <si>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</si>
  <si>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</si>
  <si>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</si>
  <si>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</si>
  <si>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</si>
  <si>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</si>
  <si>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</si>
  <si>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</si>
  <si>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</si>
  <si>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</si>
  <si>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</si>
  <si>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</si>
  <si>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</si>
  <si>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</si>
  <si>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</si>
  <si>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</si>
  <si>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</si>
  <si>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</si>
  <si>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</si>
  <si>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</si>
  <si>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</si>
  <si>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</si>
  <si>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</si>
  <si>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</si>
  <si>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</si>
  <si>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</si>
  <si>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</si>
  <si>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</si>
  <si>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</si>
  <si>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</si>
  <si>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</si>
  <si>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</si>
  <si>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</si>
  <si>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</si>
  <si>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</si>
  <si>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</si>
  <si>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</si>
  <si>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</si>
  <si>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</si>
  <si>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</si>
  <si>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</si>
  <si>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</si>
  <si>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</si>
  <si>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</si>
  <si>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</si>
  <si>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</si>
  <si>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</si>
  <si>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</si>
  <si>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</si>
  <si>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</si>
  <si>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</si>
  <si>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</si>
  <si>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</si>
  <si>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</si>
  <si>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</si>
  <si>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</si>
  <si>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</si>
  <si>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</si>
  <si>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</si>
  <si>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</si>
  <si>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</si>
  <si>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</si>
  <si>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</si>
  <si>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</si>
  <si>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</si>
  <si>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</si>
  <si>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</si>
  <si>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</si>
  <si>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</si>
  <si>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</si>
  <si>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</si>
  <si>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</si>
  <si>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</si>
  <si>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</si>
  <si>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</si>
  <si>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</si>
  <si>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</si>
  <si>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</si>
  <si>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</si>
  <si>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</si>
  <si>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</si>
  <si>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</si>
  <si>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</si>
  <si>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</si>
  <si>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</si>
  <si>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</si>
  <si>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</si>
  <si>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</si>
  <si>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</si>
  <si>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</si>
  <si>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</si>
  <si>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</si>
  <si>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</si>
  <si>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</si>
  <si>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</si>
  <si>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</si>
  <si>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</si>
  <si>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</si>
  <si>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</si>
  <si>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</si>
  <si>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</si>
  <si>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</si>
  <si>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</si>
  <si>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</si>
  <si>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</si>
  <si>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</si>
  <si>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</si>
  <si>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</si>
  <si>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</si>
  <si>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</si>
  <si>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</si>
  <si>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</si>
  <si>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</si>
  <si>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</si>
  <si>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</si>
  <si>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</si>
  <si>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</si>
  <si>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</si>
  <si>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</si>
  <si>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</si>
  <si>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</si>
  <si>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</si>
  <si>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</si>
  <si>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</si>
  <si>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</si>
  <si>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</si>
  <si>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</si>
  <si>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</si>
  <si>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</si>
  <si>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</si>
  <si>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</si>
  <si>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</si>
  <si>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</si>
  <si>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</si>
  <si>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</si>
  <si>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</si>
  <si>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</si>
  <si>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</si>
  <si>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</si>
  <si>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</si>
  <si>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</si>
  <si>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</si>
  <si>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</si>
  <si>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</si>
  <si>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</si>
  <si>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</si>
  <si>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</si>
  <si>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</si>
  <si>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</si>
  <si>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</si>
  <si>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</si>
  <si>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</si>
  <si>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</si>
  <si>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</si>
  <si>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MACOUPIN</t>
  </si>
  <si>
    <t>510 W. ELM</t>
  </si>
  <si>
    <t>GILLESPIE</t>
  </si>
  <si>
    <t>LOY MILLER TALLEY, PC</t>
  </si>
  <si>
    <t>KENNETH E. LOY, CPA</t>
  </si>
  <si>
    <t>#2 CROSSROADS CT</t>
  </si>
  <si>
    <t>ALTON</t>
  </si>
  <si>
    <t>IL</t>
  </si>
  <si>
    <t>618-465-1196</t>
  </si>
  <si>
    <t>618-465-2900</t>
  </si>
  <si>
    <t>060-003363</t>
  </si>
  <si>
    <t>KEN@LMTCPAS.COM</t>
  </si>
  <si>
    <t>JOE TIEMAN</t>
  </si>
  <si>
    <t>JTIEMAN@CUSD7.ORG</t>
  </si>
  <si>
    <t>217-839-2464</t>
  </si>
  <si>
    <t>217-839-3353</t>
  </si>
  <si>
    <t>MICHELLE MUELLER</t>
  </si>
  <si>
    <t>MMUELLER@ROE40.COM</t>
  </si>
  <si>
    <t>217-854-4016</t>
  </si>
  <si>
    <t>217-854-2032</t>
  </si>
  <si>
    <t>2008 REFUNDING BONDS</t>
  </si>
  <si>
    <t>2017B REFUNDING BONDS</t>
  </si>
  <si>
    <t>2017C REFUNDING BONDS</t>
  </si>
  <si>
    <t>2017 LIMITED OBLIGATION BONDS</t>
  </si>
  <si>
    <t>2017D REFUNDING BONDS</t>
  </si>
  <si>
    <t>PCM FINANCIAL SERVICE</t>
  </si>
  <si>
    <t>UNITED COMMUNITY BANK</t>
  </si>
  <si>
    <t>LENOVA FINANCIAL SERVICE</t>
  </si>
  <si>
    <t>EQUIPMENT LEASE</t>
  </si>
  <si>
    <t>RENOVATION LOAN</t>
  </si>
  <si>
    <t>EQUIPMENT LOAN</t>
  </si>
  <si>
    <t>10-1690 $16,175 CAFÉ MILK</t>
  </si>
  <si>
    <t>10-1719 $5,043 OTHER ATHLETICS ADMISSIONS</t>
  </si>
  <si>
    <t>10-1999 $25,000 PRIVATE DONATION, $36,782 OTHER</t>
  </si>
  <si>
    <t>20-1999 $6,067 MISC BUILDING FEES</t>
  </si>
  <si>
    <t>40-1999 $4304 MISC TRANSPORTATION FEES</t>
  </si>
  <si>
    <t>US DEPARTMENT OF AGRICULTURE:</t>
  </si>
  <si>
    <t xml:space="preserve"> (M) NATIONAL SCHOOL LUNCH PROGRAM</t>
  </si>
  <si>
    <t xml:space="preserve">      NATIONAL SCHOOL LUNCH PROGRAM</t>
  </si>
  <si>
    <t xml:space="preserve"> (M)   SCHOOL BREAKFAST PROGRAM</t>
  </si>
  <si>
    <t xml:space="preserve">  SCHOOL BREAKFAST PROGRAM</t>
  </si>
  <si>
    <t xml:space="preserve">  COMMODITIES (NON-CASH)</t>
  </si>
  <si>
    <t xml:space="preserve">(M) SUMMER FOOD SERVICE PROGRAM </t>
  </si>
  <si>
    <t>TOTAL US DEPARTMENT OF AGRICULTURE:</t>
  </si>
  <si>
    <t>19-4210-00</t>
  </si>
  <si>
    <t>18-4210-00</t>
  </si>
  <si>
    <t>19-4220-00</t>
  </si>
  <si>
    <t>18-4220-00</t>
  </si>
  <si>
    <t>TOTAL CHILD NUTRITION CLUSTER</t>
  </si>
  <si>
    <t>18-4225-00</t>
  </si>
  <si>
    <t>N/A</t>
  </si>
  <si>
    <t>UL.S. DEPARTMENT OF EDUCATION PASS-THROUGH</t>
  </si>
  <si>
    <t>PROGRAMS FROM ILLINOIS STATE BOARD OF EDUCATION:</t>
  </si>
  <si>
    <t>(M) TITLE I - LOW INCOME</t>
  </si>
  <si>
    <t>19-4300-00</t>
  </si>
  <si>
    <t>18-4300-00</t>
  </si>
  <si>
    <t>TITLE II - TEACHER QUALITY</t>
  </si>
  <si>
    <t>19-4932-00</t>
  </si>
  <si>
    <t>18-4932-00</t>
  </si>
  <si>
    <t>TITLE IVA - STUDENT SUPPORT &amp; ACADEMIC ENRICHMENT</t>
  </si>
  <si>
    <t>19-4400-00</t>
  </si>
  <si>
    <t>TOTAL U.S. DEPARTMENT OF EDUCATION - PASS-THROUGH PROGRAMS</t>
  </si>
  <si>
    <t>TITLE I - LOW INCOME</t>
  </si>
  <si>
    <t>TITLE V - RURAL EDUCATION INITIATIVE</t>
  </si>
  <si>
    <t>19-4107-00</t>
  </si>
  <si>
    <t>18-4107-00</t>
  </si>
  <si>
    <t>TITLE I - SCHOOL IMPROVEMENT &amp; ACCOUNTABILITY</t>
  </si>
  <si>
    <t>19-4331-00</t>
  </si>
  <si>
    <t>US DEPARTMENT OF HEALTH &amp; HUMAN SERVICES:</t>
  </si>
  <si>
    <t>PASS-THROUGH ILLINOIS DEPARTMENT OF HEALTHCARE &amp; FAMILY SERVICES</t>
  </si>
  <si>
    <t xml:space="preserve">  MEDICAID ADMINISTRATIVE OUTREACH</t>
  </si>
  <si>
    <t>93-778</t>
  </si>
  <si>
    <t xml:space="preserve">    TOTAL US DEPARTMENT OF HEALT H &amp; HUMAN SERVICES</t>
  </si>
  <si>
    <t>19-4991-00</t>
  </si>
  <si>
    <t>OTHER PASS-THROUGH ENTITIES -</t>
  </si>
  <si>
    <t>PASS-TRHOUGH FROM SPECIAL EDUCATION REGION 3:</t>
  </si>
  <si>
    <t>IDEA FLOW-THROUGH FED</t>
  </si>
  <si>
    <t>TOTAL PASS THROUGH SPECIAL EDUCATION</t>
  </si>
  <si>
    <t>PASS-THROUGH PROGRAMS FROM MAC. COUNTY REGIONAL VOCATION ED. COOP.</t>
  </si>
  <si>
    <t>PERKINS TITLE IIC</t>
  </si>
  <si>
    <t xml:space="preserve"> TOTAL PASS-THROUGH MACOUPIN COUNTY</t>
  </si>
  <si>
    <t>TOTAL OTHER PASS-THROUGH ENTITIES</t>
  </si>
  <si>
    <t>19-4620-00</t>
  </si>
  <si>
    <t>19-4600-00</t>
  </si>
  <si>
    <t>19-4745-00</t>
  </si>
  <si>
    <t>IDEA PRESCHOOL</t>
  </si>
  <si>
    <t>IDEA ROOM &amp; BOARD</t>
  </si>
  <si>
    <t>19-4625-00</t>
  </si>
  <si>
    <t>TOTAL FEDERAL FUNDS:</t>
  </si>
  <si>
    <t>PASS-THROUGH ILLINOIS STATE BOARD OF EDUCATION</t>
  </si>
  <si>
    <t xml:space="preserve">  PASS-THROUGH DEPARTMENT OF HEALTH &amp; HUMAN SERVICES</t>
  </si>
  <si>
    <t>PASS-THROUGH OTHER ENTITIES</t>
  </si>
  <si>
    <t>TOTAL FEDERAL FUNDS</t>
  </si>
  <si>
    <t>NO FEDERAL AWARDS WERE PROVIDED TO SUBRECIPIENTS</t>
  </si>
  <si>
    <r>
      <t xml:space="preserve">Of the federal expenditures presented in the schedule, </t>
    </r>
    <r>
      <rPr>
        <b/>
        <sz val="9"/>
        <rFont val="Calibri"/>
        <family val="2"/>
        <scheme val="minor"/>
      </rPr>
      <t>Gillespie Community School District #7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</si>
  <si>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Gillespie Community School District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</si>
  <si>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Gillespie Community School District #7</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</si>
  <si>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t>
  </si>
  <si>
    <t>UNMODIFIED</t>
  </si>
  <si>
    <t>NATIONAL SCHOOL LUNCH PROGRAM</t>
  </si>
  <si>
    <t>SCHOOL BREAKFAST PROGRAM</t>
  </si>
  <si>
    <t xml:space="preserve">SUMMER FOOD SERVICE PROGRAM </t>
  </si>
  <si>
    <t>NO FINDINGS FOR FISCAL YEAR ENDED JUNE 30, 2019</t>
  </si>
  <si>
    <t>2018-001</t>
  </si>
  <si>
    <t xml:space="preserve">ADEQUATE TRAINING FOR FOOD SERVICES </t>
  </si>
  <si>
    <t>CORRECTED</t>
  </si>
  <si>
    <t>DIRECTOR, MANAGER, STAFF, AND EMPLOYEES</t>
  </si>
  <si>
    <t>OUTSIDE OF THE SCHOOL NUTRITION PROGRAMS</t>
  </si>
  <si>
    <t>(WHOSE RESPONSIBILITIES INCLUDE DUTIES RELATED</t>
  </si>
  <si>
    <t>T0 THE SNP) WERE NOT BEING MET.</t>
  </si>
  <si>
    <t xml:space="preserve">LONG TERM DEBT ISSUANCE DOES NOT EQUAL DEBT ISSUANCE SOLD BECAUSE OF NEW BANK LOAN AND CAPITAL LEASE PROCEEDS IN THE AMOUNT OF $1,013,375.  </t>
  </si>
  <si>
    <t>Gillespie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</si>
</sst>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55" fillId="0" borderId="0" xfId="0" applyFont="1" applyAlignment="1">
      <alignment horizontal="left" wrapText="1"/>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389659</xdr:colOff>
          <xdr:row>3</xdr:row>
          <xdr:rowOff>69273</xdr:rowOff>
        </xdr:from>
        <xdr:to>
          <xdr:col>1</xdr:col>
          <xdr:colOff>1304059</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997C0DB-3612-4D22-9D5D-0BA16FD868C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48"/>
  <sheetViews>
    <sheetView showGridLines="0" tabSelected="1" zoomScale="110" zoomScaleNormal="110" workbookViewId="0">
      <selection activeCell="F18" sqref="F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3" t="s">
        <v>404</v>
      </c>
      <c r="J1" s="2014"/>
      <c r="K1" s="2014"/>
      <c r="L1" s="2014"/>
      <c r="M1" s="2014"/>
      <c r="N1" s="2014"/>
      <c r="O1" s="2014"/>
      <c r="P1" s="2014"/>
      <c r="Q1" s="2014"/>
      <c r="R1" s="2014"/>
      <c r="S1" s="2014"/>
    </row>
    <row r="2" spans="1:28" ht="12" customHeight="1" x14ac:dyDescent="0.2">
      <c r="A2" s="47" t="s">
        <v>1989</v>
      </c>
      <c r="D2" s="48"/>
      <c r="I2" s="2015" t="s">
        <v>978</v>
      </c>
      <c r="J2" s="2014"/>
      <c r="K2" s="2014"/>
      <c r="L2" s="2014"/>
      <c r="M2" s="2014"/>
      <c r="N2" s="2014"/>
      <c r="O2" s="2014"/>
      <c r="P2" s="2014"/>
      <c r="Q2" s="2014"/>
      <c r="R2" s="2014"/>
      <c r="S2" s="2014"/>
    </row>
    <row r="3" spans="1:28" ht="12" customHeight="1" x14ac:dyDescent="0.2">
      <c r="A3" s="155" t="s">
        <v>1941</v>
      </c>
      <c r="B3" s="156"/>
      <c r="C3" s="156"/>
      <c r="D3" s="157"/>
      <c r="I3" s="2015" t="s">
        <v>52</v>
      </c>
      <c r="J3" s="2014"/>
      <c r="K3" s="2014"/>
      <c r="L3" s="2014"/>
      <c r="M3" s="2014"/>
      <c r="N3" s="2014"/>
      <c r="O3" s="2014"/>
      <c r="P3" s="2014"/>
      <c r="Q3" s="2014"/>
      <c r="R3" s="2014"/>
      <c r="S3" s="2014"/>
    </row>
    <row r="4" spans="1:28" ht="12" customHeight="1" x14ac:dyDescent="0.2">
      <c r="A4" s="37"/>
      <c r="I4" s="2015" t="s">
        <v>523</v>
      </c>
      <c r="J4" s="2014"/>
      <c r="K4" s="2014"/>
      <c r="L4" s="2014"/>
      <c r="M4" s="2014"/>
      <c r="N4" s="2014"/>
      <c r="O4" s="2014"/>
      <c r="P4" s="2014"/>
      <c r="Q4" s="2014"/>
      <c r="R4" s="2014"/>
      <c r="S4" s="2014"/>
    </row>
    <row r="5" spans="1:28" ht="14.1" customHeight="1" x14ac:dyDescent="0.2">
      <c r="B5" s="104" t="s">
        <v>2060</v>
      </c>
      <c r="C5" s="26" t="s">
        <v>909</v>
      </c>
      <c r="D5" s="84"/>
      <c r="E5" s="84"/>
      <c r="H5" s="38"/>
      <c r="I5" s="2022" t="s">
        <v>679</v>
      </c>
      <c r="J5" s="1967"/>
      <c r="K5" s="1967"/>
      <c r="L5" s="1967"/>
      <c r="M5" s="1967"/>
      <c r="N5" s="1967"/>
      <c r="O5" s="1967"/>
      <c r="P5" s="1967"/>
      <c r="Q5" s="1967"/>
      <c r="R5" s="1967"/>
      <c r="S5" s="1967"/>
    </row>
    <row r="6" spans="1:28" ht="14.1" customHeight="1" x14ac:dyDescent="0.2">
      <c r="B6" s="104"/>
      <c r="C6" s="26" t="s">
        <v>910</v>
      </c>
      <c r="D6" s="84"/>
      <c r="E6" s="84"/>
      <c r="I6" s="2021" t="s">
        <v>882</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673</v>
      </c>
      <c r="J9" s="2019"/>
      <c r="K9" s="2019"/>
      <c r="L9" s="2019"/>
      <c r="M9" s="2019"/>
      <c r="N9" s="2019"/>
      <c r="O9" s="2019"/>
      <c r="P9" s="2019"/>
      <c r="Q9" s="2019"/>
      <c r="R9" s="2019"/>
      <c r="S9" s="2020"/>
      <c r="T9" s="1963" t="s">
        <v>532</v>
      </c>
      <c r="U9" s="1964"/>
      <c r="V9" s="1964"/>
      <c r="W9" s="1964"/>
      <c r="X9" s="1964"/>
      <c r="Y9" s="1964"/>
      <c r="Z9" s="1964"/>
      <c r="AA9" s="1965"/>
    </row>
    <row r="10" spans="1:28" ht="13.5" customHeight="1" x14ac:dyDescent="0.2">
      <c r="A10" s="1972" t="s">
        <v>674</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954</v>
      </c>
      <c r="B11" s="1976"/>
      <c r="C11" s="1976"/>
      <c r="D11" s="1976"/>
      <c r="E11" s="1976"/>
      <c r="F11" s="1976"/>
      <c r="G11" s="1976"/>
      <c r="H11" s="1977"/>
      <c r="I11" s="27"/>
      <c r="J11" s="74"/>
      <c r="K11" s="27"/>
      <c r="O11" s="148" t="s">
        <v>2060</v>
      </c>
      <c r="P11" s="100" t="s">
        <v>201</v>
      </c>
      <c r="Q11" s="30"/>
      <c r="R11" s="28"/>
      <c r="S11" s="27"/>
      <c r="T11" s="1969"/>
      <c r="U11" s="1970"/>
      <c r="V11" s="1970"/>
      <c r="W11" s="1970"/>
      <c r="X11" s="1970"/>
      <c r="Y11" s="1970"/>
      <c r="Z11" s="1970"/>
      <c r="AA11" s="197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3">
        <v>40056007026</v>
      </c>
      <c r="B13" s="1984"/>
      <c r="C13" s="1984"/>
      <c r="D13" s="1984"/>
      <c r="E13" s="1984"/>
      <c r="F13" s="1984"/>
      <c r="G13" s="1984"/>
      <c r="H13" s="1985"/>
      <c r="I13" s="31"/>
      <c r="J13" s="30"/>
      <c r="K13" s="28"/>
      <c r="L13" s="30"/>
      <c r="M13" s="30"/>
      <c r="N13" s="30"/>
      <c r="O13" s="30"/>
      <c r="P13" s="30"/>
      <c r="Q13" s="30"/>
      <c r="R13" s="30"/>
      <c r="S13" s="30"/>
      <c r="T13" s="1988" t="s">
        <v>2064</v>
      </c>
      <c r="U13" s="1989"/>
      <c r="V13" s="1989"/>
      <c r="W13" s="1989"/>
      <c r="X13" s="1989"/>
      <c r="Y13" s="1990"/>
      <c r="Z13" s="1990"/>
      <c r="AA13" s="199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1" t="s">
        <v>2061</v>
      </c>
      <c r="B15" s="1986"/>
      <c r="C15" s="1986"/>
      <c r="D15" s="1986"/>
      <c r="E15" s="1986"/>
      <c r="F15" s="1986"/>
      <c r="G15" s="1986"/>
      <c r="H15" s="1987"/>
      <c r="T15" s="1949" t="s">
        <v>2065</v>
      </c>
      <c r="U15" s="1950"/>
      <c r="V15" s="1950"/>
      <c r="W15" s="1950"/>
      <c r="X15" s="1950"/>
      <c r="Y15" s="1992"/>
      <c r="Z15" s="1992"/>
      <c r="AA15" s="199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1" t="s">
        <v>2172</v>
      </c>
      <c r="B17" s="2011"/>
      <c r="C17" s="2011"/>
      <c r="D17" s="2011"/>
      <c r="E17" s="2011"/>
      <c r="F17" s="2011"/>
      <c r="G17" s="2011"/>
      <c r="H17" s="2012"/>
      <c r="T17" s="1998" t="s">
        <v>2066</v>
      </c>
      <c r="U17" s="1999"/>
      <c r="V17" s="1999"/>
      <c r="W17" s="1999"/>
      <c r="X17" s="1999"/>
      <c r="Y17" s="1999"/>
      <c r="Z17" s="1999"/>
      <c r="AA17" s="2000"/>
    </row>
    <row r="18" spans="1:27" ht="13.5" customHeight="1" x14ac:dyDescent="0.2">
      <c r="A18" s="85" t="s">
        <v>529</v>
      </c>
      <c r="B18" s="76"/>
      <c r="C18" s="72"/>
      <c r="D18" s="76"/>
      <c r="E18" s="76"/>
      <c r="F18" s="76"/>
      <c r="G18" s="76"/>
      <c r="H18" s="56"/>
      <c r="I18" s="2008" t="s">
        <v>675</v>
      </c>
      <c r="J18" s="2009"/>
      <c r="K18" s="2009"/>
      <c r="L18" s="2009"/>
      <c r="M18" s="2009"/>
      <c r="N18" s="2009"/>
      <c r="O18" s="2009"/>
      <c r="P18" s="2009"/>
      <c r="Q18" s="2009"/>
      <c r="R18" s="2009"/>
      <c r="S18" s="2010"/>
      <c r="T18" s="85" t="s">
        <v>710</v>
      </c>
      <c r="U18" s="51"/>
      <c r="V18" s="72"/>
      <c r="W18" s="50"/>
      <c r="X18" s="85" t="s">
        <v>265</v>
      </c>
      <c r="Y18" s="81"/>
      <c r="Z18" s="159" t="s">
        <v>676</v>
      </c>
      <c r="AA18" s="46"/>
    </row>
    <row r="19" spans="1:27" ht="13.5" customHeight="1" x14ac:dyDescent="0.2">
      <c r="A19" s="1981" t="s">
        <v>2062</v>
      </c>
      <c r="B19" s="1982"/>
      <c r="C19" s="1982"/>
      <c r="D19" s="1982"/>
      <c r="E19" s="1982"/>
      <c r="F19" s="1982"/>
      <c r="G19" s="1982"/>
      <c r="H19" s="1980"/>
      <c r="I19" s="30"/>
      <c r="J19" s="99"/>
      <c r="K19" s="40"/>
      <c r="L19" s="38"/>
      <c r="M19" s="112" t="s">
        <v>314</v>
      </c>
      <c r="P19" s="27"/>
      <c r="Q19" s="27"/>
      <c r="R19" s="27"/>
      <c r="S19" s="31"/>
      <c r="T19" s="1981" t="s">
        <v>2067</v>
      </c>
      <c r="U19" s="1979"/>
      <c r="V19" s="1979"/>
      <c r="W19" s="1980"/>
      <c r="X19" s="1996" t="s">
        <v>2068</v>
      </c>
      <c r="Y19" s="1997"/>
      <c r="Z19" s="1994">
        <v>62002</v>
      </c>
      <c r="AA19" s="199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8" t="s">
        <v>2063</v>
      </c>
      <c r="B21" s="1979"/>
      <c r="C21" s="1979"/>
      <c r="D21" s="1979"/>
      <c r="E21" s="1979"/>
      <c r="F21" s="1979"/>
      <c r="G21" s="1979"/>
      <c r="H21" s="1980"/>
      <c r="I21" s="2004" t="s">
        <v>677</v>
      </c>
      <c r="J21" s="1967"/>
      <c r="K21" s="1967"/>
      <c r="L21" s="1967"/>
      <c r="M21" s="1967"/>
      <c r="N21" s="1967"/>
      <c r="O21" s="1967"/>
      <c r="P21" s="1967"/>
      <c r="Q21" s="1967"/>
      <c r="R21" s="1967"/>
      <c r="S21" s="1968"/>
      <c r="T21" s="1946" t="s">
        <v>2069</v>
      </c>
      <c r="U21" s="1947"/>
      <c r="V21" s="1947"/>
      <c r="W21" s="1947"/>
      <c r="X21" s="1960" t="s">
        <v>2070</v>
      </c>
      <c r="Y21" s="1961"/>
      <c r="Z21" s="1961"/>
      <c r="AA21" s="1962"/>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1"/>
      <c r="B23" s="2002"/>
      <c r="C23" s="2002"/>
      <c r="D23" s="2002"/>
      <c r="E23" s="2002"/>
      <c r="F23" s="2002"/>
      <c r="G23" s="2002"/>
      <c r="H23" s="2003"/>
      <c r="T23" s="1941" t="s">
        <v>2071</v>
      </c>
      <c r="U23" s="1942"/>
      <c r="V23" s="1942"/>
      <c r="W23" s="1942"/>
      <c r="X23" s="1957">
        <v>43831</v>
      </c>
      <c r="Y23" s="1958"/>
      <c r="Z23" s="1958"/>
      <c r="AA23" s="1959"/>
    </row>
    <row r="24" spans="1:27" ht="14.1" customHeight="1" x14ac:dyDescent="0.2">
      <c r="A24" s="88" t="s">
        <v>676</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530</v>
      </c>
      <c r="U24" s="106"/>
      <c r="V24" s="106"/>
      <c r="W24" s="106"/>
      <c r="X24" s="107"/>
      <c r="Y24" s="107"/>
      <c r="Z24" s="107"/>
      <c r="AA24" s="108"/>
    </row>
    <row r="25" spans="1:27" ht="14.1" customHeight="1" x14ac:dyDescent="0.2">
      <c r="A25" s="1978">
        <v>62033</v>
      </c>
      <c r="B25" s="1979"/>
      <c r="C25" s="1979"/>
      <c r="D25" s="1979"/>
      <c r="E25" s="1979"/>
      <c r="F25" s="1979"/>
      <c r="G25" s="1979"/>
      <c r="H25" s="1980"/>
      <c r="I25" s="113"/>
      <c r="J25" s="2045"/>
      <c r="K25" s="2045"/>
      <c r="L25" s="2045"/>
      <c r="M25" s="2045"/>
      <c r="N25" s="2045"/>
      <c r="O25" s="2045"/>
      <c r="P25" s="2045"/>
      <c r="Q25" s="2045"/>
      <c r="R25" s="2045"/>
      <c r="S25" s="2046"/>
      <c r="T25" s="1938" t="s">
        <v>2072</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6" t="s">
        <v>1510</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48" t="s">
        <v>2060</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1" t="s">
        <v>2073</v>
      </c>
      <c r="B38" s="2011"/>
      <c r="C38" s="2011"/>
      <c r="D38" s="2011"/>
      <c r="E38" s="2011"/>
      <c r="F38" s="1979"/>
      <c r="G38" s="1979"/>
      <c r="H38" s="1980"/>
      <c r="I38" s="2030"/>
      <c r="J38" s="1950"/>
      <c r="K38" s="1950"/>
      <c r="L38" s="1950"/>
      <c r="M38" s="1950"/>
      <c r="N38" s="1950"/>
      <c r="O38" s="1950"/>
      <c r="P38" s="1951"/>
      <c r="Q38" s="1951"/>
      <c r="R38" s="1951"/>
      <c r="S38" s="1952"/>
      <c r="T38" s="1949" t="s">
        <v>2077</v>
      </c>
      <c r="U38" s="1950"/>
      <c r="V38" s="1950"/>
      <c r="W38" s="1950"/>
      <c r="X38" s="1951"/>
      <c r="Y38" s="1951"/>
      <c r="Z38" s="1951"/>
      <c r="AA38" s="1952"/>
    </row>
    <row r="39" spans="1:27" ht="12" customHeight="1" x14ac:dyDescent="0.2">
      <c r="A39" s="2034" t="s">
        <v>530</v>
      </c>
      <c r="B39" s="2035"/>
      <c r="C39" s="72"/>
      <c r="D39" s="69"/>
      <c r="E39" s="69"/>
      <c r="F39" s="79"/>
      <c r="G39" s="69"/>
      <c r="H39" s="56"/>
      <c r="I39" s="2034" t="s">
        <v>530</v>
      </c>
      <c r="J39" s="2035"/>
      <c r="K39" s="2035"/>
      <c r="L39" s="2035"/>
      <c r="M39" s="2035"/>
      <c r="N39" s="67"/>
      <c r="O39" s="72"/>
      <c r="P39" s="72"/>
      <c r="Q39" s="78"/>
      <c r="R39" s="72"/>
      <c r="S39" s="56"/>
      <c r="T39" s="72" t="s">
        <v>530</v>
      </c>
      <c r="U39" s="51"/>
      <c r="V39" s="72"/>
      <c r="W39" s="50"/>
      <c r="X39" s="78"/>
      <c r="Y39" s="45"/>
      <c r="Z39" s="45"/>
      <c r="AA39" s="46"/>
    </row>
    <row r="40" spans="1:27" ht="13.5" customHeight="1" x14ac:dyDescent="0.2">
      <c r="A40" s="2037" t="s">
        <v>2074</v>
      </c>
      <c r="B40" s="2038"/>
      <c r="C40" s="2039"/>
      <c r="D40" s="2039"/>
      <c r="E40" s="2039"/>
      <c r="F40" s="2040"/>
      <c r="G40" s="2040"/>
      <c r="H40" s="2041"/>
      <c r="I40" s="1953"/>
      <c r="J40" s="1955"/>
      <c r="K40" s="1955"/>
      <c r="L40" s="1955"/>
      <c r="M40" s="1955"/>
      <c r="N40" s="1955"/>
      <c r="O40" s="1955"/>
      <c r="P40" s="1955"/>
      <c r="Q40" s="1955"/>
      <c r="R40" s="1955"/>
      <c r="S40" s="1956"/>
      <c r="T40" s="1953" t="s">
        <v>2078</v>
      </c>
      <c r="U40" s="1954"/>
      <c r="V40" s="1955"/>
      <c r="W40" s="1955"/>
      <c r="X40" s="1955"/>
      <c r="Y40" s="1955"/>
      <c r="Z40" s="1955"/>
      <c r="AA40" s="195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7" t="s">
        <v>2075</v>
      </c>
      <c r="B42" s="2028"/>
      <c r="C42" s="2029"/>
      <c r="D42" s="2042" t="s">
        <v>2076</v>
      </c>
      <c r="E42" s="2028"/>
      <c r="F42" s="2028"/>
      <c r="G42" s="2028"/>
      <c r="H42" s="2029"/>
      <c r="I42" s="1948"/>
      <c r="J42" s="1944"/>
      <c r="K42" s="1944"/>
      <c r="L42" s="1944"/>
      <c r="M42" s="1944"/>
      <c r="N42" s="1944"/>
      <c r="O42" s="1945"/>
      <c r="P42" s="1943"/>
      <c r="Q42" s="1944"/>
      <c r="R42" s="1944"/>
      <c r="S42" s="1945"/>
      <c r="T42" s="1948" t="s">
        <v>2079</v>
      </c>
      <c r="U42" s="1944"/>
      <c r="V42" s="1944"/>
      <c r="W42" s="1945"/>
      <c r="X42" s="1943" t="s">
        <v>2080</v>
      </c>
      <c r="Y42" s="1944"/>
      <c r="Z42" s="1944"/>
      <c r="AA42" s="194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1798</v>
      </c>
      <c r="B2" s="1528" t="s">
        <v>1947</v>
      </c>
      <c r="C2" s="714" t="s">
        <v>1948</v>
      </c>
      <c r="D2" s="714" t="s">
        <v>1949</v>
      </c>
      <c r="E2" s="714" t="s">
        <v>1950</v>
      </c>
      <c r="F2" s="714" t="s">
        <v>1951</v>
      </c>
    </row>
    <row r="3" spans="1:6" ht="12" customHeight="1" x14ac:dyDescent="0.2">
      <c r="A3" s="2181"/>
      <c r="B3" s="1525"/>
      <c r="C3" s="1526"/>
      <c r="D3" s="1527" t="s">
        <v>256</v>
      </c>
      <c r="E3" s="1526"/>
      <c r="F3" s="1527" t="s">
        <v>257</v>
      </c>
    </row>
    <row r="4" spans="1:6" ht="13.7" customHeight="1" x14ac:dyDescent="0.2">
      <c r="A4" s="715" t="s">
        <v>1154</v>
      </c>
      <c r="B4" s="1749">
        <f>'Revenues 9-14'!C5</f>
        <v>1239870</v>
      </c>
      <c r="C4" s="1524"/>
      <c r="D4" s="1752">
        <f>B4-C4</f>
        <v>1239870</v>
      </c>
      <c r="E4" s="1524">
        <v>1279941</v>
      </c>
      <c r="F4" s="1752">
        <f>E4-C4</f>
        <v>1279941</v>
      </c>
    </row>
    <row r="5" spans="1:6" ht="13.7" customHeight="1" x14ac:dyDescent="0.2">
      <c r="A5" s="715" t="s">
        <v>869</v>
      </c>
      <c r="B5" s="1750">
        <f>'Revenues 9-14'!D5</f>
        <v>320821</v>
      </c>
      <c r="C5" s="585"/>
      <c r="D5" s="1753">
        <f t="shared" ref="D5:D18" si="0">B5-C5</f>
        <v>320821</v>
      </c>
      <c r="E5" s="585">
        <v>331258</v>
      </c>
      <c r="F5" s="1753">
        <f>E5-C5</f>
        <v>331258</v>
      </c>
    </row>
    <row r="6" spans="1:6" ht="13.7" customHeight="1" x14ac:dyDescent="0.2">
      <c r="A6" s="715" t="s">
        <v>410</v>
      </c>
      <c r="B6" s="1750">
        <f>'Revenues 9-14'!E5</f>
        <v>841790</v>
      </c>
      <c r="C6" s="585"/>
      <c r="D6" s="1753">
        <f t="shared" si="0"/>
        <v>841790</v>
      </c>
      <c r="E6" s="585">
        <v>842355</v>
      </c>
      <c r="F6" s="1753">
        <f t="shared" ref="F6:F18" si="1">E6-C6</f>
        <v>842355</v>
      </c>
    </row>
    <row r="7" spans="1:6" ht="13.7" customHeight="1" x14ac:dyDescent="0.2">
      <c r="A7" s="715" t="s">
        <v>155</v>
      </c>
      <c r="B7" s="1750">
        <f>'Revenues 9-14'!F5</f>
        <v>128562</v>
      </c>
      <c r="C7" s="585"/>
      <c r="D7" s="1753">
        <f t="shared" si="0"/>
        <v>128562</v>
      </c>
      <c r="E7" s="585">
        <v>132766</v>
      </c>
      <c r="F7" s="1753">
        <f t="shared" si="1"/>
        <v>132766</v>
      </c>
    </row>
    <row r="8" spans="1:6" ht="13.7" customHeight="1" x14ac:dyDescent="0.2">
      <c r="A8" s="715" t="s">
        <v>1178</v>
      </c>
      <c r="B8" s="1750">
        <f>'Revenues 9-14'!G5</f>
        <v>86487</v>
      </c>
      <c r="C8" s="585"/>
      <c r="D8" s="1753">
        <f t="shared" si="0"/>
        <v>86487</v>
      </c>
      <c r="E8" s="585">
        <v>89190</v>
      </c>
      <c r="F8" s="1753">
        <f t="shared" si="1"/>
        <v>89190</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30095</v>
      </c>
      <c r="C10" s="585"/>
      <c r="D10" s="1753">
        <f t="shared" si="0"/>
        <v>30095</v>
      </c>
      <c r="E10" s="585">
        <v>31002</v>
      </c>
      <c r="F10" s="1753">
        <f t="shared" si="1"/>
        <v>31002</v>
      </c>
    </row>
    <row r="11" spans="1:6" x14ac:dyDescent="0.2">
      <c r="A11" s="715" t="s">
        <v>408</v>
      </c>
      <c r="B11" s="1750">
        <f>'Revenues 9-14'!J5</f>
        <v>172098</v>
      </c>
      <c r="C11" s="585"/>
      <c r="D11" s="1753">
        <f t="shared" si="0"/>
        <v>172098</v>
      </c>
      <c r="E11" s="585">
        <v>177706</v>
      </c>
      <c r="F11" s="1753">
        <f t="shared" si="1"/>
        <v>177706</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23959</v>
      </c>
      <c r="C14" s="585"/>
      <c r="D14" s="1753">
        <f t="shared" si="0"/>
        <v>23959</v>
      </c>
      <c r="E14" s="585">
        <v>24799</v>
      </c>
      <c r="F14" s="1753">
        <f t="shared" si="1"/>
        <v>24799</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78014</v>
      </c>
      <c r="C16" s="585"/>
      <c r="D16" s="1753">
        <f t="shared" si="0"/>
        <v>78014</v>
      </c>
      <c r="E16" s="585">
        <v>80672</v>
      </c>
      <c r="F16" s="1753">
        <f t="shared" si="1"/>
        <v>80672</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2921696</v>
      </c>
      <c r="C19" s="1751">
        <f>SUM(C4:C18)</f>
        <v>0</v>
      </c>
      <c r="D19" s="1751">
        <f>SUM(D4:D18)</f>
        <v>2921696</v>
      </c>
      <c r="E19" s="1751">
        <f>SUM(E4:E18)</f>
        <v>2989689</v>
      </c>
      <c r="F19" s="1751">
        <f>SUM(F4:F18)</f>
        <v>2989689</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topLeftCell="A22" colorId="8" zoomScale="110" zoomScaleNormal="110" workbookViewId="0">
      <selection activeCell="D38" sqref="D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628</v>
      </c>
      <c r="B1" s="2187"/>
      <c r="C1" s="721"/>
    </row>
    <row r="2" spans="1:7" ht="33.75" x14ac:dyDescent="0.2">
      <c r="A2" s="2195" t="s">
        <v>1798</v>
      </c>
      <c r="B2" s="2196"/>
      <c r="C2" s="1884" t="s">
        <v>1952</v>
      </c>
      <c r="D2" s="723" t="s">
        <v>1953</v>
      </c>
      <c r="E2" s="723" t="s">
        <v>1954</v>
      </c>
      <c r="F2" s="1884" t="s">
        <v>1955</v>
      </c>
    </row>
    <row r="3" spans="1:7" ht="15.75" customHeight="1" x14ac:dyDescent="0.2">
      <c r="A3" s="2199" t="s">
        <v>1113</v>
      </c>
      <c r="B3" s="2200"/>
      <c r="C3" s="2188"/>
      <c r="D3" s="2189"/>
      <c r="E3" s="2189"/>
      <c r="F3" s="2190"/>
    </row>
    <row r="4" spans="1:7" ht="12.75" customHeight="1" thickBot="1" x14ac:dyDescent="0.25">
      <c r="A4" s="2197" t="s">
        <v>629</v>
      </c>
      <c r="B4" s="2198"/>
      <c r="C4" s="581"/>
      <c r="D4" s="581"/>
      <c r="E4" s="581"/>
      <c r="F4" s="1755">
        <f>SUM(C4+D4)-E4</f>
        <v>0</v>
      </c>
    </row>
    <row r="5" spans="1:7" ht="15.75" customHeight="1" thickTop="1" x14ac:dyDescent="0.2">
      <c r="A5" s="2182" t="s">
        <v>1109</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84" t="s">
        <v>630</v>
      </c>
      <c r="B15" s="2185"/>
      <c r="C15" s="1755">
        <f>SUM(C6:C14)</f>
        <v>0</v>
      </c>
      <c r="D15" s="1755">
        <f>SUM(D6:D14)</f>
        <v>0</v>
      </c>
      <c r="E15" s="1755">
        <f>SUM(E6:E14)</f>
        <v>0</v>
      </c>
      <c r="F15" s="1755">
        <f>SUM(F6:F14)</f>
        <v>0</v>
      </c>
      <c r="G15" s="552"/>
    </row>
    <row r="16" spans="1:7" s="202" customFormat="1" ht="15.75" customHeight="1" thickTop="1" x14ac:dyDescent="0.2">
      <c r="A16" s="2194" t="s">
        <v>1110</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387</v>
      </c>
      <c r="B19" s="2208"/>
      <c r="C19" s="726"/>
      <c r="D19" s="585"/>
      <c r="E19" s="726"/>
      <c r="F19" s="1755">
        <f>SUM(C19+D19)-E19</f>
        <v>0</v>
      </c>
    </row>
    <row r="20" spans="1:11" ht="12.75" customHeight="1" thickTop="1" thickBot="1" x14ac:dyDescent="0.25">
      <c r="A20" s="2207" t="s">
        <v>447</v>
      </c>
      <c r="B20" s="2208"/>
      <c r="C20" s="726"/>
      <c r="D20" s="585"/>
      <c r="E20" s="726"/>
      <c r="F20" s="1755">
        <f>SUM(C20+D20)-E20</f>
        <v>0</v>
      </c>
    </row>
    <row r="21" spans="1:11" ht="14.25" thickTop="1" thickBot="1" x14ac:dyDescent="0.25">
      <c r="A21" s="2184" t="s">
        <v>631</v>
      </c>
      <c r="B21" s="2185"/>
      <c r="C21" s="1755">
        <f>SUM(C17:C20)</f>
        <v>0</v>
      </c>
      <c r="D21" s="1755">
        <f>SUM(D17:D20)</f>
        <v>0</v>
      </c>
      <c r="E21" s="1755">
        <f>SUM(E17:E20)</f>
        <v>0</v>
      </c>
      <c r="F21" s="1755">
        <f>SUM(F17:F20)</f>
        <v>0</v>
      </c>
      <c r="G21" s="552"/>
    </row>
    <row r="22" spans="1:11" ht="15.75" customHeight="1" thickTop="1" x14ac:dyDescent="0.2">
      <c r="A22" s="2209" t="s">
        <v>1111</v>
      </c>
      <c r="B22" s="2183"/>
      <c r="C22" s="2191"/>
      <c r="D22" s="2192"/>
      <c r="E22" s="2192"/>
      <c r="F22" s="2193"/>
    </row>
    <row r="23" spans="1:11" ht="13.5" thickBot="1" x14ac:dyDescent="0.25">
      <c r="A23" s="2197" t="s">
        <v>632</v>
      </c>
      <c r="B23" s="2198"/>
      <c r="C23" s="581"/>
      <c r="D23" s="581"/>
      <c r="E23" s="581"/>
      <c r="F23" s="1755">
        <f>SUM(C23+D23)-E23</f>
        <v>0</v>
      </c>
      <c r="G23" s="552"/>
    </row>
    <row r="24" spans="1:11" ht="15.75" customHeight="1" thickTop="1" x14ac:dyDescent="0.2">
      <c r="A24" s="2209" t="s">
        <v>1112</v>
      </c>
      <c r="B24" s="2183"/>
      <c r="C24" s="2191"/>
      <c r="D24" s="2192"/>
      <c r="E24" s="2192"/>
      <c r="F24" s="2193"/>
    </row>
    <row r="25" spans="1:11" ht="13.5" thickBot="1" x14ac:dyDescent="0.25">
      <c r="A25" s="2197" t="s">
        <v>633</v>
      </c>
      <c r="B25" s="2198"/>
      <c r="C25" s="581"/>
      <c r="D25" s="581"/>
      <c r="E25" s="581"/>
      <c r="F25" s="1755">
        <f>SUM(C25+D25)-E25</f>
        <v>0</v>
      </c>
      <c r="G25" s="552"/>
    </row>
    <row r="26" spans="1:11" ht="15.75" customHeight="1" thickTop="1" x14ac:dyDescent="0.2">
      <c r="A26" s="2182" t="s">
        <v>656</v>
      </c>
      <c r="B26" s="2183"/>
      <c r="C26" s="727"/>
      <c r="D26" s="727"/>
      <c r="E26" s="727"/>
      <c r="F26" s="728"/>
    </row>
    <row r="27" spans="1:11" ht="13.5" thickBot="1" x14ac:dyDescent="0.25">
      <c r="A27" s="2184" t="s">
        <v>1069</v>
      </c>
      <c r="B27" s="2185"/>
      <c r="C27" s="585"/>
      <c r="D27" s="585"/>
      <c r="E27" s="585"/>
      <c r="F27" s="1755">
        <f>SUM(C27+D27)-E27</f>
        <v>0</v>
      </c>
      <c r="G27" s="552"/>
    </row>
    <row r="28" spans="1:11" ht="7.5" customHeight="1" thickTop="1" x14ac:dyDescent="0.2">
      <c r="A28" s="593"/>
    </row>
    <row r="29" spans="1:11" ht="23.25" customHeight="1" x14ac:dyDescent="0.2">
      <c r="A29" s="2210" t="s">
        <v>581</v>
      </c>
      <c r="B29" s="2187"/>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2081</v>
      </c>
      <c r="B31" s="733">
        <v>39693</v>
      </c>
      <c r="C31" s="734">
        <v>1455000</v>
      </c>
      <c r="D31" s="735">
        <v>3</v>
      </c>
      <c r="E31" s="734">
        <v>455000</v>
      </c>
      <c r="F31" s="734"/>
      <c r="G31" s="734"/>
      <c r="H31" s="734"/>
      <c r="I31" s="1756">
        <f>((E31+F31)-H31)+G31</f>
        <v>455000</v>
      </c>
      <c r="J31" s="734">
        <v>455000</v>
      </c>
      <c r="K31" s="736"/>
    </row>
    <row r="32" spans="1:11" ht="12" customHeight="1" x14ac:dyDescent="0.2">
      <c r="A32" s="732" t="s">
        <v>2082</v>
      </c>
      <c r="B32" s="733">
        <v>42815</v>
      </c>
      <c r="C32" s="734">
        <v>675000</v>
      </c>
      <c r="D32" s="735">
        <v>3</v>
      </c>
      <c r="E32" s="734">
        <v>675000</v>
      </c>
      <c r="F32" s="734"/>
      <c r="G32" s="734"/>
      <c r="H32" s="734"/>
      <c r="I32" s="1756">
        <f>((E32+F32)-H32)+G32</f>
        <v>675000</v>
      </c>
      <c r="J32" s="734">
        <v>675000</v>
      </c>
      <c r="K32" s="736"/>
    </row>
    <row r="33" spans="1:11" ht="12" customHeight="1" x14ac:dyDescent="0.2">
      <c r="A33" s="732" t="s">
        <v>2083</v>
      </c>
      <c r="B33" s="733">
        <v>42815</v>
      </c>
      <c r="C33" s="734">
        <v>1765000</v>
      </c>
      <c r="D33" s="735">
        <v>3</v>
      </c>
      <c r="E33" s="734">
        <v>1765000</v>
      </c>
      <c r="F33" s="734"/>
      <c r="G33" s="734"/>
      <c r="H33" s="734"/>
      <c r="I33" s="1756">
        <f t="shared" ref="I33:I48" si="1">((E33+F33)-H33)+G33</f>
        <v>1765000</v>
      </c>
      <c r="J33" s="734">
        <v>1765000</v>
      </c>
      <c r="K33" s="736"/>
    </row>
    <row r="34" spans="1:11" ht="12" customHeight="1" x14ac:dyDescent="0.2">
      <c r="A34" s="732" t="s">
        <v>2084</v>
      </c>
      <c r="B34" s="733">
        <v>42815</v>
      </c>
      <c r="C34" s="734">
        <v>2000000</v>
      </c>
      <c r="D34" s="735">
        <v>1</v>
      </c>
      <c r="E34" s="734">
        <v>1750000</v>
      </c>
      <c r="F34" s="734"/>
      <c r="G34" s="734"/>
      <c r="H34" s="734">
        <v>290000</v>
      </c>
      <c r="I34" s="1756">
        <f t="shared" si="1"/>
        <v>1460000</v>
      </c>
      <c r="J34" s="734">
        <v>1460000</v>
      </c>
      <c r="K34" s="737"/>
    </row>
    <row r="35" spans="1:11" ht="12" customHeight="1" x14ac:dyDescent="0.2">
      <c r="A35" s="732" t="s">
        <v>2085</v>
      </c>
      <c r="B35" s="733">
        <v>43097</v>
      </c>
      <c r="C35" s="738">
        <v>7980000</v>
      </c>
      <c r="D35" s="735">
        <v>3</v>
      </c>
      <c r="E35" s="738">
        <v>7980000</v>
      </c>
      <c r="F35" s="738"/>
      <c r="G35" s="738"/>
      <c r="H35" s="738">
        <v>170000</v>
      </c>
      <c r="I35" s="1756">
        <f t="shared" si="1"/>
        <v>7810000</v>
      </c>
      <c r="J35" s="738">
        <f>7810000-89303</f>
        <v>7720697</v>
      </c>
      <c r="K35" s="737"/>
    </row>
    <row r="36" spans="1:11" ht="12" customHeight="1" x14ac:dyDescent="0.2">
      <c r="A36" s="732" t="s">
        <v>2086</v>
      </c>
      <c r="B36" s="733">
        <v>43200</v>
      </c>
      <c r="C36" s="734">
        <v>105000</v>
      </c>
      <c r="D36" s="735">
        <v>7</v>
      </c>
      <c r="E36" s="734">
        <v>99258</v>
      </c>
      <c r="F36" s="734"/>
      <c r="G36" s="734"/>
      <c r="H36" s="734">
        <v>23992</v>
      </c>
      <c r="I36" s="1756">
        <f t="shared" si="1"/>
        <v>75266</v>
      </c>
      <c r="J36" s="734">
        <v>75266</v>
      </c>
      <c r="K36" s="739"/>
    </row>
    <row r="37" spans="1:11" ht="12" customHeight="1" x14ac:dyDescent="0.2">
      <c r="A37" s="732" t="s">
        <v>2087</v>
      </c>
      <c r="B37" s="733">
        <v>43318</v>
      </c>
      <c r="C37" s="467">
        <v>700000</v>
      </c>
      <c r="D37" s="740">
        <v>8</v>
      </c>
      <c r="E37" s="467"/>
      <c r="F37" s="467">
        <v>700000</v>
      </c>
      <c r="G37" s="467"/>
      <c r="H37" s="467"/>
      <c r="I37" s="1756">
        <f t="shared" si="1"/>
        <v>700000</v>
      </c>
      <c r="J37" s="467">
        <v>700000</v>
      </c>
      <c r="K37" s="737"/>
    </row>
    <row r="38" spans="1:11" ht="12" customHeight="1" x14ac:dyDescent="0.2">
      <c r="A38" s="732" t="s">
        <v>2088</v>
      </c>
      <c r="B38" s="733">
        <v>43282</v>
      </c>
      <c r="C38" s="734">
        <v>142090</v>
      </c>
      <c r="D38" s="741">
        <v>7</v>
      </c>
      <c r="E38" s="742"/>
      <c r="F38" s="742">
        <v>142090</v>
      </c>
      <c r="G38" s="742"/>
      <c r="H38" s="742">
        <v>25940</v>
      </c>
      <c r="I38" s="1756">
        <f t="shared" si="1"/>
        <v>116150</v>
      </c>
      <c r="J38" s="743">
        <v>116150</v>
      </c>
      <c r="K38" s="744"/>
    </row>
    <row r="39" spans="1:11" ht="12" customHeight="1" x14ac:dyDescent="0.2">
      <c r="A39" s="732" t="s">
        <v>2087</v>
      </c>
      <c r="B39" s="733">
        <v>43411</v>
      </c>
      <c r="C39" s="734">
        <v>171285</v>
      </c>
      <c r="D39" s="741">
        <v>9</v>
      </c>
      <c r="E39" s="742"/>
      <c r="F39" s="742">
        <v>171285</v>
      </c>
      <c r="G39" s="742"/>
      <c r="H39" s="742"/>
      <c r="I39" s="1756">
        <f t="shared" si="1"/>
        <v>171285</v>
      </c>
      <c r="J39" s="743">
        <v>171285</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14993375</v>
      </c>
      <c r="D49" s="745"/>
      <c r="E49" s="1756">
        <f t="shared" ref="E49:J49" si="2">SUM(E31:E48)</f>
        <v>12724258</v>
      </c>
      <c r="F49" s="1756">
        <f t="shared" si="2"/>
        <v>1013375</v>
      </c>
      <c r="G49" s="1756">
        <f t="shared" si="2"/>
        <v>0</v>
      </c>
      <c r="H49" s="1756">
        <f t="shared" si="2"/>
        <v>509932</v>
      </c>
      <c r="I49" s="1756">
        <f t="shared" si="2"/>
        <v>13227701</v>
      </c>
      <c r="J49" s="1756">
        <f t="shared" si="2"/>
        <v>13138398</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1" t="s">
        <v>583</v>
      </c>
      <c r="C52" s="2202"/>
      <c r="D52" s="2202"/>
      <c r="E52" s="749" t="s">
        <v>844</v>
      </c>
      <c r="F52" s="2203" t="s">
        <v>2089</v>
      </c>
      <c r="G52" s="2204"/>
      <c r="H52" s="736"/>
      <c r="I52" s="736"/>
      <c r="J52" s="746"/>
    </row>
    <row r="53" spans="1:11" ht="11.25" customHeight="1" x14ac:dyDescent="0.2">
      <c r="A53" s="750" t="s">
        <v>912</v>
      </c>
      <c r="B53" s="751" t="s">
        <v>950</v>
      </c>
      <c r="C53" s="746"/>
      <c r="D53" s="737"/>
      <c r="E53" s="749" t="s">
        <v>496</v>
      </c>
      <c r="F53" s="2205" t="s">
        <v>2090</v>
      </c>
      <c r="G53" s="2206"/>
      <c r="H53" s="736"/>
      <c r="I53" s="736"/>
      <c r="J53" s="746"/>
    </row>
    <row r="54" spans="1:11" ht="11.25" customHeight="1" x14ac:dyDescent="0.2">
      <c r="A54" s="752" t="s">
        <v>913</v>
      </c>
      <c r="B54" s="747" t="s">
        <v>951</v>
      </c>
      <c r="C54" s="746"/>
      <c r="D54" s="737"/>
      <c r="E54" s="749" t="s">
        <v>497</v>
      </c>
      <c r="F54" s="2205" t="s">
        <v>2091</v>
      </c>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855</v>
      </c>
      <c r="B1" s="2236"/>
      <c r="C1" s="2236"/>
      <c r="D1" s="2236"/>
      <c r="E1" s="2236"/>
      <c r="F1" s="2236"/>
      <c r="G1" s="2237"/>
      <c r="H1" s="1530"/>
      <c r="I1" s="760"/>
      <c r="J1" s="433"/>
    </row>
    <row r="2" spans="1:11" ht="26.25" x14ac:dyDescent="0.2">
      <c r="A2" s="2214" t="s">
        <v>1676</v>
      </c>
      <c r="B2" s="2215"/>
      <c r="C2" s="2215"/>
      <c r="D2" s="2215"/>
      <c r="E2" s="2216"/>
      <c r="F2" s="761" t="s">
        <v>903</v>
      </c>
      <c r="G2" s="762" t="s">
        <v>1673</v>
      </c>
      <c r="H2" s="762" t="s">
        <v>409</v>
      </c>
      <c r="I2" s="762" t="s">
        <v>1157</v>
      </c>
      <c r="J2" s="762" t="s">
        <v>1808</v>
      </c>
      <c r="K2" s="762" t="s">
        <v>138</v>
      </c>
    </row>
    <row r="3" spans="1:11" x14ac:dyDescent="0.2">
      <c r="A3" s="2217" t="s">
        <v>1960</v>
      </c>
      <c r="B3" s="2218"/>
      <c r="C3" s="2218"/>
      <c r="D3" s="2218"/>
      <c r="E3" s="2219"/>
      <c r="F3" s="763"/>
      <c r="G3" s="764"/>
      <c r="H3" s="764"/>
      <c r="I3" s="764"/>
      <c r="J3" s="765">
        <v>451645</v>
      </c>
      <c r="K3" s="765"/>
    </row>
    <row r="4" spans="1:11" x14ac:dyDescent="0.2">
      <c r="A4" s="2220" t="s">
        <v>368</v>
      </c>
      <c r="B4" s="2221"/>
      <c r="C4" s="2221"/>
      <c r="D4" s="2221"/>
      <c r="E4" s="2202"/>
      <c r="F4" s="766"/>
      <c r="G4" s="767"/>
      <c r="H4" s="768"/>
      <c r="I4" s="767"/>
      <c r="J4" s="769"/>
      <c r="K4" s="769"/>
    </row>
    <row r="5" spans="1:11" x14ac:dyDescent="0.2">
      <c r="A5" s="2238" t="s">
        <v>1068</v>
      </c>
      <c r="B5" s="2211"/>
      <c r="C5" s="2211"/>
      <c r="D5" s="2211"/>
      <c r="E5" s="2239"/>
      <c r="F5" s="770" t="s">
        <v>847</v>
      </c>
      <c r="G5" s="771"/>
      <c r="H5" s="764">
        <v>23959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v>316588</v>
      </c>
      <c r="K8" s="769"/>
    </row>
    <row r="9" spans="1:11" x14ac:dyDescent="0.2">
      <c r="A9" s="778" t="s">
        <v>138</v>
      </c>
      <c r="B9" s="779"/>
      <c r="C9" s="779"/>
      <c r="D9" s="779"/>
      <c r="E9" s="780"/>
      <c r="F9" s="777" t="s">
        <v>852</v>
      </c>
      <c r="G9" s="782"/>
      <c r="H9" s="771"/>
      <c r="I9" s="771"/>
      <c r="J9" s="781"/>
      <c r="K9" s="765">
        <v>16752</v>
      </c>
    </row>
    <row r="10" spans="1:11" x14ac:dyDescent="0.2">
      <c r="A10" s="2238" t="s">
        <v>1809</v>
      </c>
      <c r="B10" s="2211"/>
      <c r="C10" s="2211"/>
      <c r="D10" s="2211"/>
      <c r="E10" s="2240"/>
      <c r="F10" s="783" t="s">
        <v>861</v>
      </c>
      <c r="G10" s="782"/>
      <c r="H10" s="784"/>
      <c r="I10" s="764"/>
      <c r="J10" s="765"/>
      <c r="K10" s="765"/>
    </row>
    <row r="11" spans="1:11" x14ac:dyDescent="0.2">
      <c r="A11" s="2238" t="s">
        <v>160</v>
      </c>
      <c r="B11" s="2211"/>
      <c r="C11" s="2211"/>
      <c r="D11" s="2211"/>
      <c r="E11" s="2239"/>
      <c r="F11" s="770" t="s">
        <v>851</v>
      </c>
      <c r="G11" s="771"/>
      <c r="H11" s="764"/>
      <c r="I11" s="764"/>
      <c r="J11" s="765">
        <v>700000</v>
      </c>
      <c r="K11" s="773"/>
    </row>
    <row r="12" spans="1:11" ht="13.5" thickBot="1" x14ac:dyDescent="0.25">
      <c r="A12" s="2228" t="s">
        <v>904</v>
      </c>
      <c r="B12" s="2229"/>
      <c r="C12" s="2229"/>
      <c r="D12" s="2229"/>
      <c r="E12" s="2230"/>
      <c r="F12" s="1757"/>
      <c r="G12" s="1758">
        <f>SUM(G5:G11)</f>
        <v>0</v>
      </c>
      <c r="H12" s="1758">
        <f>SUM(H5:H11)</f>
        <v>23959</v>
      </c>
      <c r="I12" s="1758">
        <f>SUM(I5:I11)</f>
        <v>0</v>
      </c>
      <c r="J12" s="1758">
        <f>SUM(J5:J11)</f>
        <v>1016588</v>
      </c>
      <c r="K12" s="1758">
        <f>SUM(K5:K11)</f>
        <v>16752</v>
      </c>
    </row>
    <row r="13" spans="1:11" ht="13.5" thickTop="1" x14ac:dyDescent="0.2">
      <c r="A13" s="2222" t="s">
        <v>369</v>
      </c>
      <c r="B13" s="2223"/>
      <c r="C13" s="2223"/>
      <c r="D13" s="2223"/>
      <c r="E13" s="2224"/>
      <c r="F13" s="785"/>
      <c r="G13" s="786"/>
      <c r="H13" s="787"/>
      <c r="I13" s="788"/>
      <c r="J13" s="788"/>
      <c r="K13" s="788"/>
    </row>
    <row r="14" spans="1:11" x14ac:dyDescent="0.2">
      <c r="A14" s="2244" t="s">
        <v>455</v>
      </c>
      <c r="B14" s="2244"/>
      <c r="C14" s="2244"/>
      <c r="D14" s="2244"/>
      <c r="E14" s="2245"/>
      <c r="F14" s="789" t="s">
        <v>853</v>
      </c>
      <c r="G14" s="782"/>
      <c r="H14" s="764">
        <v>23959</v>
      </c>
      <c r="I14" s="771"/>
      <c r="J14" s="773"/>
      <c r="K14" s="765">
        <v>16752</v>
      </c>
    </row>
    <row r="15" spans="1:11" x14ac:dyDescent="0.2">
      <c r="A15" s="2211" t="s">
        <v>4</v>
      </c>
      <c r="B15" s="2211"/>
      <c r="C15" s="2211"/>
      <c r="D15" s="2211"/>
      <c r="E15" s="2239"/>
      <c r="F15" s="789" t="s">
        <v>854</v>
      </c>
      <c r="G15" s="771"/>
      <c r="H15" s="764"/>
      <c r="I15" s="764"/>
      <c r="J15" s="765">
        <v>899897</v>
      </c>
      <c r="K15" s="765"/>
    </row>
    <row r="16" spans="1:11" x14ac:dyDescent="0.2">
      <c r="A16" s="2211" t="s">
        <v>297</v>
      </c>
      <c r="B16" s="2211"/>
      <c r="C16" s="2211"/>
      <c r="D16" s="2211"/>
      <c r="E16" s="2239"/>
      <c r="F16" s="789" t="s">
        <v>922</v>
      </c>
      <c r="G16" s="772"/>
      <c r="H16" s="767"/>
      <c r="I16" s="767"/>
      <c r="J16" s="769"/>
      <c r="K16" s="769"/>
    </row>
    <row r="17" spans="1:11" x14ac:dyDescent="0.2">
      <c r="A17" s="2233" t="s">
        <v>934</v>
      </c>
      <c r="B17" s="2233"/>
      <c r="C17" s="2233"/>
      <c r="D17" s="2233"/>
      <c r="E17" s="2234"/>
      <c r="F17" s="790"/>
      <c r="G17" s="791"/>
      <c r="H17" s="792"/>
      <c r="I17" s="792"/>
      <c r="J17" s="793"/>
      <c r="K17" s="794"/>
    </row>
    <row r="18" spans="1:11" x14ac:dyDescent="0.2">
      <c r="A18" s="2225" t="s">
        <v>367</v>
      </c>
      <c r="B18" s="2226"/>
      <c r="C18" s="2226"/>
      <c r="D18" s="2226"/>
      <c r="E18" s="2227"/>
      <c r="F18" s="789" t="s">
        <v>931</v>
      </c>
      <c r="G18" s="782"/>
      <c r="H18" s="782"/>
      <c r="I18" s="782"/>
      <c r="J18" s="765"/>
      <c r="K18" s="795"/>
    </row>
    <row r="19" spans="1:11" ht="21.75" customHeight="1" x14ac:dyDescent="0.2">
      <c r="A19" s="2246" t="s">
        <v>1805</v>
      </c>
      <c r="B19" s="2246"/>
      <c r="C19" s="2246"/>
      <c r="D19" s="2246"/>
      <c r="E19" s="2247"/>
      <c r="F19" s="789" t="s">
        <v>932</v>
      </c>
      <c r="G19" s="782"/>
      <c r="H19" s="782"/>
      <c r="I19" s="782"/>
      <c r="J19" s="765"/>
      <c r="K19" s="795"/>
    </row>
    <row r="20" spans="1:11" x14ac:dyDescent="0.2">
      <c r="A20" s="2225" t="s">
        <v>1810</v>
      </c>
      <c r="B20" s="2226"/>
      <c r="C20" s="2226"/>
      <c r="D20" s="2226"/>
      <c r="E20" s="2227"/>
      <c r="F20" s="789" t="s">
        <v>933</v>
      </c>
      <c r="G20" s="782"/>
      <c r="H20" s="782"/>
      <c r="I20" s="782"/>
      <c r="J20" s="765"/>
      <c r="K20" s="795"/>
    </row>
    <row r="21" spans="1:11" ht="13.5" thickBot="1" x14ac:dyDescent="0.25">
      <c r="A21" s="2231" t="s">
        <v>637</v>
      </c>
      <c r="B21" s="2231"/>
      <c r="C21" s="2231"/>
      <c r="D21" s="2231"/>
      <c r="E21" s="2231"/>
      <c r="F21" s="1759"/>
      <c r="G21" s="792"/>
      <c r="H21" s="796"/>
      <c r="I21" s="796"/>
      <c r="J21" s="1760">
        <f>SUM(J18:J20)</f>
        <v>0</v>
      </c>
      <c r="K21" s="793"/>
    </row>
    <row r="22" spans="1:11" ht="13.5" thickTop="1" x14ac:dyDescent="0.2">
      <c r="A22" s="2211" t="s">
        <v>1811</v>
      </c>
      <c r="B22" s="2211"/>
      <c r="C22" s="2211"/>
      <c r="D22" s="2211"/>
      <c r="E22" s="2239"/>
      <c r="F22" s="789" t="s">
        <v>861</v>
      </c>
      <c r="G22" s="782"/>
      <c r="H22" s="764"/>
      <c r="I22" s="764"/>
      <c r="J22" s="797"/>
      <c r="K22" s="765"/>
    </row>
    <row r="23" spans="1:11" ht="13.5" thickBot="1" x14ac:dyDescent="0.25">
      <c r="A23" s="2232" t="s">
        <v>905</v>
      </c>
      <c r="B23" s="2231"/>
      <c r="C23" s="2231"/>
      <c r="D23" s="2231"/>
      <c r="E23" s="2231"/>
      <c r="F23" s="1761"/>
      <c r="G23" s="1758">
        <f>SUM(G14:G16,G21,G22)</f>
        <v>0</v>
      </c>
      <c r="H23" s="1758">
        <f>SUM(H14:H16,H21,H22)</f>
        <v>23959</v>
      </c>
      <c r="I23" s="1758">
        <f>SUM(I14:I16,I21,I22)</f>
        <v>0</v>
      </c>
      <c r="J23" s="1758">
        <f>SUM(J14:J16,J21,J22)</f>
        <v>899897</v>
      </c>
      <c r="K23" s="1758">
        <f>SUM(K14:K16,K21,K22)</f>
        <v>16752</v>
      </c>
    </row>
    <row r="24" spans="1:11" ht="14.25" thickTop="1" thickBot="1" x14ac:dyDescent="0.25">
      <c r="A24" s="2232" t="s">
        <v>1961</v>
      </c>
      <c r="B24" s="2231"/>
      <c r="C24" s="2231"/>
      <c r="D24" s="2231"/>
      <c r="E24" s="2231"/>
      <c r="F24" s="1762"/>
      <c r="G24" s="1763">
        <f>SUM(G3,G12)-G23</f>
        <v>0</v>
      </c>
      <c r="H24" s="1763">
        <f>SUM(H3,H12)-H23</f>
        <v>0</v>
      </c>
      <c r="I24" s="1763">
        <f>SUM(I3,I12)-I23</f>
        <v>0</v>
      </c>
      <c r="J24" s="1763">
        <f>SUM(J3,J12)-J23</f>
        <v>568336</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568336</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1"/>
      <c r="I31" s="2242"/>
      <c r="J31" s="2242"/>
      <c r="K31" s="2242"/>
    </row>
    <row r="32" spans="1:11" x14ac:dyDescent="0.2">
      <c r="A32" s="809"/>
      <c r="B32" s="237"/>
      <c r="C32" s="237"/>
      <c r="D32" s="237"/>
      <c r="E32" s="805"/>
      <c r="F32" s="811" t="s">
        <v>539</v>
      </c>
      <c r="G32" s="764"/>
      <c r="H32" s="2243"/>
      <c r="I32" s="2242"/>
      <c r="J32" s="2242"/>
      <c r="K32" s="2242"/>
    </row>
    <row r="33" spans="1:11" ht="1.5" customHeight="1" x14ac:dyDescent="0.2">
      <c r="A33" s="812" t="s">
        <v>1168</v>
      </c>
      <c r="B33" s="364"/>
      <c r="C33" s="364"/>
      <c r="D33" s="364"/>
      <c r="E33" s="364"/>
      <c r="F33" s="364"/>
      <c r="G33" s="813"/>
      <c r="H33" s="2243"/>
      <c r="I33" s="2242"/>
      <c r="J33" s="2242"/>
      <c r="K33" s="2242"/>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1" t="s">
        <v>540</v>
      </c>
      <c r="B41" s="2212"/>
      <c r="C41" s="2212"/>
      <c r="D41" s="2212"/>
      <c r="E41" s="2212"/>
      <c r="F41" s="221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colorId="8" zoomScale="110" zoomScaleNormal="110" workbookViewId="0">
      <selection activeCell="F14" sqref="F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1905</v>
      </c>
      <c r="B1" s="2251"/>
      <c r="C1" s="2252"/>
      <c r="D1" s="826"/>
      <c r="E1" s="827"/>
      <c r="F1" s="827"/>
      <c r="G1" s="828"/>
      <c r="H1" s="829"/>
      <c r="I1" s="830"/>
      <c r="J1" s="2248"/>
      <c r="K1" s="2249"/>
      <c r="L1" s="2249"/>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438409</v>
      </c>
      <c r="D5" s="841"/>
      <c r="E5" s="841"/>
      <c r="F5" s="1760">
        <f>(C5+D5)-E5</f>
        <v>438409</v>
      </c>
      <c r="G5" s="837"/>
      <c r="H5" s="842"/>
      <c r="I5" s="842"/>
      <c r="J5" s="842"/>
      <c r="K5" s="793"/>
      <c r="L5" s="1769">
        <f>F5-K5</f>
        <v>438409</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36401895</v>
      </c>
      <c r="D8" s="844"/>
      <c r="E8" s="844"/>
      <c r="F8" s="1760">
        <f>(C8+D8)-E8</f>
        <v>36401895</v>
      </c>
      <c r="G8" s="843">
        <v>50</v>
      </c>
      <c r="H8" s="765">
        <v>7988183</v>
      </c>
      <c r="I8" s="765">
        <v>579905</v>
      </c>
      <c r="J8" s="765"/>
      <c r="K8" s="1769">
        <f>(H8+I8)-J8</f>
        <v>8568088</v>
      </c>
      <c r="L8" s="1769">
        <f>F8-K8</f>
        <v>27833807</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226522</v>
      </c>
      <c r="D10" s="846"/>
      <c r="E10" s="846"/>
      <c r="F10" s="1764">
        <f>(C10+D10)-E10</f>
        <v>226522</v>
      </c>
      <c r="G10" s="843">
        <v>20</v>
      </c>
      <c r="H10" s="847">
        <v>226522</v>
      </c>
      <c r="I10" s="847"/>
      <c r="J10" s="847"/>
      <c r="K10" s="1769">
        <f>(H10+I10)-J10</f>
        <v>226522</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1947644</v>
      </c>
      <c r="D12" s="844">
        <v>216685</v>
      </c>
      <c r="E12" s="844"/>
      <c r="F12" s="1760">
        <f>(C12+D12)-E12</f>
        <v>2164329</v>
      </c>
      <c r="G12" s="843">
        <v>10</v>
      </c>
      <c r="H12" s="765">
        <v>1796815</v>
      </c>
      <c r="I12" s="765">
        <v>36751</v>
      </c>
      <c r="J12" s="765"/>
      <c r="K12" s="1769">
        <f>(H12+I12)-J12</f>
        <v>1833566</v>
      </c>
      <c r="L12" s="1769">
        <f>F12-K12</f>
        <v>330763</v>
      </c>
    </row>
    <row r="13" spans="1:14" ht="14.25" thickTop="1" thickBot="1" x14ac:dyDescent="0.25">
      <c r="A13" s="848" t="s">
        <v>1121</v>
      </c>
      <c r="B13" s="840">
        <v>252</v>
      </c>
      <c r="C13" s="844">
        <v>957936</v>
      </c>
      <c r="D13" s="844">
        <v>190765</v>
      </c>
      <c r="E13" s="844">
        <v>38300</v>
      </c>
      <c r="F13" s="1760">
        <f>(C13+D13)-E13</f>
        <v>1110401</v>
      </c>
      <c r="G13" s="843">
        <v>5</v>
      </c>
      <c r="H13" s="765">
        <v>919494</v>
      </c>
      <c r="I13" s="765">
        <v>34320</v>
      </c>
      <c r="J13" s="765">
        <v>38300</v>
      </c>
      <c r="K13" s="1769">
        <f>(H13+I13)-J13</f>
        <v>915514</v>
      </c>
      <c r="L13" s="1769">
        <f>F13-K13</f>
        <v>194887</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39972406</v>
      </c>
      <c r="D16" s="1760">
        <f>SUM(D3,D5:D6,D8:D10,D12:D15)</f>
        <v>407450</v>
      </c>
      <c r="E16" s="1760">
        <f>SUM(E3,E5:E6,E8:E10,E12:E15)</f>
        <v>38300</v>
      </c>
      <c r="F16" s="1760">
        <f>SUM(F3,F5:F6,F8:F10,F12:F15)</f>
        <v>40341556</v>
      </c>
      <c r="G16" s="843"/>
      <c r="H16" s="1760">
        <f>SUM(H3,H6,H8:H10,H12:H14,)</f>
        <v>10931014</v>
      </c>
      <c r="I16" s="1760">
        <f>SUM(I3,I6,I8:I10,I12:I14,)</f>
        <v>650976</v>
      </c>
      <c r="J16" s="1760">
        <f>SUM(J3,J6,J8:J10,J12:J14,)</f>
        <v>38300</v>
      </c>
      <c r="K16" s="1760">
        <f>(H16+I16)-J16</f>
        <v>11543690</v>
      </c>
      <c r="L16" s="1760">
        <f>F16-K16</f>
        <v>28797866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650976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H202"/>
  <sheetViews>
    <sheetView showGridLines="0" defaultGridColor="0" colorId="8" zoomScale="110" zoomScaleNormal="110" workbookViewId="0">
      <pane ySplit="5" topLeftCell="A160" activePane="bottomLeft" state="frozen"/>
      <selection activeCell="A47" sqref="A47"/>
      <selection pane="bottomLeft" activeCell="D187" sqref="D18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1971</v>
      </c>
      <c r="B1" s="2257"/>
      <c r="C1" s="2257"/>
      <c r="D1" s="2257"/>
      <c r="E1" s="2257"/>
      <c r="F1" s="2258"/>
      <c r="G1" s="855"/>
    </row>
    <row r="2" spans="1:7" ht="15" customHeight="1" thickBot="1" x14ac:dyDescent="0.25">
      <c r="A2" s="2259" t="s">
        <v>476</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2"/>
      <c r="B5" s="2263"/>
      <c r="C5" s="2263"/>
      <c r="D5" s="2263"/>
      <c r="E5" s="2263"/>
      <c r="F5" s="2263"/>
    </row>
    <row r="6" spans="1:7" ht="13.5" customHeight="1" thickBot="1" x14ac:dyDescent="0.25">
      <c r="A6" s="2253" t="s">
        <v>1103</v>
      </c>
      <c r="B6" s="2254"/>
      <c r="C6" s="2254"/>
      <c r="D6" s="2254"/>
      <c r="E6" s="2254"/>
      <c r="F6" s="225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11620271</v>
      </c>
      <c r="G8" s="865"/>
    </row>
    <row r="9" spans="1:7" x14ac:dyDescent="0.2">
      <c r="A9" s="869" t="s">
        <v>459</v>
      </c>
      <c r="B9" s="870" t="s">
        <v>1873</v>
      </c>
      <c r="C9" s="871"/>
      <c r="D9" s="869" t="s">
        <v>500</v>
      </c>
      <c r="E9" s="868"/>
      <c r="F9" s="1909">
        <f>'Expenditures 15-22'!K151</f>
        <v>742478</v>
      </c>
      <c r="G9" s="872"/>
    </row>
    <row r="10" spans="1:7" x14ac:dyDescent="0.2">
      <c r="A10" s="869" t="s">
        <v>498</v>
      </c>
      <c r="B10" s="870" t="s">
        <v>1874</v>
      </c>
      <c r="C10" s="871"/>
      <c r="D10" s="869" t="s">
        <v>500</v>
      </c>
      <c r="E10" s="868"/>
      <c r="F10" s="1909">
        <f>'Expenditures 15-22'!K174</f>
        <v>1193208</v>
      </c>
      <c r="G10" s="872"/>
    </row>
    <row r="11" spans="1:7" x14ac:dyDescent="0.2">
      <c r="A11" s="869" t="s">
        <v>460</v>
      </c>
      <c r="B11" s="870" t="s">
        <v>1875</v>
      </c>
      <c r="C11" s="871"/>
      <c r="D11" s="869" t="s">
        <v>500</v>
      </c>
      <c r="E11" s="868"/>
      <c r="F11" s="1909">
        <f>'Expenditures 15-22'!K210</f>
        <v>655364</v>
      </c>
      <c r="G11" s="872"/>
    </row>
    <row r="12" spans="1:7" x14ac:dyDescent="0.2">
      <c r="A12" s="869" t="s">
        <v>461</v>
      </c>
      <c r="B12" s="870" t="s">
        <v>1876</v>
      </c>
      <c r="C12" s="871"/>
      <c r="D12" s="869" t="s">
        <v>500</v>
      </c>
      <c r="E12" s="868"/>
      <c r="F12" s="1909">
        <f>'Expenditures 15-22'!K295</f>
        <v>383427</v>
      </c>
      <c r="G12" s="872"/>
    </row>
    <row r="13" spans="1:7" x14ac:dyDescent="0.2">
      <c r="A13" s="869" t="s">
        <v>106</v>
      </c>
      <c r="B13" s="870" t="s">
        <v>1877</v>
      </c>
      <c r="C13" s="871"/>
      <c r="D13" s="869" t="s">
        <v>500</v>
      </c>
      <c r="E13" s="868"/>
      <c r="F13" s="1909">
        <f>'Expenditures 15-22'!K342</f>
        <v>96828</v>
      </c>
      <c r="G13" s="873"/>
    </row>
    <row r="14" spans="1:7" ht="12" customHeight="1" thickBot="1" x14ac:dyDescent="0.25">
      <c r="A14" s="1770"/>
      <c r="B14" s="1771"/>
      <c r="C14" s="1772"/>
      <c r="D14" s="1773" t="s">
        <v>500</v>
      </c>
      <c r="E14" s="1774" t="s">
        <v>957</v>
      </c>
      <c r="F14" s="1775">
        <f>SUM(F8:F13)</f>
        <v>14691576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154777</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17418</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1262583</v>
      </c>
      <c r="G53" s="865"/>
    </row>
    <row r="54" spans="1:7" x14ac:dyDescent="0.2">
      <c r="A54" s="869" t="s">
        <v>458</v>
      </c>
      <c r="B54" s="869" t="s">
        <v>1475</v>
      </c>
      <c r="C54" s="889" t="s">
        <v>981</v>
      </c>
      <c r="D54" s="885" t="s">
        <v>1094</v>
      </c>
      <c r="E54" s="868"/>
      <c r="F54" s="1913">
        <f>'Expenditures 15-22'!G114</f>
        <v>218936</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0</v>
      </c>
      <c r="G58" s="865"/>
    </row>
    <row r="59" spans="1:7" x14ac:dyDescent="0.2">
      <c r="A59" s="893" t="s">
        <v>459</v>
      </c>
      <c r="B59" s="856" t="s">
        <v>1880</v>
      </c>
      <c r="C59" s="894" t="s">
        <v>981</v>
      </c>
      <c r="D59" s="856" t="s">
        <v>290</v>
      </c>
      <c r="F59" s="1916">
        <f>'Expenditures 15-22'!I151</f>
        <v>0</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509932</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283</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190765</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25067</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207</v>
      </c>
      <c r="G71" s="865"/>
    </row>
    <row r="72" spans="1:8" x14ac:dyDescent="0.2">
      <c r="A72" s="869" t="s">
        <v>461</v>
      </c>
      <c r="B72" s="869" t="s">
        <v>1892</v>
      </c>
      <c r="C72" s="886">
        <f>'Expenditures 15-22'!B280</f>
        <v>3000</v>
      </c>
      <c r="D72" s="876" t="s">
        <v>448</v>
      </c>
      <c r="E72" s="868"/>
      <c r="F72" s="1913">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2379968</v>
      </c>
      <c r="G76" s="865"/>
    </row>
    <row r="77" spans="1:8" s="893" customFormat="1" ht="12" customHeight="1" thickTop="1" thickBot="1" x14ac:dyDescent="0.25">
      <c r="A77" s="1779"/>
      <c r="B77" s="1776"/>
      <c r="C77" s="1772"/>
      <c r="D77" s="1777" t="s">
        <v>1896</v>
      </c>
      <c r="E77" s="1774"/>
      <c r="F77" s="1780">
        <f>(F14-F76)</f>
        <v>12311608</v>
      </c>
      <c r="G77" s="869"/>
    </row>
    <row r="78" spans="1:8" s="893" customFormat="1" ht="12" customHeight="1" thickTop="1" x14ac:dyDescent="0.2">
      <c r="A78" s="1781"/>
      <c r="B78" s="1776"/>
      <c r="C78" s="1772"/>
      <c r="D78" s="1777" t="s">
        <v>2058</v>
      </c>
      <c r="E78" s="1774"/>
      <c r="F78" s="898">
        <v>1162.5</v>
      </c>
      <c r="G78" s="899"/>
      <c r="H78" s="869"/>
    </row>
    <row r="79" spans="1:8" s="893" customFormat="1" ht="12" customHeight="1" thickBot="1" x14ac:dyDescent="0.25">
      <c r="A79" s="1782"/>
      <c r="B79" s="1776"/>
      <c r="C79" s="1772"/>
      <c r="D79" s="1777" t="s">
        <v>1897</v>
      </c>
      <c r="E79" s="1774" t="s">
        <v>957</v>
      </c>
      <c r="F79" s="1783">
        <f>IF(F78&gt;0,F77/F78," Complete Line 78")</f>
        <v>10590.630537634408</v>
      </c>
      <c r="G79" s="869"/>
    </row>
    <row r="80" spans="1:8" s="893" customFormat="1" ht="8.25" customHeight="1" thickTop="1" x14ac:dyDescent="0.2">
      <c r="A80" s="900"/>
      <c r="B80" s="869"/>
      <c r="C80" s="871"/>
      <c r="D80" s="901"/>
      <c r="E80" s="868"/>
      <c r="F80" s="902"/>
      <c r="G80" s="869"/>
    </row>
    <row r="81" spans="1:7" s="893" customFormat="1" ht="12" thickBot="1" x14ac:dyDescent="0.25">
      <c r="A81" s="2253" t="s">
        <v>1104</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60238</v>
      </c>
      <c r="G94" s="912"/>
    </row>
    <row r="95" spans="1:7" x14ac:dyDescent="0.2">
      <c r="A95" s="908" t="s">
        <v>140</v>
      </c>
      <c r="B95" s="908" t="s">
        <v>175</v>
      </c>
      <c r="C95" s="910">
        <v>1700</v>
      </c>
      <c r="D95" s="918" t="str">
        <f>'Revenues 9-14'!A82</f>
        <v>Total District/School Activity Income</v>
      </c>
      <c r="E95" s="906"/>
      <c r="F95" s="1789">
        <f>SUM('Revenues 9-14'!C82,'Revenues 9-14'!D82)</f>
        <v>36733</v>
      </c>
      <c r="G95" s="912"/>
    </row>
    <row r="96" spans="1:7" x14ac:dyDescent="0.2">
      <c r="A96" s="908" t="s">
        <v>458</v>
      </c>
      <c r="B96" s="908" t="s">
        <v>176</v>
      </c>
      <c r="C96" s="910">
        <f>'Revenues 9-14'!B84</f>
        <v>1811</v>
      </c>
      <c r="D96" s="911" t="str">
        <f>'Revenues 9-14'!A84</f>
        <v>Rentals - Regular Textbooks</v>
      </c>
      <c r="E96" s="906"/>
      <c r="F96" s="1789">
        <f>'Revenues 9-14'!C84</f>
        <v>48247</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39000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39944</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30405</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8432</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16752</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230438</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920</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15919</v>
      </c>
      <c r="G124" s="930"/>
    </row>
    <row r="125" spans="1:7" x14ac:dyDescent="0.2">
      <c r="A125" s="927" t="s">
        <v>663</v>
      </c>
      <c r="B125" s="927" t="s">
        <v>2019</v>
      </c>
      <c r="C125" s="932">
        <v>4200</v>
      </c>
      <c r="D125" s="929" t="str">
        <f>'Revenues 9-14'!A198</f>
        <v>Total Food Service</v>
      </c>
      <c r="E125" s="906"/>
      <c r="F125" s="1789">
        <f>SUM('Revenues 9-14'!C198,'Revenues 9-14'!G198)</f>
        <v>445637</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478800</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6771</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316634</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45211</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18932</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56127</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19952</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38938</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340203</v>
      </c>
      <c r="G171" s="927"/>
    </row>
    <row r="172" spans="1:7" x14ac:dyDescent="0.2">
      <c r="A172" s="1918" t="s">
        <v>663</v>
      </c>
      <c r="B172" s="1919" t="s">
        <v>1916</v>
      </c>
      <c r="C172" s="1920">
        <v>3300</v>
      </c>
      <c r="D172" s="1921" t="s">
        <v>1919</v>
      </c>
      <c r="E172" s="906"/>
      <c r="F172" s="1906">
        <v>199</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2294432</v>
      </c>
    </row>
    <row r="175" spans="1:7" ht="12" customHeight="1" x14ac:dyDescent="0.2">
      <c r="A175" s="1770"/>
      <c r="B175" s="1784"/>
      <c r="C175" s="1785"/>
      <c r="D175" s="1786" t="s">
        <v>2053</v>
      </c>
      <c r="E175" s="1787"/>
      <c r="F175" s="1789">
        <f>'PCTC-OEPP 27-28'!F77-F174</f>
        <v>10017176</v>
      </c>
    </row>
    <row r="176" spans="1:7" ht="12" customHeight="1" x14ac:dyDescent="0.2">
      <c r="A176" s="1770"/>
      <c r="B176" s="1784"/>
      <c r="C176" s="1785"/>
      <c r="D176" s="1786" t="s">
        <v>1813</v>
      </c>
      <c r="E176" s="1787"/>
      <c r="F176" s="1789">
        <f>'Cap Outlay Deprec 26'!I18</f>
        <v>650976</v>
      </c>
    </row>
    <row r="177" spans="1:7" ht="12" customHeight="1" x14ac:dyDescent="0.2">
      <c r="A177" s="1770"/>
      <c r="B177" s="1784"/>
      <c r="C177" s="1785"/>
      <c r="D177" s="1786" t="s">
        <v>2054</v>
      </c>
      <c r="E177" s="1787"/>
      <c r="F177" s="1789">
        <f>F175+F176</f>
        <v>10668152</v>
      </c>
    </row>
    <row r="178" spans="1:7" ht="12" customHeight="1" x14ac:dyDescent="0.2">
      <c r="A178" s="1770"/>
      <c r="B178" s="1790"/>
      <c r="C178" s="1785"/>
      <c r="D178" s="1786" t="str">
        <f>D78</f>
        <v>9 Month ADA from District Average Daily Attendance/Prior General State Aid Inquiry 2018-2019</v>
      </c>
      <c r="E178" s="1787"/>
      <c r="F178" s="1791">
        <f>'PCTC-OEPP 27-28'!F78</f>
        <v>1162.5</v>
      </c>
      <c r="G178" s="930"/>
    </row>
    <row r="179" spans="1:7" ht="12" customHeight="1" thickBot="1" x14ac:dyDescent="0.25">
      <c r="A179" s="1770"/>
      <c r="B179" s="1790"/>
      <c r="C179" s="1785"/>
      <c r="D179" s="1786" t="s">
        <v>2055</v>
      </c>
      <c r="E179" s="1787" t="s">
        <v>1544</v>
      </c>
      <c r="F179" s="1792">
        <f>F177/F178</f>
        <v>9176.9049462365583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7" t="s">
        <v>1814</v>
      </c>
      <c r="B4" s="2268"/>
      <c r="C4" s="2268"/>
      <c r="D4" s="2268"/>
      <c r="E4" s="2268"/>
      <c r="F4" s="2268"/>
      <c r="G4" s="2269"/>
    </row>
    <row r="5" spans="1:7" x14ac:dyDescent="0.25">
      <c r="A5" s="2270"/>
      <c r="B5" s="2271"/>
      <c r="C5" s="2271"/>
      <c r="D5" s="2271"/>
      <c r="E5" s="2271"/>
      <c r="F5" s="2271"/>
      <c r="G5" s="2272"/>
    </row>
    <row r="6" spans="1:7" ht="18.75" x14ac:dyDescent="0.25">
      <c r="A6" s="1534" t="s">
        <v>1815</v>
      </c>
      <c r="B6" s="1535"/>
      <c r="C6" s="1535"/>
      <c r="D6" s="1535"/>
      <c r="E6" s="1535"/>
      <c r="F6" s="1535"/>
      <c r="G6" s="1536"/>
    </row>
    <row r="7" spans="1:7" ht="30.75" customHeight="1" x14ac:dyDescent="0.25">
      <c r="A7" s="2273" t="s">
        <v>1928</v>
      </c>
      <c r="B7" s="2274"/>
      <c r="C7" s="2274"/>
      <c r="D7" s="2274"/>
      <c r="E7" s="2274"/>
      <c r="F7" s="2274"/>
      <c r="G7" s="2275"/>
    </row>
    <row r="8" spans="1:7" ht="15.75" customHeight="1" x14ac:dyDescent="0.25">
      <c r="A8" s="2276" t="s">
        <v>1903</v>
      </c>
      <c r="B8" s="2277"/>
      <c r="C8" s="2277"/>
      <c r="D8" s="2277"/>
      <c r="E8" s="2277"/>
      <c r="F8" s="2277"/>
      <c r="G8" s="2278"/>
    </row>
    <row r="9" spans="1:7" ht="35.25" customHeight="1" x14ac:dyDescent="0.25">
      <c r="A9" s="2273" t="s">
        <v>1931</v>
      </c>
      <c r="B9" s="2274"/>
      <c r="C9" s="2274"/>
      <c r="D9" s="2274"/>
      <c r="E9" s="2274"/>
      <c r="F9" s="2274"/>
      <c r="G9" s="2275"/>
    </row>
    <row r="10" spans="1:7" ht="15" customHeight="1" x14ac:dyDescent="0.25">
      <c r="A10" s="1537" t="s">
        <v>1816</v>
      </c>
      <c r="B10" s="1538"/>
      <c r="C10" s="1538"/>
      <c r="D10" s="1538"/>
      <c r="E10" s="1538"/>
      <c r="F10" s="1538"/>
      <c r="G10" s="1539"/>
    </row>
    <row r="11" spans="1:7" ht="17.25" customHeight="1" x14ac:dyDescent="0.25">
      <c r="A11" s="2273" t="s">
        <v>1930</v>
      </c>
      <c r="B11" s="2274"/>
      <c r="C11" s="2274"/>
      <c r="D11" s="2274"/>
      <c r="E11" s="2274"/>
      <c r="F11" s="2274"/>
      <c r="G11" s="2275"/>
    </row>
    <row r="12" spans="1:7" ht="15" customHeight="1" x14ac:dyDescent="0.25">
      <c r="A12" s="1537" t="s">
        <v>1821</v>
      </c>
      <c r="B12" s="1538"/>
      <c r="C12" s="1538"/>
      <c r="D12" s="1538"/>
      <c r="E12" s="1538"/>
      <c r="F12" s="1538"/>
      <c r="G12" s="1539"/>
    </row>
    <row r="13" spans="1:7" ht="32.25" customHeight="1" x14ac:dyDescent="0.25">
      <c r="A13" s="2264" t="s">
        <v>1972</v>
      </c>
      <c r="B13" s="2265"/>
      <c r="C13" s="2265"/>
      <c r="D13" s="2265"/>
      <c r="E13" s="2265"/>
      <c r="F13" s="2265"/>
      <c r="G13" s="2266"/>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79" t="s">
        <v>1678</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298058</v>
      </c>
      <c r="F10" s="974"/>
      <c r="G10" s="975"/>
      <c r="H10" s="162"/>
      <c r="I10" s="162"/>
    </row>
    <row r="11" spans="1:9" s="668" customFormat="1" ht="22.5" customHeight="1" x14ac:dyDescent="0.2">
      <c r="A11" s="2284" t="s">
        <v>1973</v>
      </c>
      <c r="B11" s="2285"/>
      <c r="C11" s="2285"/>
      <c r="D11" s="2286"/>
      <c r="E11" s="977">
        <v>23479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7142694</v>
      </c>
      <c r="F19" s="1799"/>
      <c r="G19" s="1801">
        <f>'Expenditures 15-22'!K33-SUM('Expenditures 15-22'!G33,'Expenditures 15-22'!I33)+'Expenditures 15-22'!D229</f>
        <v>7142694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640485</v>
      </c>
      <c r="F21" s="1802"/>
      <c r="G21" s="1805">
        <f>'Expenditures 15-22'!K42-SUM('Expenditures 15-22'!G42,'Expenditures 15-22'!I42)+'Expenditures 15-22'!K120-SUM('Expenditures 15-22'!G120,'Expenditures 15-22'!I120)+'Expenditures 15-22'!K180-SUM('Expenditures 15-22'!G180,'Expenditures 15-22'!I180)+'Expenditures 15-22'!D238</f>
        <v>640485</v>
      </c>
      <c r="H21" s="987"/>
      <c r="I21" s="162"/>
    </row>
    <row r="22" spans="1:9" s="668" customFormat="1" ht="12" customHeight="1" x14ac:dyDescent="0.2">
      <c r="A22" s="994" t="s">
        <v>563</v>
      </c>
      <c r="B22" s="995"/>
      <c r="C22" s="993">
        <v>2200</v>
      </c>
      <c r="D22" s="1802"/>
      <c r="E22" s="1804">
        <f>'Expenditures 15-22'!K47-SUM('Expenditures 15-22'!G47,'Expenditures 15-22'!I47)+'Expenditures 15-22'!D243</f>
        <v>89190</v>
      </c>
      <c r="F22" s="1802"/>
      <c r="G22" s="1805">
        <f>'Expenditures 15-22'!K47-SUM('Expenditures 15-22'!G47,'Expenditures 15-22'!I47)+'Expenditures 15-22'!D243</f>
        <v>89190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506500</v>
      </c>
      <c r="F23" s="1802"/>
      <c r="G23" s="1804">
        <f>'Expenditures 15-22'!K53-SUM('Expenditures 15-22'!G53,'Expenditures 15-22'!I53)+'Expenditures 15-22'!D257+'Expenditures 15-22'!K330-SUM('Expenditures 15-22'!G330,'Expenditures 15-22'!I330)</f>
        <v>506500</v>
      </c>
      <c r="H23" s="987"/>
      <c r="I23" s="162"/>
    </row>
    <row r="24" spans="1:9" s="668" customFormat="1" ht="12" customHeight="1" x14ac:dyDescent="0.2">
      <c r="A24" s="994" t="s">
        <v>565</v>
      </c>
      <c r="B24" s="995"/>
      <c r="C24" s="993">
        <v>2400</v>
      </c>
      <c r="D24" s="1802"/>
      <c r="E24" s="1804">
        <f>'Expenditures 15-22'!K57-SUM('Expenditures 15-22'!G57,'Expenditures 15-22'!I57)+'Expenditures 15-22'!D261</f>
        <v>566543</v>
      </c>
      <c r="F24" s="1802"/>
      <c r="G24" s="1805">
        <f>'Expenditures 15-22'!K57-SUM('Expenditures 15-22'!G57,'Expenditures 15-22'!I57)+'Expenditures 15-22'!D261</f>
        <v>566543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117729</v>
      </c>
      <c r="E27" s="1804">
        <f>E8</f>
        <v>0</v>
      </c>
      <c r="F27" s="1804">
        <f>'Expenditures 15-22'!K60-SUM('Expenditures 15-22'!G60,'Expenditures 15-22'!I60)+'Expenditures 15-22'!D264-E8</f>
        <v>117729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1382407</v>
      </c>
      <c r="F28" s="1806">
        <f>'Expenditures 15-22'!K61-SUM('Expenditures 15-22'!G61,'Expenditures 15-22'!I61)+'Expenditures 15-22'!K124-SUM('Expenditures 15-22'!G124,'Expenditures 15-22'!I124)+'Expenditures 15-22'!D266-E9</f>
        <v>1382407</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511746</v>
      </c>
      <c r="F29" s="1802"/>
      <c r="G29" s="1805">
        <f>'Expenditures 15-22'!K62-SUM('Expenditures 15-22'!G62,'Expenditures 15-22'!I62)+'Expenditures 15-22'!K125-SUM('Expenditures 15-22'!G125,'Expenditures 15-22'!I125)+'Expenditures 15-22'!K182-SUM('Expenditures 15-22'!G182,'Expenditures 15-22'!I182)+'Expenditures 15-22'!D267</f>
        <v>511746</v>
      </c>
      <c r="H29" s="985"/>
    </row>
    <row r="30" spans="1:9" ht="12" customHeight="1" x14ac:dyDescent="0.2">
      <c r="A30" s="994" t="s">
        <v>100</v>
      </c>
      <c r="B30" s="997"/>
      <c r="C30" s="993">
        <v>2560</v>
      </c>
      <c r="D30" s="1802"/>
      <c r="E30" s="1804">
        <f>'Expenditures 15-22'!K63-SUM('Expenditures 15-22'!G63,'Expenditures 15-22'!I63)+'Expenditures 15-22'!D268-E10</f>
        <v>221570</v>
      </c>
      <c r="F30" s="1802"/>
      <c r="G30" s="1804">
        <f>'Expenditures 15-22'!K63-SUM('Expenditures 15-22'!G63,'Expenditures 15-22'!I63)+'Expenditures 15-22'!D268-E10</f>
        <v>221570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345046</v>
      </c>
      <c r="E37" s="1804">
        <f>E14</f>
        <v>0</v>
      </c>
      <c r="F37" s="1804">
        <f>'Expenditures 15-22'!K71-SUM('Expenditures 15-22'!G71,'Expenditures 15-22'!I71)+'Expenditures 15-22'!D276-E14</f>
        <v>345046</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3833</v>
      </c>
      <c r="F38" s="1802"/>
      <c r="G38" s="1804">
        <f>'Expenditures 15-22'!K73-SUM('Expenditures 15-22'!G73,'Expenditures 15-22'!I73)+'Expenditures 15-22'!K128-SUM('Expenditures 15-22'!G128,'Expenditures 15-22'!I128)+'Expenditures 15-22'!K183-SUM('Expenditures 15-22'!G183,'Expenditures 15-22'!I183)+'Expenditures 15-22'!D278</f>
        <v>3833</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462775</v>
      </c>
      <c r="E41" s="1806">
        <f>SUM(E19:E40)</f>
        <v>11064968</v>
      </c>
      <c r="F41" s="1806">
        <f>SUM(F19:F39)</f>
        <v>1845182</v>
      </c>
      <c r="G41" s="1806">
        <f>SUM(G19:G40)</f>
        <v>9682561</v>
      </c>
    </row>
    <row r="42" spans="1:7" x14ac:dyDescent="0.2">
      <c r="A42" s="987"/>
      <c r="B42" s="162"/>
      <c r="C42" s="1001"/>
      <c r="D42" s="2282" t="s">
        <v>521</v>
      </c>
      <c r="E42" s="2283"/>
      <c r="F42" s="1002" t="s">
        <v>522</v>
      </c>
      <c r="G42" s="1003"/>
    </row>
    <row r="43" spans="1:7" ht="12" customHeight="1" x14ac:dyDescent="0.2">
      <c r="A43" s="987"/>
      <c r="B43" s="162"/>
      <c r="C43" s="1001"/>
      <c r="D43" s="1807" t="s">
        <v>472</v>
      </c>
      <c r="E43" s="1808">
        <f>D41</f>
        <v>462775</v>
      </c>
      <c r="F43" s="1807" t="s">
        <v>472</v>
      </c>
      <c r="G43" s="1808">
        <f>F41</f>
        <v>1845182</v>
      </c>
    </row>
    <row r="44" spans="1:7" ht="12" customHeight="1" x14ac:dyDescent="0.2">
      <c r="A44" s="987"/>
      <c r="B44" s="162"/>
      <c r="C44" s="1001"/>
      <c r="D44" s="1807" t="s">
        <v>473</v>
      </c>
      <c r="E44" s="1808">
        <f>E41</f>
        <v>11064968</v>
      </c>
      <c r="F44" s="1807" t="s">
        <v>473</v>
      </c>
      <c r="G44" s="1808">
        <f>G41</f>
        <v>9682561</v>
      </c>
    </row>
    <row r="45" spans="1:7" ht="12" customHeight="1" x14ac:dyDescent="0.2">
      <c r="A45" s="987"/>
      <c r="B45" s="162"/>
      <c r="C45" s="162"/>
      <c r="D45" s="1809" t="s">
        <v>1005</v>
      </c>
      <c r="E45" s="1810">
        <f>(E43/E44)</f>
        <v>4.1823437718030453E-2</v>
      </c>
      <c r="F45" s="1809" t="s">
        <v>1005</v>
      </c>
      <c r="G45" s="1810">
        <f>(G43/G44)</f>
        <v>0.19056755748814802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L97"/>
  <sheetViews>
    <sheetView showGridLines="0" zoomScale="110" zoomScaleNormal="110" workbookViewId="0">
      <pane ySplit="4" topLeftCell="A7" activePane="bottomLeft" state="frozen"/>
      <selection activeCell="A47" sqref="A47"/>
      <selection pane="bottomLeft" activeCell="B10" sqref="B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1378</v>
      </c>
      <c r="B1" s="2290"/>
      <c r="C1" s="2290"/>
      <c r="D1" s="2290"/>
      <c r="E1" s="2290"/>
      <c r="F1" s="2290"/>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291" t="s">
        <v>1545</v>
      </c>
      <c r="B5" s="2292"/>
      <c r="C5" s="2293"/>
      <c r="D5" s="2293"/>
      <c r="E5" s="2293"/>
      <c r="F5" s="2293"/>
    </row>
    <row r="6" spans="1:10" ht="12" customHeight="1" x14ac:dyDescent="0.25">
      <c r="A6" s="1850"/>
      <c r="B6" s="1851"/>
      <c r="C6" s="2294" t="str">
        <f>COVER!A17</f>
        <v>Gillespie CUSD 7</v>
      </c>
      <c r="D6" s="2294"/>
      <c r="E6" s="2294"/>
      <c r="F6" s="1852"/>
    </row>
    <row r="7" spans="1:10" ht="11.25" customHeight="1" thickBot="1" x14ac:dyDescent="0.3">
      <c r="A7" s="1850"/>
      <c r="B7" s="1851"/>
      <c r="C7" s="2295">
        <f>COVER!A13</f>
        <v>40056007026</v>
      </c>
      <c r="D7" s="2295"/>
      <c r="E7" s="2295"/>
      <c r="F7" s="1852"/>
    </row>
    <row r="8" spans="1:10" ht="25.5" customHeight="1" thickBot="1" x14ac:dyDescent="0.25">
      <c r="A8" s="1893" t="s">
        <v>1904</v>
      </c>
      <c r="B8" s="1853" t="s">
        <v>2060</v>
      </c>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1391</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1390</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C00000"/>
  </sheetPr>
  <dimension ref="A1:Q40"/>
  <sheetViews>
    <sheetView showGridLines="0" defaultGridColor="0" topLeftCell="A1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4" t="str">
        <f>COVER!A17</f>
        <v>Gillespie CUSD 7</v>
      </c>
      <c r="J6" s="2315"/>
      <c r="Q6" s="1664"/>
    </row>
    <row r="7" spans="1:17" x14ac:dyDescent="0.2">
      <c r="A7" s="2316" t="s">
        <v>868</v>
      </c>
      <c r="B7" s="2317"/>
      <c r="C7" s="2317"/>
      <c r="D7" s="2317"/>
      <c r="E7" s="2318"/>
      <c r="F7" s="1017"/>
      <c r="G7" s="1009"/>
      <c r="H7" s="1016" t="s">
        <v>371</v>
      </c>
      <c r="I7" s="2319">
        <f>COVER!A13</f>
        <v>40056007026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0" t="s">
        <v>480</v>
      </c>
      <c r="B11" s="2321"/>
      <c r="C11" s="2322"/>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273208</v>
      </c>
      <c r="F12" s="1039"/>
      <c r="G12" s="1811">
        <f t="shared" ref="G12:G18" si="0">SUM(E12:F12)</f>
        <v>273208</v>
      </c>
      <c r="H12" s="1040">
        <v>262600</v>
      </c>
      <c r="I12" s="1039"/>
      <c r="J12" s="1811">
        <f t="shared" ref="J12:J18" si="1">SUM(H12:I12)</f>
        <v>262600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273208</v>
      </c>
      <c r="F19" s="1813">
        <f t="shared" si="2"/>
        <v>0</v>
      </c>
      <c r="G19" s="1813">
        <f t="shared" si="2"/>
        <v>273208</v>
      </c>
      <c r="H19" s="1813">
        <f t="shared" si="2"/>
        <v>262600</v>
      </c>
      <c r="I19" s="1813">
        <f t="shared" si="2"/>
        <v>0</v>
      </c>
      <c r="J19" s="1813">
        <f t="shared" si="2"/>
        <v>262600</v>
      </c>
    </row>
    <row r="20" spans="1:10" ht="13.5" thickTop="1" x14ac:dyDescent="0.2">
      <c r="A20" s="1035">
        <v>9</v>
      </c>
      <c r="B20" s="2326" t="s">
        <v>1977</v>
      </c>
      <c r="C20" s="2326"/>
      <c r="D20" s="2327"/>
      <c r="E20" s="1046"/>
      <c r="F20" s="1046"/>
      <c r="G20" s="1046"/>
      <c r="H20" s="1046"/>
      <c r="I20" s="1046"/>
      <c r="J20" s="1814">
        <f>IF(AND(G19&gt;0,J19&gt;0),(((J19-G19)/G19)),"Enter Budget Data")</f>
        <v>-3.8827559954320516E-2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1032</v>
      </c>
      <c r="D27" s="1052"/>
      <c r="E27" s="1053"/>
      <c r="F27" s="2328" t="s">
        <v>1508</v>
      </c>
      <c r="G27" s="2328"/>
    </row>
    <row r="28" spans="1:10" ht="28.5" customHeight="1" x14ac:dyDescent="0.2">
      <c r="B28" s="1047"/>
      <c r="C28" s="2330"/>
      <c r="D28" s="2330"/>
      <c r="E28" s="1054"/>
      <c r="F28" s="2330"/>
      <c r="G28" s="2330"/>
    </row>
    <row r="29" spans="1:10" x14ac:dyDescent="0.2">
      <c r="B29" s="1047"/>
      <c r="C29" s="1055" t="s">
        <v>1560</v>
      </c>
      <c r="E29" s="1056"/>
      <c r="F29" s="2329" t="s">
        <v>1509</v>
      </c>
      <c r="G29" s="2329"/>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1979</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881</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6"/>
  <sheetViews>
    <sheetView showGridLines="0" zoomScale="110" zoomScaleNormal="110" workbookViewId="0">
      <selection activeCell="F23" sqref="F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333" t="s">
        <v>2171</v>
      </c>
    </row>
    <row r="6" spans="1:2" x14ac:dyDescent="0.2">
      <c r="A6" s="1068"/>
      <c r="B6" s="2333"/>
    </row>
    <row r="7" spans="1:2" x14ac:dyDescent="0.2">
      <c r="A7" s="1068">
        <v>2</v>
      </c>
      <c r="B7" s="329" t="s">
        <v>2092</v>
      </c>
    </row>
    <row r="8" spans="1:2" x14ac:dyDescent="0.2">
      <c r="A8" s="1068">
        <v>3</v>
      </c>
      <c r="B8" s="329" t="s">
        <v>2093</v>
      </c>
    </row>
    <row r="9" spans="1:2" x14ac:dyDescent="0.2">
      <c r="A9" s="1068">
        <v>4</v>
      </c>
      <c r="B9" s="329" t="s">
        <v>2094</v>
      </c>
    </row>
    <row r="10" spans="1:2" x14ac:dyDescent="0.2">
      <c r="A10" s="1068">
        <v>5</v>
      </c>
      <c r="B10" s="329" t="s">
        <v>2095</v>
      </c>
    </row>
    <row r="11" spans="1:2" x14ac:dyDescent="0.2">
      <c r="A11" s="1068">
        <v>6</v>
      </c>
      <c r="B11" s="329" t="s">
        <v>2096</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Gillespie CUSD 7</v>
      </c>
    </row>
    <row r="66" spans="1:2" x14ac:dyDescent="0.2">
      <c r="B66" s="1070">
        <f>COVER!A13</f>
        <v>40056007026</v>
      </c>
    </row>
  </sheetData>
  <mergeCells count="1">
    <mergeCell ref="B5:B6"/>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7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0" t="s">
        <v>1064</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690</v>
      </c>
      <c r="B40" s="2047"/>
      <c r="C40" s="2047"/>
      <c r="D40" s="2047"/>
      <c r="E40" s="2047"/>
    </row>
    <row r="41" spans="1:5" x14ac:dyDescent="0.2">
      <c r="A41" s="2048" t="s">
        <v>1607</v>
      </c>
      <c r="B41" s="2048"/>
      <c r="C41" s="2048"/>
      <c r="D41" s="2048"/>
      <c r="E41" s="2048"/>
    </row>
    <row r="42" spans="1:5" ht="12.75" customHeight="1" x14ac:dyDescent="0.2">
      <c r="A42" s="2049" t="s">
        <v>1021</v>
      </c>
      <c r="B42" s="2049"/>
      <c r="C42" s="2049"/>
      <c r="D42" s="2049"/>
      <c r="E42" s="2049"/>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4" t="s">
        <v>1684</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390525</xdr:colOff>
                <xdr:row>3</xdr:row>
                <xdr:rowOff>66675</xdr:rowOff>
              </from>
              <to>
                <xdr:col>1</xdr:col>
                <xdr:colOff>1304925</xdr:colOff>
                <xdr:row>8</xdr:row>
                <xdr:rowOff>28575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1983</v>
      </c>
      <c r="B2" s="2346"/>
      <c r="C2" s="2346"/>
      <c r="D2" s="2346"/>
      <c r="E2" s="2346"/>
      <c r="F2" s="2347"/>
      <c r="G2" s="1074"/>
      <c r="H2" s="1074"/>
    </row>
    <row r="3" spans="1:8" ht="57" customHeight="1" x14ac:dyDescent="0.2">
      <c r="A3" s="2348" t="s">
        <v>1685</v>
      </c>
      <c r="B3" s="2349"/>
      <c r="C3" s="2349"/>
      <c r="D3" s="2349"/>
      <c r="E3" s="2349"/>
      <c r="F3" s="2350"/>
      <c r="G3" s="1074"/>
      <c r="H3" s="1074"/>
    </row>
    <row r="4" spans="1:8" ht="14.25" customHeight="1" x14ac:dyDescent="0.2">
      <c r="A4" s="2354" t="s">
        <v>1984</v>
      </c>
      <c r="B4" s="2355"/>
      <c r="C4" s="2355"/>
      <c r="D4" s="2355"/>
      <c r="E4" s="2355"/>
      <c r="F4" s="2356"/>
      <c r="G4" s="1074"/>
      <c r="H4" s="1074"/>
    </row>
    <row r="5" spans="1:8" ht="14.25" customHeight="1" x14ac:dyDescent="0.2">
      <c r="A5" s="2357" t="s">
        <v>1980</v>
      </c>
      <c r="B5" s="2358"/>
      <c r="C5" s="2358"/>
      <c r="D5" s="2358"/>
      <c r="E5" s="2358"/>
      <c r="F5" s="2359"/>
      <c r="G5" s="1074"/>
      <c r="H5" s="1074"/>
    </row>
    <row r="6" spans="1:8" s="1075" customFormat="1" ht="41.25" customHeight="1" x14ac:dyDescent="0.2">
      <c r="A6" s="2351" t="s">
        <v>1690</v>
      </c>
      <c r="B6" s="2352"/>
      <c r="C6" s="2352"/>
      <c r="D6" s="2352"/>
      <c r="E6" s="2352"/>
      <c r="F6" s="2353"/>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11276014</v>
      </c>
      <c r="C8" s="1815">
        <f>'Acct Summary 7-8'!D8</f>
        <v>616582</v>
      </c>
      <c r="D8" s="1815">
        <f>'Acct Summary 7-8'!F8</f>
        <v>413344</v>
      </c>
      <c r="E8" s="1815">
        <f>'Acct Summary 7-8'!I8</f>
        <v>41427</v>
      </c>
      <c r="F8" s="1815">
        <f>SUM(B8:E8)</f>
        <v>12347367</v>
      </c>
    </row>
    <row r="9" spans="1:8" s="1079" customFormat="1" ht="14.25" customHeight="1" thickBot="1" x14ac:dyDescent="0.25">
      <c r="A9" s="1078" t="s">
        <v>1368</v>
      </c>
      <c r="B9" s="1816">
        <f>'Acct Summary 7-8'!C17</f>
        <v>11620271</v>
      </c>
      <c r="C9" s="1816">
        <f>'Acct Summary 7-8'!D17</f>
        <v>742478</v>
      </c>
      <c r="D9" s="1816">
        <f>'Acct Summary 7-8'!F17</f>
        <v>655364</v>
      </c>
      <c r="E9" s="1815"/>
      <c r="F9" s="1815">
        <f>SUM(B9:E9)</f>
        <v>13018113</v>
      </c>
    </row>
    <row r="10" spans="1:8" s="1079" customFormat="1" ht="14.25" thickTop="1" thickBot="1" x14ac:dyDescent="0.25">
      <c r="A10" s="1080" t="s">
        <v>1369</v>
      </c>
      <c r="B10" s="1817">
        <f>(B8-B9)</f>
        <v>-344257</v>
      </c>
      <c r="C10" s="1817">
        <f>(C8-C9)</f>
        <v>-125896</v>
      </c>
      <c r="D10" s="1817">
        <f>(D8-D9)</f>
        <v>-242020</v>
      </c>
      <c r="E10" s="1816">
        <f>(E8-E9)</f>
        <v>41427</v>
      </c>
      <c r="F10" s="1818">
        <f>SUM(F8-F9)</f>
        <v>-670746</v>
      </c>
    </row>
    <row r="11" spans="1:8" s="1079" customFormat="1" ht="14.25" thickTop="1" thickBot="1" x14ac:dyDescent="0.25">
      <c r="A11" s="1081" t="s">
        <v>1981</v>
      </c>
      <c r="B11" s="1819">
        <f>'Acct Summary 7-8'!C81</f>
        <v>4169167</v>
      </c>
      <c r="C11" s="1819">
        <f>'Acct Summary 7-8'!D81</f>
        <v>511333</v>
      </c>
      <c r="D11" s="1819">
        <f>'Acct Summary 7-8'!F81</f>
        <v>125876</v>
      </c>
      <c r="E11" s="1819">
        <f>'Acct Summary 7-8'!I81</f>
        <v>2469887</v>
      </c>
      <c r="F11" s="1820">
        <f>SUM(B11:E11)</f>
        <v>7276263</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1686</v>
      </c>
      <c r="B16" s="2338"/>
      <c r="C16" s="2338"/>
      <c r="D16" s="2338"/>
      <c r="E16" s="2338"/>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664</v>
      </c>
      <c r="B3" s="2361"/>
      <c r="C3" s="2361"/>
      <c r="D3" s="2362"/>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1" t="s">
        <v>1503</v>
      </c>
      <c r="D7" s="2372"/>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3" t="s">
        <v>1007</v>
      </c>
      <c r="B15" s="2364"/>
      <c r="C15" s="2364"/>
      <c r="D15" s="2365"/>
    </row>
    <row r="16" spans="1:4" s="668" customFormat="1" ht="24" customHeight="1" x14ac:dyDescent="0.2">
      <c r="A16" s="2366" t="s">
        <v>662</v>
      </c>
      <c r="B16" s="2367"/>
      <c r="C16" s="2367"/>
      <c r="D16" s="2368"/>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5" t="s">
        <v>313</v>
      </c>
      <c r="D21" s="2376"/>
    </row>
    <row r="22" spans="1:10" ht="12.75" x14ac:dyDescent="0.2">
      <c r="A22" s="1139"/>
      <c r="B22" s="1140">
        <v>2</v>
      </c>
      <c r="C22" s="2373" t="s">
        <v>1523</v>
      </c>
      <c r="D22" s="2374"/>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7" t="s">
        <v>535</v>
      </c>
      <c r="D43" s="2378"/>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69" t="s">
        <v>783</v>
      </c>
      <c r="D56" s="2370"/>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369" t="s">
        <v>1695</v>
      </c>
      <c r="D70" s="2370"/>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40056007026</v>
      </c>
    </row>
    <row r="3" spans="1:2" x14ac:dyDescent="0.2">
      <c r="A3" t="s">
        <v>955</v>
      </c>
      <c r="B3" s="138" t="str">
        <f>COVER!A15</f>
        <v>MACOUPIN</v>
      </c>
    </row>
    <row r="4" spans="1:2" x14ac:dyDescent="0.2">
      <c r="A4" t="s">
        <v>1006</v>
      </c>
      <c r="B4" s="138" t="str">
        <f>COVER!A17</f>
        <v>Gillespie CUSD 7</v>
      </c>
    </row>
    <row r="5" spans="1:2" x14ac:dyDescent="0.2">
      <c r="A5" t="s">
        <v>703</v>
      </c>
      <c r="B5" s="138" t="str">
        <f>COVER!A38</f>
        <v>JOE TIEMAN</v>
      </c>
    </row>
    <row r="6" spans="1:2" x14ac:dyDescent="0.2">
      <c r="A6" t="s">
        <v>708</v>
      </c>
      <c r="B6" s="138">
        <f>COVER!P35</f>
        <v>0</v>
      </c>
    </row>
    <row r="7" spans="1:2" x14ac:dyDescent="0.2">
      <c r="A7" t="s">
        <v>704</v>
      </c>
      <c r="B7" s="138">
        <f>COVER!I38</f>
        <v>0</v>
      </c>
    </row>
    <row r="8" spans="1:2" x14ac:dyDescent="0.2">
      <c r="A8" t="s">
        <v>705</v>
      </c>
      <c r="B8" s="138" t="str">
        <f>COVER!T38</f>
        <v>MICHELLE MUELLER</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060-003363</v>
      </c>
    </row>
    <row r="16" spans="1:2" x14ac:dyDescent="0.2">
      <c r="A16" t="s">
        <v>421</v>
      </c>
      <c r="B16" s="138" t="str">
        <f>COVER!T13</f>
        <v>LOY MILLER TALLEY, PC</v>
      </c>
    </row>
    <row r="17" spans="1:2" x14ac:dyDescent="0.2">
      <c r="A17" t="s">
        <v>883</v>
      </c>
      <c r="B17" s="138" t="str">
        <f>COVER!T15</f>
        <v>KENNETH E. LOY, CPA</v>
      </c>
    </row>
    <row r="18" spans="1:2" x14ac:dyDescent="0.2">
      <c r="A18" t="s">
        <v>1149</v>
      </c>
      <c r="B18" s="138" t="str">
        <f>COVER!T17</f>
        <v>#2 CROSSROADS CT</v>
      </c>
    </row>
    <row r="19" spans="1:2" x14ac:dyDescent="0.2">
      <c r="A19" t="s">
        <v>885</v>
      </c>
      <c r="B19" s="138" t="str">
        <f>COVER!T25</f>
        <v>KEN@LMTCPAS.COM</v>
      </c>
    </row>
    <row r="20" spans="1:2" x14ac:dyDescent="0.2">
      <c r="A20" t="s">
        <v>886</v>
      </c>
      <c r="B20" s="138" t="str">
        <f>COVER!T19</f>
        <v>ALTON</v>
      </c>
    </row>
    <row r="21" spans="1:2" x14ac:dyDescent="0.2">
      <c r="A21" t="s">
        <v>478</v>
      </c>
      <c r="B21" s="138" t="str">
        <f>COVER!X19</f>
        <v>IL</v>
      </c>
    </row>
    <row r="22" spans="1:2" x14ac:dyDescent="0.2">
      <c r="A22" t="s">
        <v>887</v>
      </c>
      <c r="B22" s="138">
        <f>COVER!Z19</f>
        <v>62002</v>
      </c>
    </row>
    <row r="23" spans="1:2" x14ac:dyDescent="0.2">
      <c r="A23" t="s">
        <v>1151</v>
      </c>
      <c r="B23" s="138" t="str">
        <f>COVER!T21</f>
        <v>618-465-1196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t="str">
        <f>COVER!U34</f>
        <v>X</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35374</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2754656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4169167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4169167</v>
      </c>
      <c r="D92" s="2" t="str">
        <f t="shared" si="0"/>
        <v>Error?</v>
      </c>
    </row>
    <row r="93" spans="1:4" x14ac:dyDescent="0.2">
      <c r="A93" s="5">
        <v>32</v>
      </c>
      <c r="B93" s="138">
        <f>'Assets-Liab 5-6'!C41</f>
        <v>4169167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511333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511333</v>
      </c>
      <c r="D123" s="2" t="str">
        <f t="shared" si="0"/>
        <v>Error?</v>
      </c>
    </row>
    <row r="124" spans="1:4" x14ac:dyDescent="0.2">
      <c r="A124" s="5">
        <v>63</v>
      </c>
      <c r="B124" s="138">
        <f>'Assets-Liab 5-6'!D41</f>
        <v>511333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89303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89303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125876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125876</v>
      </c>
      <c r="D170" s="2" t="str">
        <f t="shared" si="1"/>
        <v>Error?</v>
      </c>
    </row>
    <row r="171" spans="1:4" x14ac:dyDescent="0.2">
      <c r="A171" s="5">
        <v>110</v>
      </c>
      <c r="B171" s="138">
        <f>'Assets-Liab 5-6'!F41</f>
        <v>125876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162299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162299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568336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568336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438409</v>
      </c>
      <c r="D273" s="2" t="str">
        <f t="shared" si="3"/>
        <v>Error?</v>
      </c>
    </row>
    <row r="274" spans="1:4" x14ac:dyDescent="0.2">
      <c r="A274" s="5">
        <v>213</v>
      </c>
      <c r="B274" s="138">
        <f>'Assets-Liab 5-6'!M17</f>
        <v>36401895</v>
      </c>
      <c r="D274" s="2" t="str">
        <f t="shared" si="3"/>
        <v>Error?</v>
      </c>
    </row>
    <row r="275" spans="1:4" x14ac:dyDescent="0.2">
      <c r="A275" s="5">
        <v>214</v>
      </c>
      <c r="B275" s="138">
        <f>'Assets-Liab 5-6'!M18</f>
        <v>226522</v>
      </c>
      <c r="D275" s="2" t="str">
        <f t="shared" si="3"/>
        <v>Error?</v>
      </c>
    </row>
    <row r="276" spans="1:4" x14ac:dyDescent="0.2">
      <c r="A276" s="5">
        <v>215</v>
      </c>
      <c r="B276" s="138">
        <f>'Assets-Liab 5-6'!M19</f>
        <v>2164329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40341556</v>
      </c>
      <c r="C279" s="2" t="s">
        <v>572</v>
      </c>
      <c r="D279" s="2" t="str">
        <f t="shared" si="3"/>
        <v>Error?</v>
      </c>
    </row>
    <row r="280" spans="1:4" x14ac:dyDescent="0.2">
      <c r="A280" s="5">
        <v>219</v>
      </c>
      <c r="B280" s="138">
        <f>'Assets-Liab 5-6'!M40</f>
        <v>40341556</v>
      </c>
      <c r="D280" s="2" t="str">
        <f t="shared" si="3"/>
        <v>Error?</v>
      </c>
    </row>
    <row r="281" spans="1:4" x14ac:dyDescent="0.2">
      <c r="A281" s="5">
        <v>220</v>
      </c>
      <c r="B281" s="138">
        <f>'Assets-Liab 5-6'!M41</f>
        <v>40341556</v>
      </c>
      <c r="C281" s="2" t="s">
        <v>572</v>
      </c>
      <c r="D281" s="2" t="str">
        <f t="shared" si="3"/>
        <v>Error?</v>
      </c>
    </row>
    <row r="282" spans="1:4" x14ac:dyDescent="0.2">
      <c r="A282" s="5">
        <v>221</v>
      </c>
      <c r="B282" s="138">
        <f>'Assets-Liab 5-6'!N21</f>
        <v>89303</v>
      </c>
      <c r="D282" s="2" t="str">
        <f t="shared" si="3"/>
        <v>Error?</v>
      </c>
    </row>
    <row r="283" spans="1:4" x14ac:dyDescent="0.2">
      <c r="A283" s="5">
        <v>222</v>
      </c>
      <c r="B283" s="138">
        <f>'Assets-Liab 5-6'!N22</f>
        <v>13138398</v>
      </c>
      <c r="D283" s="2" t="str">
        <f t="shared" si="3"/>
        <v>Error?</v>
      </c>
    </row>
    <row r="284" spans="1:4" x14ac:dyDescent="0.2">
      <c r="A284" s="5">
        <v>223</v>
      </c>
      <c r="B284" s="138">
        <f>'Assets-Liab 5-6'!N23</f>
        <v>13227701</v>
      </c>
      <c r="C284" s="2" t="s">
        <v>572</v>
      </c>
      <c r="D284" s="2" t="str">
        <f t="shared" si="3"/>
        <v>Error?</v>
      </c>
    </row>
    <row r="285" spans="1:4" x14ac:dyDescent="0.2">
      <c r="A285" s="5">
        <v>224</v>
      </c>
      <c r="B285" s="138">
        <f>'Assets-Liab 5-6'!N36</f>
        <v>13227701</v>
      </c>
      <c r="D285" s="2" t="str">
        <f t="shared" si="3"/>
        <v>Error?</v>
      </c>
    </row>
    <row r="286" spans="1:4" x14ac:dyDescent="0.2">
      <c r="A286" s="10">
        <v>225</v>
      </c>
      <c r="D286" s="2" t="str">
        <f t="shared" si="3"/>
        <v>OK</v>
      </c>
    </row>
    <row r="287" spans="1:4" x14ac:dyDescent="0.2">
      <c r="A287" s="5">
        <v>226</v>
      </c>
      <c r="B287" s="138">
        <f>'Assets-Liab 5-6'!N37</f>
        <v>13227701</v>
      </c>
      <c r="C287" s="2" t="s">
        <v>572</v>
      </c>
      <c r="D287" s="2" t="str">
        <f t="shared" si="3"/>
        <v>Error?</v>
      </c>
    </row>
    <row r="288" spans="1:4" x14ac:dyDescent="0.2">
      <c r="A288" s="5">
        <v>227</v>
      </c>
      <c r="B288" s="138">
        <f>'Assets-Liab 5-6'!N41</f>
        <v>13227701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3968593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272797</v>
      </c>
      <c r="D717" s="2" t="str">
        <f t="shared" si="10"/>
        <v>Error?</v>
      </c>
    </row>
    <row r="718" spans="1:4" x14ac:dyDescent="0.2">
      <c r="A718" s="5">
        <v>657</v>
      </c>
      <c r="B718" s="138">
        <f>'Expenditures 15-22'!C14</f>
        <v>126759</v>
      </c>
      <c r="D718" s="2" t="str">
        <f t="shared" si="10"/>
        <v>Error?</v>
      </c>
    </row>
    <row r="719" spans="1:4" x14ac:dyDescent="0.2">
      <c r="A719" s="5">
        <v>658</v>
      </c>
      <c r="B719" s="138">
        <f>'Expenditures 15-22'!C15</f>
        <v>14250</v>
      </c>
      <c r="D719" s="2" t="str">
        <f t="shared" si="10"/>
        <v>Error?</v>
      </c>
    </row>
    <row r="720" spans="1:4" x14ac:dyDescent="0.2">
      <c r="A720" s="5">
        <v>659</v>
      </c>
      <c r="B720" s="138">
        <f>'Expenditures 15-22'!C33</f>
        <v>5420712</v>
      </c>
      <c r="C720" s="2" t="s">
        <v>572</v>
      </c>
      <c r="D720" s="2" t="str">
        <f t="shared" si="10"/>
        <v>Error?</v>
      </c>
    </row>
    <row r="721" spans="1:4" x14ac:dyDescent="0.2">
      <c r="A721" s="5">
        <v>660</v>
      </c>
      <c r="B721" s="138">
        <f>'Expenditures 15-22'!C36</f>
        <v>63119</v>
      </c>
      <c r="D721" s="2" t="str">
        <f t="shared" si="10"/>
        <v>Error?</v>
      </c>
    </row>
    <row r="722" spans="1:4" x14ac:dyDescent="0.2">
      <c r="A722" s="5">
        <v>661</v>
      </c>
      <c r="B722" s="138">
        <f>'Expenditures 15-22'!C37</f>
        <v>170874</v>
      </c>
      <c r="D722" s="2" t="str">
        <f t="shared" si="10"/>
        <v>Error?</v>
      </c>
    </row>
    <row r="723" spans="1:4" x14ac:dyDescent="0.2">
      <c r="A723" s="5">
        <v>662</v>
      </c>
      <c r="B723" s="138">
        <f>'Expenditures 15-22'!C38</f>
        <v>133363</v>
      </c>
      <c r="D723" s="2" t="str">
        <f t="shared" si="10"/>
        <v>Error?</v>
      </c>
    </row>
    <row r="724" spans="1:4" x14ac:dyDescent="0.2">
      <c r="A724" s="5">
        <v>663</v>
      </c>
      <c r="B724" s="138">
        <f>'Expenditures 15-22'!C39</f>
        <v>38348</v>
      </c>
      <c r="D724" s="2" t="str">
        <f t="shared" si="10"/>
        <v>Error?</v>
      </c>
    </row>
    <row r="725" spans="1:4" x14ac:dyDescent="0.2">
      <c r="A725" s="5">
        <v>664</v>
      </c>
      <c r="B725" s="138">
        <f>'Expenditures 15-22'!C40</f>
        <v>111831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517535</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59542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59542</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185902</v>
      </c>
      <c r="D733" s="2" t="str">
        <f t="shared" si="10"/>
        <v>Error?</v>
      </c>
    </row>
    <row r="734" spans="1:4" x14ac:dyDescent="0.2">
      <c r="A734" s="5">
        <v>673</v>
      </c>
      <c r="B734" s="138">
        <f>'Expenditures 15-22'!C53</f>
        <v>185902</v>
      </c>
      <c r="C734" s="2" t="s">
        <v>572</v>
      </c>
      <c r="D734" s="2" t="str">
        <f t="shared" si="10"/>
        <v>Error?</v>
      </c>
    </row>
    <row r="735" spans="1:4" x14ac:dyDescent="0.2">
      <c r="A735" s="5">
        <v>674</v>
      </c>
      <c r="B735" s="138">
        <f>'Expenditures 15-22'!C55</f>
        <v>396785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396785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93783</v>
      </c>
      <c r="D739" s="2" t="str">
        <f t="shared" si="10"/>
        <v>Error?</v>
      </c>
    </row>
    <row r="740" spans="1:4" x14ac:dyDescent="0.2">
      <c r="A740" s="5">
        <v>679</v>
      </c>
      <c r="B740" s="138">
        <f>'Expenditures 15-22'!C61</f>
        <v>448825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159602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702210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98874</v>
      </c>
      <c r="D751" s="2" t="str">
        <f t="shared" si="10"/>
        <v>Error?</v>
      </c>
    </row>
    <row r="752" spans="1:4" x14ac:dyDescent="0.2">
      <c r="A752" s="10">
        <v>691</v>
      </c>
      <c r="D752" s="2" t="str">
        <f t="shared" si="10"/>
        <v>OK</v>
      </c>
    </row>
    <row r="753" spans="1:4" x14ac:dyDescent="0.2">
      <c r="A753" s="5">
        <v>692</v>
      </c>
      <c r="B753" s="138">
        <f>'Expenditures 15-22'!C72</f>
        <v>98874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1960848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7381560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780967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64107</v>
      </c>
      <c r="D775" s="2" t="str">
        <f t="shared" si="11"/>
        <v>Error?</v>
      </c>
    </row>
    <row r="776" spans="1:4" x14ac:dyDescent="0.2">
      <c r="A776" s="5">
        <v>715</v>
      </c>
      <c r="B776" s="138">
        <f>'Expenditures 15-22'!D14</f>
        <v>12420</v>
      </c>
      <c r="D776" s="2" t="str">
        <f t="shared" si="11"/>
        <v>Error?</v>
      </c>
    </row>
    <row r="777" spans="1:4" x14ac:dyDescent="0.2">
      <c r="A777" s="5">
        <v>716</v>
      </c>
      <c r="B777" s="138">
        <f>'Expenditures 15-22'!D15</f>
        <v>3168</v>
      </c>
      <c r="D777" s="2" t="str">
        <f t="shared" si="11"/>
        <v>Error?</v>
      </c>
    </row>
    <row r="778" spans="1:4" x14ac:dyDescent="0.2">
      <c r="A778" s="5">
        <v>717</v>
      </c>
      <c r="B778" s="138">
        <f>'Expenditures 15-22'!D33</f>
        <v>1116488</v>
      </c>
      <c r="C778" s="2" t="s">
        <v>572</v>
      </c>
      <c r="D778" s="2" t="str">
        <f t="shared" si="11"/>
        <v>Error?</v>
      </c>
    </row>
    <row r="779" spans="1:4" x14ac:dyDescent="0.2">
      <c r="A779" s="5">
        <v>718</v>
      </c>
      <c r="B779" s="138">
        <f>'Expenditures 15-22'!D36</f>
        <v>8536</v>
      </c>
      <c r="D779" s="2" t="str">
        <f t="shared" si="11"/>
        <v>Error?</v>
      </c>
    </row>
    <row r="780" spans="1:4" x14ac:dyDescent="0.2">
      <c r="A780" s="5">
        <v>719</v>
      </c>
      <c r="B780" s="138">
        <f>'Expenditures 15-22'!D37</f>
        <v>36882</v>
      </c>
      <c r="D780" s="2" t="str">
        <f t="shared" si="11"/>
        <v>Error?</v>
      </c>
    </row>
    <row r="781" spans="1:4" x14ac:dyDescent="0.2">
      <c r="A781" s="5">
        <v>720</v>
      </c>
      <c r="B781" s="138">
        <f>'Expenditures 15-22'!D38</f>
        <v>29881</v>
      </c>
      <c r="D781" s="2" t="str">
        <f t="shared" si="11"/>
        <v>Error?</v>
      </c>
    </row>
    <row r="782" spans="1:4" x14ac:dyDescent="0.2">
      <c r="A782" s="5">
        <v>721</v>
      </c>
      <c r="B782" s="138">
        <f>'Expenditures 15-22'!D39</f>
        <v>5293</v>
      </c>
      <c r="D782" s="2" t="str">
        <f t="shared" si="11"/>
        <v>Error?</v>
      </c>
    </row>
    <row r="783" spans="1:4" x14ac:dyDescent="0.2">
      <c r="A783" s="5">
        <v>722</v>
      </c>
      <c r="B783" s="138">
        <f>'Expenditures 15-22'!D40</f>
        <v>20283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100875</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14104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14104</v>
      </c>
      <c r="C789" s="2" t="s">
        <v>572</v>
      </c>
      <c r="D789" s="2" t="str">
        <f t="shared" si="11"/>
        <v>Error?</v>
      </c>
    </row>
    <row r="790" spans="1:4" x14ac:dyDescent="0.2">
      <c r="A790" s="5">
        <v>729</v>
      </c>
      <c r="B790" s="138">
        <f>'Expenditures 15-22'!D49</f>
        <v>22921</v>
      </c>
      <c r="D790" s="2" t="str">
        <f t="shared" si="11"/>
        <v>Error?</v>
      </c>
    </row>
    <row r="791" spans="1:4" x14ac:dyDescent="0.2">
      <c r="A791" s="5">
        <v>730</v>
      </c>
      <c r="B791" s="138">
        <f>'Expenditures 15-22'!D50</f>
        <v>48266</v>
      </c>
      <c r="D791" s="2" t="str">
        <f t="shared" si="11"/>
        <v>Error?</v>
      </c>
    </row>
    <row r="792" spans="1:4" x14ac:dyDescent="0.2">
      <c r="A792" s="5">
        <v>731</v>
      </c>
      <c r="B792" s="138">
        <f>'Expenditures 15-22'!D53</f>
        <v>71187</v>
      </c>
      <c r="C792" s="2" t="s">
        <v>572</v>
      </c>
      <c r="D792" s="2" t="str">
        <f t="shared" si="11"/>
        <v>Error?</v>
      </c>
    </row>
    <row r="793" spans="1:4" x14ac:dyDescent="0.2">
      <c r="A793" s="5">
        <v>732</v>
      </c>
      <c r="B793" s="138">
        <f>'Expenditures 15-22'!D55</f>
        <v>112076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112076</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7112</v>
      </c>
      <c r="D797" s="2" t="str">
        <f t="shared" si="11"/>
        <v>Error?</v>
      </c>
    </row>
    <row r="798" spans="1:4" x14ac:dyDescent="0.2">
      <c r="A798" s="5">
        <v>737</v>
      </c>
      <c r="B798" s="138">
        <f>'Expenditures 15-22'!D61</f>
        <v>62235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28448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97795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7112</v>
      </c>
      <c r="D809" s="2" t="str">
        <f t="shared" si="11"/>
        <v>Error?</v>
      </c>
    </row>
    <row r="810" spans="1:4" x14ac:dyDescent="0.2">
      <c r="A810" s="10">
        <v>749</v>
      </c>
      <c r="D810" s="2" t="str">
        <f t="shared" si="11"/>
        <v>OK</v>
      </c>
    </row>
    <row r="811" spans="1:4" x14ac:dyDescent="0.2">
      <c r="A811" s="5">
        <v>750</v>
      </c>
      <c r="B811" s="138">
        <f>'Expenditures 15-22'!D72</f>
        <v>7112</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403149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1519637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76895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4678</v>
      </c>
      <c r="D833" s="2" t="str">
        <f t="shared" si="12"/>
        <v>Error?</v>
      </c>
    </row>
    <row r="834" spans="1:4" x14ac:dyDescent="0.2">
      <c r="A834" s="5">
        <v>773</v>
      </c>
      <c r="B834" s="138">
        <f>'Expenditures 15-22'!E14</f>
        <v>32371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220281</v>
      </c>
      <c r="C836" s="2" t="s">
        <v>572</v>
      </c>
      <c r="D836" s="2" t="str">
        <f t="shared" si="12"/>
        <v>Error?</v>
      </c>
    </row>
    <row r="837" spans="1:4" x14ac:dyDescent="0.2">
      <c r="A837" s="5">
        <v>776</v>
      </c>
      <c r="B837" s="138">
        <f>'Expenditures 15-22'!E36</f>
        <v>1507</v>
      </c>
      <c r="D837" s="2" t="str">
        <f t="shared" si="12"/>
        <v>Error?</v>
      </c>
    </row>
    <row r="838" spans="1:4" x14ac:dyDescent="0.2">
      <c r="A838" s="5">
        <v>777</v>
      </c>
      <c r="B838" s="138">
        <f>'Expenditures 15-22'!E37</f>
        <v>576</v>
      </c>
      <c r="D838" s="2" t="str">
        <f t="shared" si="12"/>
        <v>Error?</v>
      </c>
    </row>
    <row r="839" spans="1:4" x14ac:dyDescent="0.2">
      <c r="A839" s="5">
        <v>778</v>
      </c>
      <c r="B839" s="138">
        <f>'Expenditures 15-22'!E38</f>
        <v>542</v>
      </c>
      <c r="D839" s="2" t="str">
        <f t="shared" si="12"/>
        <v>Error?</v>
      </c>
    </row>
    <row r="840" spans="1:4" x14ac:dyDescent="0.2">
      <c r="A840" s="5">
        <v>779</v>
      </c>
      <c r="B840" s="138">
        <f>'Expenditures 15-22'!E39</f>
        <v>100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2725</v>
      </c>
      <c r="C843" s="2" t="s">
        <v>572</v>
      </c>
      <c r="D843" s="2" t="str">
        <f t="shared" si="12"/>
        <v>Error?</v>
      </c>
    </row>
    <row r="844" spans="1:4" x14ac:dyDescent="0.2">
      <c r="A844" s="5">
        <v>783</v>
      </c>
      <c r="B844" s="138">
        <f>'Expenditures 15-22'!E44</f>
        <v>12146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12146</v>
      </c>
      <c r="C847" s="2" t="s">
        <v>572</v>
      </c>
      <c r="D847" s="2" t="str">
        <f t="shared" si="12"/>
        <v>Error?</v>
      </c>
    </row>
    <row r="848" spans="1:4" x14ac:dyDescent="0.2">
      <c r="A848" s="5">
        <v>787</v>
      </c>
      <c r="B848" s="138">
        <f>'Expenditures 15-22'!E49</f>
        <v>57028</v>
      </c>
      <c r="D848" s="2" t="str">
        <f t="shared" si="12"/>
        <v>Error?</v>
      </c>
    </row>
    <row r="849" spans="1:4" x14ac:dyDescent="0.2">
      <c r="A849" s="5">
        <v>788</v>
      </c>
      <c r="B849" s="138">
        <f>'Expenditures 15-22'!E50</f>
        <v>15191</v>
      </c>
      <c r="D849" s="2" t="str">
        <f t="shared" si="12"/>
        <v>Error?</v>
      </c>
    </row>
    <row r="850" spans="1:4" x14ac:dyDescent="0.2">
      <c r="A850" s="5">
        <v>789</v>
      </c>
      <c r="B850" s="138">
        <f>'Expenditures 15-22'!E53</f>
        <v>72219</v>
      </c>
      <c r="C850" s="2" t="s">
        <v>572</v>
      </c>
      <c r="D850" s="2" t="str">
        <f t="shared" si="12"/>
        <v>Error?</v>
      </c>
    </row>
    <row r="851" spans="1:4" x14ac:dyDescent="0.2">
      <c r="A851" s="5">
        <v>790</v>
      </c>
      <c r="B851" s="138">
        <f>'Expenditures 15-22'!E55</f>
        <v>17981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17981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50659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53473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7473</v>
      </c>
      <c r="D867" s="2" t="str">
        <f t="shared" si="12"/>
        <v>Error?</v>
      </c>
    </row>
    <row r="868" spans="1:4" x14ac:dyDescent="0.2">
      <c r="A868" s="10">
        <v>807</v>
      </c>
      <c r="D868" s="2" t="str">
        <f t="shared" si="12"/>
        <v>OK</v>
      </c>
    </row>
    <row r="869" spans="1:4" x14ac:dyDescent="0.2">
      <c r="A869" s="5">
        <v>808</v>
      </c>
      <c r="B869" s="138">
        <f>'Expenditures 15-22'!E72</f>
        <v>7473</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166017</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386298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130892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46164</v>
      </c>
      <c r="D891" s="2" t="str">
        <f t="shared" si="12"/>
        <v>Error?</v>
      </c>
    </row>
    <row r="892" spans="1:4" x14ac:dyDescent="0.2">
      <c r="A892" s="5">
        <v>831</v>
      </c>
      <c r="B892" s="138">
        <f>'Expenditures 15-22'!F14</f>
        <v>19713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241504</v>
      </c>
      <c r="C894" s="2" t="s">
        <v>572</v>
      </c>
      <c r="D894" s="2" t="str">
        <f t="shared" si="12"/>
        <v>Error?</v>
      </c>
    </row>
    <row r="895" spans="1:4" x14ac:dyDescent="0.2">
      <c r="A895" s="5">
        <v>834</v>
      </c>
      <c r="B895" s="138">
        <f>'Expenditures 15-22'!F36</f>
        <v>727</v>
      </c>
      <c r="D895" s="2" t="str">
        <f t="shared" ref="D895:D958" si="13">IF(ISBLANK(B895),"OK",IF(A895-B895=0,"OK","Error?"))</f>
        <v>Error?</v>
      </c>
    </row>
    <row r="896" spans="1:4" x14ac:dyDescent="0.2">
      <c r="A896" s="5">
        <v>835</v>
      </c>
      <c r="B896" s="138">
        <f>'Expenditures 15-22'!F37</f>
        <v>127</v>
      </c>
      <c r="D896" s="2" t="str">
        <f t="shared" si="13"/>
        <v>Error?</v>
      </c>
    </row>
    <row r="897" spans="1:4" x14ac:dyDescent="0.2">
      <c r="A897" s="5">
        <v>836</v>
      </c>
      <c r="B897" s="138">
        <f>'Expenditures 15-22'!F38</f>
        <v>2798</v>
      </c>
      <c r="D897" s="2" t="str">
        <f t="shared" si="13"/>
        <v>Error?</v>
      </c>
    </row>
    <row r="898" spans="1:4" x14ac:dyDescent="0.2">
      <c r="A898" s="5">
        <v>837</v>
      </c>
      <c r="B898" s="138">
        <f>'Expenditures 15-22'!F39</f>
        <v>592</v>
      </c>
      <c r="D898" s="2" t="str">
        <f t="shared" si="13"/>
        <v>Error?</v>
      </c>
    </row>
    <row r="899" spans="1:4" x14ac:dyDescent="0.2">
      <c r="A899" s="5">
        <v>838</v>
      </c>
      <c r="B899" s="138">
        <f>'Expenditures 15-22'!F40</f>
        <v>1712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5956</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2540</v>
      </c>
      <c r="C905" s="2" t="s">
        <v>572</v>
      </c>
      <c r="D905" s="2" t="str">
        <f t="shared" si="13"/>
        <v>Error?</v>
      </c>
    </row>
    <row r="906" spans="1:4" x14ac:dyDescent="0.2">
      <c r="A906" s="5">
        <v>845</v>
      </c>
      <c r="B906" s="138">
        <f>'Expenditures 15-22'!F49</f>
        <v>3485</v>
      </c>
      <c r="D906" s="2" t="str">
        <f t="shared" si="13"/>
        <v>Error?</v>
      </c>
    </row>
    <row r="907" spans="1:4" x14ac:dyDescent="0.2">
      <c r="A907" s="5">
        <v>846</v>
      </c>
      <c r="B907" s="138">
        <f>'Expenditures 15-22'!F50</f>
        <v>9742</v>
      </c>
      <c r="D907" s="2" t="str">
        <f t="shared" si="13"/>
        <v>Error?</v>
      </c>
    </row>
    <row r="908" spans="1:4" x14ac:dyDescent="0.2">
      <c r="A908" s="5">
        <v>847</v>
      </c>
      <c r="B908" s="138">
        <f>'Expenditures 15-22'!F53</f>
        <v>13227</v>
      </c>
      <c r="C908" s="2" t="s">
        <v>572</v>
      </c>
      <c r="D908" s="2" t="str">
        <f t="shared" si="13"/>
        <v>Error?</v>
      </c>
    </row>
    <row r="909" spans="1:4" x14ac:dyDescent="0.2">
      <c r="A909" s="5">
        <v>848</v>
      </c>
      <c r="B909" s="138">
        <f>'Expenditures 15-22'!F55</f>
        <v>8689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8689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298058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298058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64797</v>
      </c>
      <c r="D925" s="2" t="str">
        <f t="shared" si="13"/>
        <v>Error?</v>
      </c>
    </row>
    <row r="926" spans="1:4" x14ac:dyDescent="0.2">
      <c r="A926" s="10">
        <v>865</v>
      </c>
      <c r="D926" s="2" t="str">
        <f t="shared" si="13"/>
        <v>OK</v>
      </c>
    </row>
    <row r="927" spans="1:4" x14ac:dyDescent="0.2">
      <c r="A927" s="5">
        <v>866</v>
      </c>
      <c r="B927" s="138">
        <f>'Expenditures 15-22'!F72</f>
        <v>64797</v>
      </c>
      <c r="C927" s="2" t="s">
        <v>572</v>
      </c>
      <c r="D927" s="2" t="str">
        <f t="shared" si="13"/>
        <v>Error?</v>
      </c>
    </row>
    <row r="928" spans="1:4" x14ac:dyDescent="0.2">
      <c r="A928" s="5">
        <v>867</v>
      </c>
      <c r="B928" s="138">
        <f>'Expenditures 15-22'!F73</f>
        <v>3039</v>
      </c>
      <c r="D928" s="2" t="str">
        <f t="shared" si="13"/>
        <v>Error?</v>
      </c>
    </row>
    <row r="929" spans="1:4" x14ac:dyDescent="0.2">
      <c r="A929" s="5">
        <v>868</v>
      </c>
      <c r="B929" s="138">
        <f>'Expenditures 15-22'!F74</f>
        <v>396306</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637810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142090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147109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2251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2251</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69576</v>
      </c>
      <c r="D983" s="2" t="str">
        <f t="shared" si="14"/>
        <v>Error?</v>
      </c>
    </row>
    <row r="984" spans="1:4" x14ac:dyDescent="0.2">
      <c r="A984" s="10">
        <v>923</v>
      </c>
      <c r="D984" s="2" t="str">
        <f t="shared" si="14"/>
        <v>OK</v>
      </c>
    </row>
    <row r="985" spans="1:4" x14ac:dyDescent="0.2">
      <c r="A985" s="5">
        <v>924</v>
      </c>
      <c r="B985" s="138">
        <f>'Expenditures 15-22'!G72</f>
        <v>69576</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71827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218936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1233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43165</v>
      </c>
      <c r="D1022" s="2" t="str">
        <f t="shared" si="14"/>
        <v>Error?</v>
      </c>
    </row>
    <row r="1023" spans="1:4" x14ac:dyDescent="0.2">
      <c r="A1023" s="5">
        <v>962</v>
      </c>
      <c r="B1023" s="138">
        <f>'Expenditures 15-22'!H50</f>
        <v>14107</v>
      </c>
      <c r="D1023" s="2" t="str">
        <f t="shared" ref="D1023:D1086" si="15">IF(ISBLANK(B1023),"OK",IF(A1023-B1023=0,"OK","Error?"))</f>
        <v>Error?</v>
      </c>
    </row>
    <row r="1024" spans="1:4" x14ac:dyDescent="0.2">
      <c r="A1024" s="5">
        <v>963</v>
      </c>
      <c r="B1024" s="138">
        <f>'Expenditures 15-22'!H53</f>
        <v>57272</v>
      </c>
      <c r="C1024" s="2" t="s">
        <v>572</v>
      </c>
      <c r="D1024" s="2" t="str">
        <f t="shared" si="15"/>
        <v>Error?</v>
      </c>
    </row>
    <row r="1025" spans="1:4" x14ac:dyDescent="0.2">
      <c r="A1025" s="5">
        <v>964</v>
      </c>
      <c r="B1025" s="138">
        <f>'Expenditures 15-22'!H55</f>
        <v>2719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2719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3472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3472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148751</v>
      </c>
      <c r="D1041" s="2" t="str">
        <f t="shared" si="15"/>
        <v>Error?</v>
      </c>
    </row>
    <row r="1042" spans="1:4" x14ac:dyDescent="0.2">
      <c r="A1042" s="10">
        <v>981</v>
      </c>
      <c r="D1042" s="2" t="str">
        <f t="shared" si="15"/>
        <v>OK</v>
      </c>
    </row>
    <row r="1043" spans="1:4" x14ac:dyDescent="0.2">
      <c r="A1043" s="5">
        <v>982</v>
      </c>
      <c r="B1043" s="138">
        <f>'Expenditures 15-22'!H72</f>
        <v>148751</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212214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1262583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1476030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5100039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387746</v>
      </c>
      <c r="C1105" s="2" t="s">
        <v>572</v>
      </c>
      <c r="D1105" s="2" t="str">
        <f t="shared" si="16"/>
        <v>Error?</v>
      </c>
    </row>
    <row r="1106" spans="1:4" x14ac:dyDescent="0.2">
      <c r="A1106" s="5">
        <v>1045</v>
      </c>
      <c r="B1106" s="138">
        <f>'Expenditures 15-22'!K14</f>
        <v>191444</v>
      </c>
      <c r="C1106" s="2" t="s">
        <v>572</v>
      </c>
      <c r="D1106" s="2" t="str">
        <f t="shared" si="16"/>
        <v>Error?</v>
      </c>
    </row>
    <row r="1107" spans="1:4" x14ac:dyDescent="0.2">
      <c r="A1107" s="5">
        <v>1046</v>
      </c>
      <c r="B1107" s="138">
        <f>'Expenditures 15-22'!K15</f>
        <v>17418</v>
      </c>
      <c r="C1107" s="2" t="s">
        <v>572</v>
      </c>
      <c r="D1107" s="2" t="str">
        <f t="shared" si="16"/>
        <v>Error?</v>
      </c>
    </row>
    <row r="1108" spans="1:4" x14ac:dyDescent="0.2">
      <c r="A1108" s="5">
        <v>1047</v>
      </c>
      <c r="B1108" s="138">
        <f>'Expenditures 15-22'!K33</f>
        <v>7147327</v>
      </c>
      <c r="C1108" s="2" t="s">
        <v>572</v>
      </c>
      <c r="D1108" s="2" t="str">
        <f t="shared" si="16"/>
        <v>Error?</v>
      </c>
    </row>
    <row r="1109" spans="1:4" x14ac:dyDescent="0.2">
      <c r="A1109" s="5">
        <v>1048</v>
      </c>
      <c r="B1109" s="138">
        <f>'Expenditures 15-22'!K36</f>
        <v>73889</v>
      </c>
      <c r="C1109" s="2" t="s">
        <v>572</v>
      </c>
      <c r="D1109" s="2" t="str">
        <f t="shared" si="16"/>
        <v>Error?</v>
      </c>
    </row>
    <row r="1110" spans="1:4" x14ac:dyDescent="0.2">
      <c r="A1110" s="5">
        <v>1049</v>
      </c>
      <c r="B1110" s="138">
        <f>'Expenditures 15-22'!K37</f>
        <v>208459</v>
      </c>
      <c r="C1110" s="2" t="s">
        <v>572</v>
      </c>
      <c r="D1110" s="2" t="str">
        <f t="shared" si="16"/>
        <v>Error?</v>
      </c>
    </row>
    <row r="1111" spans="1:4" x14ac:dyDescent="0.2">
      <c r="A1111" s="5">
        <v>1050</v>
      </c>
      <c r="B1111" s="138">
        <f>'Expenditures 15-22'!K38</f>
        <v>166584</v>
      </c>
      <c r="C1111" s="2" t="s">
        <v>572</v>
      </c>
      <c r="D1111" s="2" t="str">
        <f t="shared" si="16"/>
        <v>Error?</v>
      </c>
    </row>
    <row r="1112" spans="1:4" x14ac:dyDescent="0.2">
      <c r="A1112" s="5">
        <v>1051</v>
      </c>
      <c r="B1112" s="138">
        <f>'Expenditures 15-22'!K39</f>
        <v>44333</v>
      </c>
      <c r="C1112" s="2" t="s">
        <v>572</v>
      </c>
      <c r="D1112" s="2" t="str">
        <f t="shared" si="16"/>
        <v>Error?</v>
      </c>
    </row>
    <row r="1113" spans="1:4" x14ac:dyDescent="0.2">
      <c r="A1113" s="5">
        <v>1052</v>
      </c>
      <c r="B1113" s="138">
        <f>'Expenditures 15-22'!K40</f>
        <v>133826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627091</v>
      </c>
      <c r="C1115" s="2" t="s">
        <v>572</v>
      </c>
      <c r="D1115" s="2" t="str">
        <f t="shared" si="16"/>
        <v>Error?</v>
      </c>
    </row>
    <row r="1116" spans="1:4" x14ac:dyDescent="0.2">
      <c r="A1116" s="5">
        <v>1055</v>
      </c>
      <c r="B1116" s="138">
        <f>'Expenditures 15-22'!K44</f>
        <v>12146</v>
      </c>
      <c r="C1116" s="2" t="s">
        <v>572</v>
      </c>
      <c r="D1116" s="2" t="str">
        <f t="shared" si="16"/>
        <v>Error?</v>
      </c>
    </row>
    <row r="1117" spans="1:4" x14ac:dyDescent="0.2">
      <c r="A1117" s="5">
        <v>1056</v>
      </c>
      <c r="B1117" s="138">
        <f>'Expenditures 15-22'!K45</f>
        <v>78437</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90583</v>
      </c>
      <c r="C1119" s="2" t="s">
        <v>572</v>
      </c>
      <c r="D1119" s="2" t="str">
        <f t="shared" si="16"/>
        <v>Error?</v>
      </c>
    </row>
    <row r="1120" spans="1:4" x14ac:dyDescent="0.2">
      <c r="A1120" s="5">
        <v>1059</v>
      </c>
      <c r="B1120" s="138">
        <f>'Expenditures 15-22'!K49</f>
        <v>126599</v>
      </c>
      <c r="C1120" s="2" t="s">
        <v>572</v>
      </c>
      <c r="D1120" s="2" t="str">
        <f t="shared" si="16"/>
        <v>Error?</v>
      </c>
    </row>
    <row r="1121" spans="1:4" x14ac:dyDescent="0.2">
      <c r="A1121" s="5">
        <v>1060</v>
      </c>
      <c r="B1121" s="138">
        <f>'Expenditures 15-22'!K50</f>
        <v>273208</v>
      </c>
      <c r="C1121" s="2" t="s">
        <v>572</v>
      </c>
      <c r="D1121" s="2" t="str">
        <f t="shared" si="16"/>
        <v>Error?</v>
      </c>
    </row>
    <row r="1122" spans="1:4" x14ac:dyDescent="0.2">
      <c r="A1122" s="5">
        <v>1061</v>
      </c>
      <c r="B1122" s="138">
        <f>'Expenditures 15-22'!K53</f>
        <v>399807</v>
      </c>
      <c r="C1122" s="2" t="s">
        <v>572</v>
      </c>
      <c r="D1122" s="2" t="str">
        <f t="shared" si="16"/>
        <v>Error?</v>
      </c>
    </row>
    <row r="1123" spans="1:4" x14ac:dyDescent="0.2">
      <c r="A1123" s="5">
        <v>1062</v>
      </c>
      <c r="B1123" s="138">
        <f>'Expenditures 15-22'!K55</f>
        <v>538250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538250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100895</v>
      </c>
      <c r="C1127" s="2" t="s">
        <v>572</v>
      </c>
      <c r="D1127" s="2" t="str">
        <f t="shared" si="16"/>
        <v>Error?</v>
      </c>
    </row>
    <row r="1128" spans="1:4" x14ac:dyDescent="0.2">
      <c r="A1128" s="5">
        <v>1067</v>
      </c>
      <c r="B1128" s="138">
        <f>'Expenditures 15-22'!K61</f>
        <v>561719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492394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1155008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396583</v>
      </c>
      <c r="C1139" s="2" t="s">
        <v>572</v>
      </c>
      <c r="D1139" s="2" t="str">
        <f t="shared" si="16"/>
        <v>Error?</v>
      </c>
    </row>
    <row r="1140" spans="1:4" x14ac:dyDescent="0.2">
      <c r="A1140" s="10">
        <v>1079</v>
      </c>
      <c r="D1140" s="2" t="str">
        <f t="shared" si="16"/>
        <v>OK</v>
      </c>
    </row>
    <row r="1141" spans="1:4" x14ac:dyDescent="0.2">
      <c r="A1141" s="5">
        <v>1080</v>
      </c>
      <c r="B1141" s="138">
        <f>'Expenditures 15-22'!K72</f>
        <v>396583</v>
      </c>
      <c r="C1141" s="2" t="s">
        <v>572</v>
      </c>
      <c r="D1141" s="2" t="str">
        <f t="shared" si="16"/>
        <v>Error?</v>
      </c>
    </row>
    <row r="1142" spans="1:4" x14ac:dyDescent="0.2">
      <c r="A1142" s="5">
        <v>1081</v>
      </c>
      <c r="B1142" s="138">
        <f>'Expenditures 15-22'!K73</f>
        <v>3039</v>
      </c>
      <c r="C1142" s="2" t="s">
        <v>572</v>
      </c>
      <c r="D1142" s="2" t="str">
        <f t="shared" si="16"/>
        <v>Error?</v>
      </c>
    </row>
    <row r="1143" spans="1:4" x14ac:dyDescent="0.2">
      <c r="A1143" s="5">
        <v>1082</v>
      </c>
      <c r="B1143" s="138">
        <f>'Expenditures 15-22'!K74</f>
        <v>3210361</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1262583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11620271</v>
      </c>
      <c r="C1152" s="2" t="s">
        <v>572</v>
      </c>
      <c r="D1152" s="2" t="str">
        <f t="shared" si="17"/>
        <v>Error?</v>
      </c>
    </row>
    <row r="1153" spans="1:4" x14ac:dyDescent="0.2">
      <c r="A1153" s="5">
        <v>1092</v>
      </c>
      <c r="B1153" s="138">
        <f>'Expenditures 15-22'!K115</f>
        <v>-344257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329935</v>
      </c>
      <c r="D1237" s="2" t="str">
        <f t="shared" si="18"/>
        <v>Error?</v>
      </c>
    </row>
    <row r="1238" spans="1:4" x14ac:dyDescent="0.2">
      <c r="A1238" s="10">
        <v>1177</v>
      </c>
      <c r="D1238" s="2" t="str">
        <f t="shared" si="18"/>
        <v>OK</v>
      </c>
    </row>
    <row r="1239" spans="1:4" x14ac:dyDescent="0.2">
      <c r="A1239" s="5">
        <v>1178</v>
      </c>
      <c r="B1239" s="138">
        <f>'Expenditures 15-22'!E127</f>
        <v>329935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329935</v>
      </c>
      <c r="C1241" s="2" t="s">
        <v>572</v>
      </c>
      <c r="D1241" s="2" t="str">
        <f t="shared" si="18"/>
        <v>Error?</v>
      </c>
    </row>
    <row r="1242" spans="1:4" x14ac:dyDescent="0.2">
      <c r="A1242" s="5">
        <v>1181</v>
      </c>
      <c r="B1242" s="138">
        <f>'Expenditures 15-22'!E151</f>
        <v>329935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410623</v>
      </c>
      <c r="D1245" s="2" t="str">
        <f t="shared" si="18"/>
        <v>Error?</v>
      </c>
    </row>
    <row r="1246" spans="1:4" x14ac:dyDescent="0.2">
      <c r="A1246" s="10">
        <v>1185</v>
      </c>
      <c r="D1246" s="2" t="str">
        <f t="shared" si="18"/>
        <v>OK</v>
      </c>
    </row>
    <row r="1247" spans="1:4" x14ac:dyDescent="0.2">
      <c r="A1247" s="5">
        <v>1186</v>
      </c>
      <c r="B1247" s="138">
        <f>'Expenditures 15-22'!F127</f>
        <v>410623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410623</v>
      </c>
      <c r="C1249" s="2" t="s">
        <v>572</v>
      </c>
      <c r="D1249" s="2" t="str">
        <f t="shared" si="18"/>
        <v>Error?</v>
      </c>
    </row>
    <row r="1250" spans="1:4" x14ac:dyDescent="0.2">
      <c r="A1250" s="5">
        <v>1189</v>
      </c>
      <c r="B1250" s="138">
        <f>'Expenditures 15-22'!F151</f>
        <v>410623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1920</v>
      </c>
      <c r="D1262" s="2" t="str">
        <f t="shared" si="18"/>
        <v>Error?</v>
      </c>
    </row>
    <row r="1263" spans="1:4" x14ac:dyDescent="0.2">
      <c r="A1263" s="10">
        <v>1202</v>
      </c>
      <c r="D1263" s="2" t="str">
        <f t="shared" si="18"/>
        <v>OK</v>
      </c>
    </row>
    <row r="1264" spans="1:4" x14ac:dyDescent="0.2">
      <c r="A1264" s="5">
        <v>1203</v>
      </c>
      <c r="B1264" s="138">
        <f>'Expenditures 15-22'!H127</f>
        <v>1920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1920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1920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742478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742478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742478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742478</v>
      </c>
      <c r="C1288" s="2" t="s">
        <v>572</v>
      </c>
      <c r="D1288" s="2" t="str">
        <f t="shared" si="19"/>
        <v>Error?</v>
      </c>
    </row>
    <row r="1289" spans="1:4" x14ac:dyDescent="0.2">
      <c r="A1289" s="5">
        <v>1228</v>
      </c>
      <c r="B1289" s="138">
        <f>'Expenditures 15-22'!K152</f>
        <v>-125896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678726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509932</v>
      </c>
      <c r="D1315" s="2" t="str">
        <f t="shared" si="19"/>
        <v>Error?</v>
      </c>
    </row>
    <row r="1316" spans="1:4" x14ac:dyDescent="0.2">
      <c r="A1316" s="5">
        <v>1255</v>
      </c>
      <c r="B1316" s="138">
        <f>'Expenditures 15-22'!H171</f>
        <v>4550</v>
      </c>
      <c r="D1316" s="2" t="str">
        <f t="shared" si="19"/>
        <v>Error?</v>
      </c>
    </row>
    <row r="1317" spans="1:4" x14ac:dyDescent="0.2">
      <c r="A1317" s="5">
        <v>1256</v>
      </c>
      <c r="B1317" s="138">
        <f>'Expenditures 15-22'!H172</f>
        <v>1193208</v>
      </c>
      <c r="C1317" s="2" t="s">
        <v>572</v>
      </c>
      <c r="D1317" s="2" t="str">
        <f t="shared" si="19"/>
        <v>Error?</v>
      </c>
    </row>
    <row r="1318" spans="1:4" x14ac:dyDescent="0.2">
      <c r="A1318" s="5">
        <v>1257</v>
      </c>
      <c r="B1318" s="138">
        <f>'Expenditures 15-22'!H174</f>
        <v>1193208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678726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509932</v>
      </c>
      <c r="C1329" s="2" t="s">
        <v>572</v>
      </c>
      <c r="D1329" s="2" t="str">
        <f t="shared" si="19"/>
        <v>Error?</v>
      </c>
    </row>
    <row r="1330" spans="1:4" x14ac:dyDescent="0.2">
      <c r="A1330" s="5">
        <v>1269</v>
      </c>
      <c r="B1330" s="138">
        <f>'Expenditures 15-22'!K171</f>
        <v>4550</v>
      </c>
      <c r="C1330" s="2" t="s">
        <v>572</v>
      </c>
      <c r="D1330" s="2" t="str">
        <f t="shared" si="19"/>
        <v>Error?</v>
      </c>
    </row>
    <row r="1331" spans="1:4" x14ac:dyDescent="0.2">
      <c r="A1331" s="5">
        <v>1270</v>
      </c>
      <c r="B1331" s="138">
        <f>'Expenditures 15-22'!K172</f>
        <v>1193208</v>
      </c>
      <c r="C1331" s="2" t="s">
        <v>572</v>
      </c>
      <c r="D1331" s="2" t="str">
        <f t="shared" si="19"/>
        <v>Error?</v>
      </c>
    </row>
    <row r="1332" spans="1:4" x14ac:dyDescent="0.2">
      <c r="A1332" s="5">
        <v>1271</v>
      </c>
      <c r="B1332" s="138">
        <f>'Expenditures 15-22'!K174</f>
        <v>1193208</v>
      </c>
      <c r="C1332" s="2" t="s">
        <v>572</v>
      </c>
      <c r="D1332" s="2" t="str">
        <f t="shared" si="19"/>
        <v>Error?</v>
      </c>
    </row>
    <row r="1333" spans="1:4" x14ac:dyDescent="0.2">
      <c r="A1333" s="5">
        <v>1272</v>
      </c>
      <c r="B1333" s="138">
        <f>'Expenditures 15-22'!K175</f>
        <v>-276194</v>
      </c>
      <c r="C1333" s="2" t="s">
        <v>572</v>
      </c>
      <c r="D1333" s="2" t="str">
        <f t="shared" si="19"/>
        <v>Error?</v>
      </c>
    </row>
    <row r="1334" spans="1:4" x14ac:dyDescent="0.2">
      <c r="A1334" s="10">
        <v>1273</v>
      </c>
      <c r="D1334" s="2" t="str">
        <f t="shared" si="19"/>
        <v>OK</v>
      </c>
    </row>
    <row r="1335" spans="1:4" x14ac:dyDescent="0.2">
      <c r="A1335" s="5">
        <v>1274</v>
      </c>
      <c r="B1335" s="138">
        <f>'Expenditures 15-22'!C182</f>
        <v>317378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317378</v>
      </c>
      <c r="C1339" s="2" t="s">
        <v>572</v>
      </c>
      <c r="D1339" s="2" t="str">
        <f t="shared" si="19"/>
        <v>Error?</v>
      </c>
    </row>
    <row r="1340" spans="1:4" x14ac:dyDescent="0.2">
      <c r="A1340" s="5">
        <v>1279</v>
      </c>
      <c r="B1340" s="138">
        <f>'Expenditures 15-22'!C210</f>
        <v>317378</v>
      </c>
      <c r="C1340" s="2" t="s">
        <v>572</v>
      </c>
      <c r="D1340" s="2" t="str">
        <f t="shared" si="19"/>
        <v>Error?</v>
      </c>
    </row>
    <row r="1341" spans="1:4" x14ac:dyDescent="0.2">
      <c r="A1341" s="5">
        <v>1280</v>
      </c>
      <c r="B1341" s="138">
        <f>'Expenditures 15-22'!D182</f>
        <v>37319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37319</v>
      </c>
      <c r="C1345" s="2" t="s">
        <v>572</v>
      </c>
      <c r="D1345" s="2" t="str">
        <f t="shared" si="20"/>
        <v>Error?</v>
      </c>
    </row>
    <row r="1346" spans="1:4" x14ac:dyDescent="0.2">
      <c r="A1346" s="5">
        <v>1285</v>
      </c>
      <c r="B1346" s="138">
        <f>'Expenditures 15-22'!D210</f>
        <v>37319</v>
      </c>
      <c r="C1346" s="2" t="s">
        <v>572</v>
      </c>
      <c r="D1346" s="2" t="str">
        <f t="shared" si="20"/>
        <v>Error?</v>
      </c>
    </row>
    <row r="1347" spans="1:4" x14ac:dyDescent="0.2">
      <c r="A1347" s="5">
        <v>1286</v>
      </c>
      <c r="B1347" s="138">
        <f>'Expenditures 15-22'!E182</f>
        <v>16687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794</v>
      </c>
      <c r="D1350" s="2" t="str">
        <f t="shared" si="20"/>
        <v>Error?</v>
      </c>
    </row>
    <row r="1351" spans="1:4" x14ac:dyDescent="0.2">
      <c r="A1351" s="5">
        <v>1290</v>
      </c>
      <c r="B1351" s="138">
        <f>'Expenditures 15-22'!E184</f>
        <v>17481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17481</v>
      </c>
      <c r="C1353" s="2" t="s">
        <v>572</v>
      </c>
      <c r="D1353" s="2" t="str">
        <f t="shared" si="20"/>
        <v>Error?</v>
      </c>
    </row>
    <row r="1354" spans="1:4" x14ac:dyDescent="0.2">
      <c r="A1354" s="5">
        <v>1293</v>
      </c>
      <c r="B1354" s="138">
        <f>'Expenditures 15-22'!F182</f>
        <v>92138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92138</v>
      </c>
      <c r="C1358" s="2" t="s">
        <v>572</v>
      </c>
      <c r="D1358" s="2" t="str">
        <f t="shared" si="20"/>
        <v>Error?</v>
      </c>
    </row>
    <row r="1359" spans="1:4" x14ac:dyDescent="0.2">
      <c r="A1359" s="5">
        <v>1298</v>
      </c>
      <c r="B1359" s="138">
        <f>'Expenditures 15-22'!F210</f>
        <v>92138</v>
      </c>
      <c r="C1359" s="2" t="s">
        <v>572</v>
      </c>
      <c r="D1359" s="2" t="str">
        <f t="shared" si="20"/>
        <v>Error?</v>
      </c>
    </row>
    <row r="1360" spans="1:4" x14ac:dyDescent="0.2">
      <c r="A1360" s="5">
        <v>1299</v>
      </c>
      <c r="B1360" s="138">
        <f>'Expenditures 15-22'!G182</f>
        <v>190765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190765</v>
      </c>
      <c r="C1364" s="2" t="s">
        <v>572</v>
      </c>
      <c r="D1364" s="2" t="str">
        <f t="shared" si="20"/>
        <v>Error?</v>
      </c>
    </row>
    <row r="1365" spans="1:4" x14ac:dyDescent="0.2">
      <c r="A1365" s="5">
        <v>1304</v>
      </c>
      <c r="B1365" s="138">
        <f>'Expenditures 15-22'!G210</f>
        <v>190765</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283</v>
      </c>
      <c r="C1376" s="2" t="s">
        <v>572</v>
      </c>
      <c r="D1376" s="2" t="str">
        <f t="shared" si="20"/>
        <v>Error?</v>
      </c>
    </row>
    <row r="1377" spans="1:4" x14ac:dyDescent="0.2">
      <c r="A1377" s="5">
        <v>1316</v>
      </c>
      <c r="B1377" s="138">
        <f>'Expenditures 15-22'!K182</f>
        <v>654287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794</v>
      </c>
      <c r="C1380" s="2" t="s">
        <v>572</v>
      </c>
      <c r="D1380" s="2" t="str">
        <f t="shared" si="20"/>
        <v>Error?</v>
      </c>
    </row>
    <row r="1381" spans="1:4" x14ac:dyDescent="0.2">
      <c r="A1381" s="5">
        <v>1320</v>
      </c>
      <c r="B1381" s="138">
        <f>'Expenditures 15-22'!K184</f>
        <v>655081</v>
      </c>
      <c r="C1381" s="2" t="s">
        <v>572</v>
      </c>
      <c r="D1381" s="2" t="str">
        <f t="shared" si="20"/>
        <v>Error?</v>
      </c>
    </row>
    <row r="1382" spans="1:4" x14ac:dyDescent="0.2">
      <c r="A1382" s="5">
        <v>1321</v>
      </c>
      <c r="B1382" s="138">
        <f>'Expenditures 15-22'!K196</f>
        <v>283</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655364</v>
      </c>
      <c r="C1388" s="2" t="s">
        <v>572</v>
      </c>
      <c r="D1388" s="2" t="str">
        <f t="shared" si="20"/>
        <v>Error?</v>
      </c>
    </row>
    <row r="1389" spans="1:4" x14ac:dyDescent="0.2">
      <c r="A1389" s="5">
        <v>1328</v>
      </c>
      <c r="B1389" s="138">
        <f>'Expenditures 15-22'!K211</f>
        <v>-242020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3493</v>
      </c>
      <c r="D1407" s="2" t="str">
        <f t="shared" ref="D1407:D1470" si="21">IF(ISBLANK(B1407),"OK",IF(A1407-B1407=0,"OK","Error?"))</f>
        <v>Error?</v>
      </c>
    </row>
    <row r="1408" spans="1:4" x14ac:dyDescent="0.2">
      <c r="A1408" s="5">
        <v>1347</v>
      </c>
      <c r="B1408" s="138">
        <f>'Expenditures 15-22'!D223</f>
        <v>4108</v>
      </c>
      <c r="D1408" s="2" t="str">
        <f t="shared" si="21"/>
        <v>Error?</v>
      </c>
    </row>
    <row r="1409" spans="1:4" x14ac:dyDescent="0.2">
      <c r="A1409" s="5">
        <v>1348</v>
      </c>
      <c r="B1409" s="138">
        <f>'Expenditures 15-22'!D224</f>
        <v>207</v>
      </c>
      <c r="D1409" s="2" t="str">
        <f t="shared" si="21"/>
        <v>Error?</v>
      </c>
    </row>
    <row r="1410" spans="1:4" x14ac:dyDescent="0.2">
      <c r="A1410" s="5">
        <v>1349</v>
      </c>
      <c r="B1410" s="138">
        <f>'Expenditures 15-22'!D229</f>
        <v>142476</v>
      </c>
      <c r="C1410" s="2" t="s">
        <v>572</v>
      </c>
      <c r="D1410" s="2" t="str">
        <f t="shared" si="21"/>
        <v>Error?</v>
      </c>
    </row>
    <row r="1411" spans="1:4" x14ac:dyDescent="0.2">
      <c r="A1411" s="5">
        <v>1350</v>
      </c>
      <c r="B1411" s="138">
        <f>'Expenditures 15-22'!D232</f>
        <v>904</v>
      </c>
      <c r="D1411" s="2" t="str">
        <f t="shared" si="21"/>
        <v>Error?</v>
      </c>
    </row>
    <row r="1412" spans="1:4" x14ac:dyDescent="0.2">
      <c r="A1412" s="5">
        <v>1351</v>
      </c>
      <c r="B1412" s="138">
        <f>'Expenditures 15-22'!D233</f>
        <v>8418</v>
      </c>
      <c r="D1412" s="2" t="str">
        <f t="shared" si="21"/>
        <v>Error?</v>
      </c>
    </row>
    <row r="1413" spans="1:4" x14ac:dyDescent="0.2">
      <c r="A1413" s="5">
        <v>1352</v>
      </c>
      <c r="B1413" s="138">
        <f>'Expenditures 15-22'!D234</f>
        <v>1931</v>
      </c>
      <c r="D1413" s="2" t="str">
        <f t="shared" si="21"/>
        <v>Error?</v>
      </c>
    </row>
    <row r="1414" spans="1:4" x14ac:dyDescent="0.2">
      <c r="A1414" s="5">
        <v>1353</v>
      </c>
      <c r="B1414" s="138">
        <f>'Expenditures 15-22'!D235</f>
        <v>556</v>
      </c>
      <c r="D1414" s="2" t="str">
        <f t="shared" si="21"/>
        <v>Error?</v>
      </c>
    </row>
    <row r="1415" spans="1:4" x14ac:dyDescent="0.2">
      <c r="A1415" s="5">
        <v>1354</v>
      </c>
      <c r="B1415" s="138">
        <f>'Expenditures 15-22'!D236</f>
        <v>1585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13394</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858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9865</v>
      </c>
      <c r="D1423" s="2" t="str">
        <f t="shared" si="21"/>
        <v>Error?</v>
      </c>
    </row>
    <row r="1424" spans="1:4" x14ac:dyDescent="0.2">
      <c r="A1424" s="5">
        <v>1363</v>
      </c>
      <c r="B1424" s="138">
        <f>'Expenditures 15-22'!D257</f>
        <v>9865</v>
      </c>
      <c r="C1424" s="2" t="s">
        <v>572</v>
      </c>
      <c r="D1424" s="2" t="str">
        <f t="shared" si="21"/>
        <v>Error?</v>
      </c>
    </row>
    <row r="1425" spans="1:4" x14ac:dyDescent="0.2">
      <c r="A1425" s="5">
        <v>1364</v>
      </c>
      <c r="B1425" s="138">
        <f>'Expenditures 15-22'!D259</f>
        <v>28293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28293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16834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78210</v>
      </c>
      <c r="D1431" s="2" t="str">
        <f t="shared" si="21"/>
        <v>Error?</v>
      </c>
    </row>
    <row r="1432" spans="1:4" x14ac:dyDescent="0.2">
      <c r="A1432" s="5">
        <v>1371</v>
      </c>
      <c r="B1432" s="138">
        <f>'Expenditures 15-22'!D267</f>
        <v>48224</v>
      </c>
      <c r="D1432" s="2" t="str">
        <f t="shared" si="21"/>
        <v>Error?</v>
      </c>
    </row>
    <row r="1433" spans="1:4" x14ac:dyDescent="0.2">
      <c r="A1433" s="5">
        <v>1372</v>
      </c>
      <c r="B1433" s="138">
        <f>'Expenditures 15-22'!D268</f>
        <v>27234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170502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18039</v>
      </c>
      <c r="D1442" s="2" t="str">
        <f t="shared" si="21"/>
        <v>Error?</v>
      </c>
    </row>
    <row r="1443" spans="1:4" x14ac:dyDescent="0.2">
      <c r="A1443" s="10">
        <v>1382</v>
      </c>
      <c r="D1443" s="2" t="str">
        <f t="shared" si="21"/>
        <v>OK</v>
      </c>
    </row>
    <row r="1444" spans="1:4" x14ac:dyDescent="0.2">
      <c r="A1444" s="5">
        <v>1383</v>
      </c>
      <c r="B1444" s="138">
        <f>'Expenditures 15-22'!D277</f>
        <v>18039</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240951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383427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3493</v>
      </c>
      <c r="C1471" s="2" t="s">
        <v>572</v>
      </c>
      <c r="D1471" s="2" t="str">
        <f t="shared" ref="D1471:D1534" si="22">IF(ISBLANK(B1471),"OK",IF(A1471-B1471=0,"OK","Error?"))</f>
        <v>Error?</v>
      </c>
    </row>
    <row r="1472" spans="1:4" x14ac:dyDescent="0.2">
      <c r="A1472" s="5">
        <v>1411</v>
      </c>
      <c r="B1472" s="138">
        <f>'Expenditures 15-22'!K223</f>
        <v>4108</v>
      </c>
      <c r="C1472" s="2" t="s">
        <v>572</v>
      </c>
      <c r="D1472" s="2" t="str">
        <f t="shared" si="22"/>
        <v>Error?</v>
      </c>
    </row>
    <row r="1473" spans="1:4" x14ac:dyDescent="0.2">
      <c r="A1473" s="5">
        <v>1412</v>
      </c>
      <c r="B1473" s="138">
        <f>'Expenditures 15-22'!K224</f>
        <v>207</v>
      </c>
      <c r="C1473" s="2" t="s">
        <v>572</v>
      </c>
      <c r="D1473" s="2" t="str">
        <f t="shared" si="22"/>
        <v>Error?</v>
      </c>
    </row>
    <row r="1474" spans="1:4" x14ac:dyDescent="0.2">
      <c r="A1474" s="5">
        <v>1413</v>
      </c>
      <c r="B1474" s="138">
        <f>'Expenditures 15-22'!K229</f>
        <v>142476</v>
      </c>
      <c r="C1474" s="2" t="s">
        <v>572</v>
      </c>
      <c r="D1474" s="2" t="str">
        <f t="shared" si="22"/>
        <v>Error?</v>
      </c>
    </row>
    <row r="1475" spans="1:4" x14ac:dyDescent="0.2">
      <c r="A1475" s="5">
        <v>1414</v>
      </c>
      <c r="B1475" s="138">
        <f>'Expenditures 15-22'!K232</f>
        <v>904</v>
      </c>
      <c r="C1475" s="2" t="s">
        <v>572</v>
      </c>
      <c r="D1475" s="2" t="str">
        <f t="shared" si="22"/>
        <v>Error?</v>
      </c>
    </row>
    <row r="1476" spans="1:4" x14ac:dyDescent="0.2">
      <c r="A1476" s="5">
        <v>1415</v>
      </c>
      <c r="B1476" s="138">
        <f>'Expenditures 15-22'!K233</f>
        <v>8418</v>
      </c>
      <c r="C1476" s="2" t="s">
        <v>572</v>
      </c>
      <c r="D1476" s="2" t="str">
        <f t="shared" si="22"/>
        <v>Error?</v>
      </c>
    </row>
    <row r="1477" spans="1:4" x14ac:dyDescent="0.2">
      <c r="A1477" s="5">
        <v>1416</v>
      </c>
      <c r="B1477" s="138">
        <f>'Expenditures 15-22'!K234</f>
        <v>1931</v>
      </c>
      <c r="C1477" s="2" t="s">
        <v>572</v>
      </c>
      <c r="D1477" s="2" t="str">
        <f t="shared" si="22"/>
        <v>Error?</v>
      </c>
    </row>
    <row r="1478" spans="1:4" x14ac:dyDescent="0.2">
      <c r="A1478" s="5">
        <v>1417</v>
      </c>
      <c r="B1478" s="138">
        <f>'Expenditures 15-22'!K235</f>
        <v>556</v>
      </c>
      <c r="C1478" s="2" t="s">
        <v>572</v>
      </c>
      <c r="D1478" s="2" t="str">
        <f t="shared" si="22"/>
        <v>Error?</v>
      </c>
    </row>
    <row r="1479" spans="1:4" x14ac:dyDescent="0.2">
      <c r="A1479" s="5">
        <v>1418</v>
      </c>
      <c r="B1479" s="138">
        <f>'Expenditures 15-22'!K236</f>
        <v>1585</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13394</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858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858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9865</v>
      </c>
      <c r="C1487" s="2" t="s">
        <v>572</v>
      </c>
      <c r="D1487" s="2" t="str">
        <f t="shared" si="22"/>
        <v>Error?</v>
      </c>
    </row>
    <row r="1488" spans="1:4" x14ac:dyDescent="0.2">
      <c r="A1488" s="5">
        <v>1427</v>
      </c>
      <c r="B1488" s="138">
        <f>'Expenditures 15-22'!K257</f>
        <v>9865</v>
      </c>
      <c r="C1488" s="2" t="s">
        <v>572</v>
      </c>
      <c r="D1488" s="2" t="str">
        <f t="shared" si="22"/>
        <v>Error?</v>
      </c>
    </row>
    <row r="1489" spans="1:4" x14ac:dyDescent="0.2">
      <c r="A1489" s="5">
        <v>1428</v>
      </c>
      <c r="B1489" s="138">
        <f>'Expenditures 15-22'!K259</f>
        <v>28293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28293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16834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78210</v>
      </c>
      <c r="C1495" s="2" t="s">
        <v>572</v>
      </c>
      <c r="D1495" s="2" t="str">
        <f t="shared" si="22"/>
        <v>Error?</v>
      </c>
    </row>
    <row r="1496" spans="1:4" x14ac:dyDescent="0.2">
      <c r="A1496" s="5">
        <v>1435</v>
      </c>
      <c r="B1496" s="138">
        <f>'Expenditures 15-22'!K267</f>
        <v>48224</v>
      </c>
      <c r="C1496" s="2" t="s">
        <v>572</v>
      </c>
      <c r="D1496" s="2" t="str">
        <f t="shared" si="22"/>
        <v>Error?</v>
      </c>
    </row>
    <row r="1497" spans="1:4" x14ac:dyDescent="0.2">
      <c r="A1497" s="5">
        <v>1436</v>
      </c>
      <c r="B1497" s="138">
        <f>'Expenditures 15-22'!K268</f>
        <v>27234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170502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18039</v>
      </c>
      <c r="C1506" s="2" t="s">
        <v>572</v>
      </c>
      <c r="D1506" s="2" t="str">
        <f t="shared" si="22"/>
        <v>Error?</v>
      </c>
    </row>
    <row r="1507" spans="1:4" x14ac:dyDescent="0.2">
      <c r="A1507" s="10">
        <v>1446</v>
      </c>
      <c r="D1507" s="2" t="str">
        <f t="shared" si="22"/>
        <v>OK</v>
      </c>
    </row>
    <row r="1508" spans="1:4" x14ac:dyDescent="0.2">
      <c r="A1508" s="5">
        <v>1447</v>
      </c>
      <c r="B1508" s="138">
        <f>'Expenditures 15-22'!K277</f>
        <v>18039</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240951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383427</v>
      </c>
      <c r="C1517" s="2" t="s">
        <v>572</v>
      </c>
      <c r="D1517" s="2" t="str">
        <f t="shared" si="22"/>
        <v>Error?</v>
      </c>
    </row>
    <row r="1518" spans="1:4" x14ac:dyDescent="0.2">
      <c r="A1518" s="5">
        <v>1457</v>
      </c>
      <c r="B1518" s="138">
        <f>'Expenditures 15-22'!K296</f>
        <v>71340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855766</v>
      </c>
      <c r="D1534" s="2" t="str">
        <f t="shared" si="22"/>
        <v>Error?</v>
      </c>
    </row>
    <row r="1535" spans="1:4" x14ac:dyDescent="0.2">
      <c r="A1535" s="5">
        <v>1474</v>
      </c>
      <c r="B1535" s="138">
        <f>'Expenditures 15-22'!E303</f>
        <v>855766</v>
      </c>
      <c r="C1535" s="2" t="s">
        <v>572</v>
      </c>
      <c r="D1535" s="2" t="str">
        <f t="shared" ref="D1535:D1598" si="23">IF(ISBLANK(B1535),"OK",IF(A1535-B1535=0,"OK","Error?"))</f>
        <v>Error?</v>
      </c>
    </row>
    <row r="1536" spans="1:4" x14ac:dyDescent="0.2">
      <c r="A1536" s="5">
        <v>1475</v>
      </c>
      <c r="B1536" s="138">
        <f>'Expenditures 15-22'!E312</f>
        <v>855766</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44131</v>
      </c>
      <c r="D1540" s="2" t="str">
        <f t="shared" si="23"/>
        <v>Error?</v>
      </c>
    </row>
    <row r="1541" spans="1:4" x14ac:dyDescent="0.2">
      <c r="A1541" s="5">
        <v>1480</v>
      </c>
      <c r="B1541" s="138">
        <f>'Expenditures 15-22'!F303</f>
        <v>44131</v>
      </c>
      <c r="C1541" s="2" t="s">
        <v>572</v>
      </c>
      <c r="D1541" s="2" t="str">
        <f t="shared" si="23"/>
        <v>Error?</v>
      </c>
    </row>
    <row r="1542" spans="1:4" x14ac:dyDescent="0.2">
      <c r="A1542" s="5">
        <v>1481</v>
      </c>
      <c r="B1542" s="138">
        <f>'Expenditures 15-22'!F312</f>
        <v>44131</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899897</v>
      </c>
      <c r="C1558" s="2" t="s">
        <v>572</v>
      </c>
      <c r="D1558" s="2" t="str">
        <f t="shared" si="23"/>
        <v>Error?</v>
      </c>
    </row>
    <row r="1559" spans="1:4" x14ac:dyDescent="0.2">
      <c r="A1559" s="5">
        <v>1498</v>
      </c>
      <c r="B1559" s="138">
        <f>'Expenditures 15-22'!K303</f>
        <v>899897</v>
      </c>
      <c r="C1559" s="2" t="s">
        <v>572</v>
      </c>
      <c r="D1559" s="2" t="str">
        <f t="shared" si="23"/>
        <v>Error?</v>
      </c>
    </row>
    <row r="1560" spans="1:4" x14ac:dyDescent="0.2">
      <c r="A1560" s="5">
        <v>1499</v>
      </c>
      <c r="B1560" s="138">
        <f>'Expenditures 15-22'!K312</f>
        <v>899897</v>
      </c>
      <c r="C1560" s="2" t="s">
        <v>572</v>
      </c>
      <c r="D1560" s="2" t="str">
        <f t="shared" si="23"/>
        <v>Error?</v>
      </c>
    </row>
    <row r="1561" spans="1:4" x14ac:dyDescent="0.2">
      <c r="A1561" s="5">
        <v>1500</v>
      </c>
      <c r="B1561" s="138">
        <f>'Expenditures 15-22'!K313</f>
        <v>-583309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4436334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4169167</v>
      </c>
      <c r="C1630" s="2" t="s">
        <v>572</v>
      </c>
      <c r="D1630" s="2" t="str">
        <f t="shared" si="24"/>
        <v>Error?</v>
      </c>
    </row>
    <row r="1631" spans="1:4" x14ac:dyDescent="0.2">
      <c r="A1631" s="5">
        <v>1570</v>
      </c>
      <c r="B1631" s="138">
        <f>'Acct Summary 7-8'!D79</f>
        <v>637229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511333</v>
      </c>
      <c r="C1644" s="2" t="s">
        <v>572</v>
      </c>
      <c r="D1644" s="2" t="str">
        <f t="shared" si="24"/>
        <v>Error?</v>
      </c>
    </row>
    <row r="1645" spans="1:4" x14ac:dyDescent="0.2">
      <c r="A1645" s="5">
        <v>1584</v>
      </c>
      <c r="B1645" s="138">
        <f>'Acct Summary 7-8'!E79</f>
        <v>300497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89303</v>
      </c>
      <c r="C1658" s="2" t="s">
        <v>572</v>
      </c>
      <c r="D1658" s="2" t="str">
        <f t="shared" si="24"/>
        <v>Error?</v>
      </c>
    </row>
    <row r="1659" spans="1:4" x14ac:dyDescent="0.2">
      <c r="A1659" s="5">
        <v>1598</v>
      </c>
      <c r="B1659" s="138">
        <f>'Acct Summary 7-8'!F79</f>
        <v>196611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125876</v>
      </c>
      <c r="C1672" s="2" t="s">
        <v>572</v>
      </c>
      <c r="D1672" s="2" t="str">
        <f t="shared" si="25"/>
        <v>Error?</v>
      </c>
    </row>
    <row r="1673" spans="1:4" x14ac:dyDescent="0.2">
      <c r="A1673" s="5">
        <v>1612</v>
      </c>
      <c r="B1673" s="138">
        <f>'Acct Summary 7-8'!G79</f>
        <v>90959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162299</v>
      </c>
      <c r="C1686" s="2" t="s">
        <v>572</v>
      </c>
      <c r="D1686" s="2" t="str">
        <f t="shared" si="25"/>
        <v>Error?</v>
      </c>
    </row>
    <row r="1687" spans="1:4" x14ac:dyDescent="0.2">
      <c r="A1687" s="5">
        <v>1626</v>
      </c>
      <c r="B1687" s="138">
        <f>'Acct Summary 7-8'!H79</f>
        <v>451645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568336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1239870</v>
      </c>
      <c r="C1744" s="2" t="s">
        <v>572</v>
      </c>
      <c r="D1744" s="2" t="str">
        <f t="shared" si="26"/>
        <v>Error?</v>
      </c>
    </row>
    <row r="1745" spans="1:5" x14ac:dyDescent="0.2">
      <c r="A1745" s="5">
        <v>1684</v>
      </c>
      <c r="B1745" s="138">
        <f>'Tax Sched 23'!B5</f>
        <v>320821</v>
      </c>
      <c r="C1745" s="2" t="s">
        <v>572</v>
      </c>
      <c r="D1745" s="2" t="str">
        <f t="shared" si="26"/>
        <v>Error?</v>
      </c>
    </row>
    <row r="1746" spans="1:5" x14ac:dyDescent="0.2">
      <c r="A1746" s="5">
        <v>1685</v>
      </c>
      <c r="B1746" s="138">
        <f>'Tax Sched 23'!B6</f>
        <v>841790</v>
      </c>
      <c r="C1746" s="2" t="s">
        <v>572</v>
      </c>
      <c r="D1746" s="2" t="str">
        <f t="shared" si="26"/>
        <v>Error?</v>
      </c>
    </row>
    <row r="1747" spans="1:5" x14ac:dyDescent="0.2">
      <c r="A1747" s="5">
        <v>1686</v>
      </c>
      <c r="B1747" s="138">
        <f>'Tax Sched 23'!B7</f>
        <v>128562</v>
      </c>
      <c r="C1747" s="2" t="s">
        <v>572</v>
      </c>
      <c r="D1747" s="2" t="str">
        <f t="shared" si="26"/>
        <v>Error?</v>
      </c>
    </row>
    <row r="1748" spans="1:5" x14ac:dyDescent="0.2">
      <c r="A1748" s="5">
        <v>1687</v>
      </c>
      <c r="B1748" s="138">
        <f>'Tax Sched 23'!B8</f>
        <v>86487</v>
      </c>
      <c r="C1748" s="2" t="s">
        <v>572</v>
      </c>
      <c r="D1748" s="2" t="str">
        <f t="shared" si="26"/>
        <v>Error?</v>
      </c>
    </row>
    <row r="1749" spans="1:5" x14ac:dyDescent="0.2">
      <c r="A1749" s="5">
        <v>1688</v>
      </c>
      <c r="B1749" s="138">
        <f>'Tax Sched 23'!B10</f>
        <v>30095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172098</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23959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2921696</v>
      </c>
      <c r="C1759" s="2" t="s">
        <v>572</v>
      </c>
      <c r="D1759" s="2" t="str">
        <f t="shared" si="26"/>
        <v>Error?</v>
      </c>
    </row>
    <row r="1760" spans="1:5" x14ac:dyDescent="0.2">
      <c r="A1760" s="5">
        <v>1699</v>
      </c>
      <c r="B1760" s="138">
        <f>'Tax Sched 23'!D4</f>
        <v>1239870</v>
      </c>
      <c r="C1760" s="2" t="s">
        <v>572</v>
      </c>
      <c r="D1760" s="2" t="str">
        <f t="shared" si="26"/>
        <v>Error?</v>
      </c>
    </row>
    <row r="1761" spans="1:5" x14ac:dyDescent="0.2">
      <c r="A1761" s="5">
        <v>1700</v>
      </c>
      <c r="B1761" s="138">
        <f>'Tax Sched 23'!D5</f>
        <v>320821</v>
      </c>
      <c r="C1761" s="2" t="s">
        <v>572</v>
      </c>
      <c r="D1761" s="2" t="str">
        <f t="shared" si="26"/>
        <v>Error?</v>
      </c>
    </row>
    <row r="1762" spans="1:5" s="8" customFormat="1" x14ac:dyDescent="0.2">
      <c r="A1762" s="5">
        <v>1701</v>
      </c>
      <c r="B1762" s="138">
        <f>'Tax Sched 23'!D6</f>
        <v>841790</v>
      </c>
      <c r="C1762" s="2" t="s">
        <v>572</v>
      </c>
      <c r="D1762" s="2" t="str">
        <f t="shared" si="26"/>
        <v>Error?</v>
      </c>
      <c r="E1762" s="9"/>
    </row>
    <row r="1763" spans="1:5" x14ac:dyDescent="0.2">
      <c r="A1763" s="5">
        <v>1702</v>
      </c>
      <c r="B1763" s="138">
        <f>'Tax Sched 23'!D7</f>
        <v>128562</v>
      </c>
      <c r="C1763" s="2" t="s">
        <v>572</v>
      </c>
      <c r="D1763" s="2" t="str">
        <f t="shared" si="26"/>
        <v>Error?</v>
      </c>
    </row>
    <row r="1764" spans="1:5" x14ac:dyDescent="0.2">
      <c r="A1764" s="5">
        <v>1703</v>
      </c>
      <c r="B1764" s="138">
        <f>'Tax Sched 23'!D8</f>
        <v>86487</v>
      </c>
      <c r="C1764" s="2" t="s">
        <v>572</v>
      </c>
      <c r="D1764" s="2" t="str">
        <f t="shared" si="26"/>
        <v>Error?</v>
      </c>
    </row>
    <row r="1765" spans="1:5" x14ac:dyDescent="0.2">
      <c r="A1765" s="5">
        <v>1704</v>
      </c>
      <c r="B1765" s="138">
        <f>'Tax Sched 23'!D10</f>
        <v>30095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172098</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23959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2921696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1279941</v>
      </c>
      <c r="C1792" s="2" t="s">
        <v>572</v>
      </c>
      <c r="D1792" s="2" t="str">
        <f t="shared" si="27"/>
        <v>Error?</v>
      </c>
    </row>
    <row r="1793" spans="1:4" x14ac:dyDescent="0.2">
      <c r="A1793" s="5">
        <v>1732</v>
      </c>
      <c r="B1793" s="138">
        <f>'Tax Sched 23'!F5</f>
        <v>331258</v>
      </c>
      <c r="C1793" s="2" t="s">
        <v>572</v>
      </c>
      <c r="D1793" s="2" t="str">
        <f t="shared" si="27"/>
        <v>Error?</v>
      </c>
    </row>
    <row r="1794" spans="1:4" x14ac:dyDescent="0.2">
      <c r="A1794" s="5">
        <v>1733</v>
      </c>
      <c r="B1794" s="138">
        <f>'Tax Sched 23'!F6</f>
        <v>842355</v>
      </c>
      <c r="C1794" s="2" t="s">
        <v>572</v>
      </c>
      <c r="D1794" s="2" t="str">
        <f t="shared" si="27"/>
        <v>Error?</v>
      </c>
    </row>
    <row r="1795" spans="1:4" x14ac:dyDescent="0.2">
      <c r="A1795" s="5">
        <v>1734</v>
      </c>
      <c r="B1795" s="138">
        <f>'Tax Sched 23'!F7</f>
        <v>132766</v>
      </c>
      <c r="C1795" s="2" t="s">
        <v>572</v>
      </c>
      <c r="D1795" s="2" t="str">
        <f t="shared" si="27"/>
        <v>Error?</v>
      </c>
    </row>
    <row r="1796" spans="1:4" x14ac:dyDescent="0.2">
      <c r="A1796" s="5">
        <v>1735</v>
      </c>
      <c r="B1796" s="138">
        <f>'Tax Sched 23'!F8</f>
        <v>89190</v>
      </c>
      <c r="C1796" s="2" t="s">
        <v>572</v>
      </c>
      <c r="D1796" s="2" t="str">
        <f t="shared" si="27"/>
        <v>Error?</v>
      </c>
    </row>
    <row r="1797" spans="1:4" x14ac:dyDescent="0.2">
      <c r="A1797" s="5">
        <v>1736</v>
      </c>
      <c r="B1797" s="138">
        <f>'Tax Sched 23'!F10</f>
        <v>31002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177706</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24799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2989689</v>
      </c>
      <c r="C1807" s="2" t="s">
        <v>572</v>
      </c>
      <c r="D1807" s="2" t="str">
        <f t="shared" si="27"/>
        <v>Error?</v>
      </c>
    </row>
    <row r="1808" spans="1:4" x14ac:dyDescent="0.2">
      <c r="A1808" s="5">
        <v>1747</v>
      </c>
      <c r="B1808" s="138">
        <f>'Tax Sched 23'!E4</f>
        <v>1279941</v>
      </c>
      <c r="D1808" s="2" t="str">
        <f t="shared" si="27"/>
        <v>Error?</v>
      </c>
    </row>
    <row r="1809" spans="1:4" x14ac:dyDescent="0.2">
      <c r="A1809" s="5">
        <v>1748</v>
      </c>
      <c r="B1809" s="138">
        <f>'Tax Sched 23'!E5</f>
        <v>331258</v>
      </c>
      <c r="D1809" s="2" t="str">
        <f t="shared" si="27"/>
        <v>Error?</v>
      </c>
    </row>
    <row r="1810" spans="1:4" x14ac:dyDescent="0.2">
      <c r="A1810" s="5">
        <v>1749</v>
      </c>
      <c r="B1810" s="138">
        <f>'Tax Sched 23'!E6</f>
        <v>842355</v>
      </c>
      <c r="D1810" s="2" t="str">
        <f t="shared" si="27"/>
        <v>Error?</v>
      </c>
    </row>
    <row r="1811" spans="1:4" x14ac:dyDescent="0.2">
      <c r="A1811" s="5">
        <v>1750</v>
      </c>
      <c r="B1811" s="138">
        <f>'Tax Sched 23'!E7</f>
        <v>132766</v>
      </c>
      <c r="D1811" s="2" t="str">
        <f t="shared" si="27"/>
        <v>Error?</v>
      </c>
    </row>
    <row r="1812" spans="1:4" x14ac:dyDescent="0.2">
      <c r="A1812" s="5">
        <v>1751</v>
      </c>
      <c r="B1812" s="138">
        <f>'Tax Sched 23'!E8</f>
        <v>89190</v>
      </c>
      <c r="D1812" s="2" t="str">
        <f t="shared" si="27"/>
        <v>Error?</v>
      </c>
    </row>
    <row r="1813" spans="1:4" x14ac:dyDescent="0.2">
      <c r="A1813" s="5">
        <v>1752</v>
      </c>
      <c r="B1813" s="138">
        <f>'Tax Sched 23'!E10</f>
        <v>31002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177706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24799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2989689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12724258</v>
      </c>
      <c r="C1939" s="2" t="s">
        <v>572</v>
      </c>
      <c r="D1939" s="2" t="str">
        <f t="shared" si="29"/>
        <v>Error?</v>
      </c>
    </row>
    <row r="1940" spans="1:5" x14ac:dyDescent="0.2">
      <c r="A1940" s="5">
        <v>1879</v>
      </c>
      <c r="B1940" s="138">
        <f>'Short-Term Long-Term Debt 24'!F49</f>
        <v>1013375</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23959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23959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23959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438409</v>
      </c>
      <c r="D2008" s="2" t="str">
        <f t="shared" si="30"/>
        <v>Error?</v>
      </c>
    </row>
    <row r="2009" spans="1:4" x14ac:dyDescent="0.2">
      <c r="A2009" s="5">
        <v>1948</v>
      </c>
      <c r="B2009" s="138">
        <f>'Cap Outlay Deprec 26'!C8</f>
        <v>36401895</v>
      </c>
      <c r="D2009" s="2" t="str">
        <f t="shared" si="30"/>
        <v>Error?</v>
      </c>
    </row>
    <row r="2010" spans="1:4" x14ac:dyDescent="0.2">
      <c r="A2010" s="5">
        <v>1949</v>
      </c>
      <c r="B2010" s="138">
        <f>'Cap Outlay Deprec 26'!C10</f>
        <v>226522</v>
      </c>
      <c r="D2010" s="2" t="str">
        <f t="shared" si="30"/>
        <v>Error?</v>
      </c>
    </row>
    <row r="2011" spans="1:4" x14ac:dyDescent="0.2">
      <c r="A2011" s="5">
        <v>1950</v>
      </c>
      <c r="B2011" s="138">
        <f>'Cap Outlay Deprec 26'!C12</f>
        <v>1947644</v>
      </c>
      <c r="D2011" s="2" t="str">
        <f t="shared" si="30"/>
        <v>Error?</v>
      </c>
    </row>
    <row r="2012" spans="1:4" x14ac:dyDescent="0.2">
      <c r="A2012" s="5">
        <v>1951</v>
      </c>
      <c r="B2012" s="138">
        <f>'Cap Outlay Deprec 26'!C13</f>
        <v>957936</v>
      </c>
      <c r="D2012" s="2" t="str">
        <f t="shared" si="30"/>
        <v>Error?</v>
      </c>
    </row>
    <row r="2013" spans="1:4" x14ac:dyDescent="0.2">
      <c r="A2013" s="5">
        <v>1952</v>
      </c>
      <c r="B2013" s="138">
        <f>'Cap Outlay Deprec 26'!C16</f>
        <v>39972406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216685</v>
      </c>
      <c r="D2017" s="2" t="str">
        <f t="shared" si="30"/>
        <v>Error?</v>
      </c>
    </row>
    <row r="2018" spans="1:4" x14ac:dyDescent="0.2">
      <c r="A2018" s="5">
        <v>1957</v>
      </c>
      <c r="B2018" s="138">
        <f>'Cap Outlay Deprec 26'!D13</f>
        <v>190765</v>
      </c>
      <c r="D2018" s="2" t="str">
        <f t="shared" si="30"/>
        <v>Error?</v>
      </c>
    </row>
    <row r="2019" spans="1:4" x14ac:dyDescent="0.2">
      <c r="A2019" s="5">
        <v>1958</v>
      </c>
      <c r="B2019" s="138">
        <f>'Cap Outlay Deprec 26'!D16</f>
        <v>407450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38300</v>
      </c>
      <c r="D2024" s="2" t="str">
        <f t="shared" si="30"/>
        <v>Error?</v>
      </c>
    </row>
    <row r="2025" spans="1:4" x14ac:dyDescent="0.2">
      <c r="A2025" s="5">
        <v>1964</v>
      </c>
      <c r="B2025" s="138">
        <f>'Cap Outlay Deprec 26'!E16</f>
        <v>38300</v>
      </c>
      <c r="C2025" s="2" t="s">
        <v>572</v>
      </c>
      <c r="D2025" s="2" t="str">
        <f t="shared" si="30"/>
        <v>Error?</v>
      </c>
    </row>
    <row r="2026" spans="1:4" x14ac:dyDescent="0.2">
      <c r="A2026" s="5">
        <v>1965</v>
      </c>
      <c r="B2026" s="138">
        <f>'Cap Outlay Deprec 26'!F5</f>
        <v>438409</v>
      </c>
      <c r="C2026" s="2" t="s">
        <v>572</v>
      </c>
      <c r="D2026" s="2" t="str">
        <f t="shared" si="30"/>
        <v>Error?</v>
      </c>
    </row>
    <row r="2027" spans="1:4" x14ac:dyDescent="0.2">
      <c r="A2027" s="5">
        <v>1966</v>
      </c>
      <c r="B2027" s="138">
        <f>'Cap Outlay Deprec 26'!F8</f>
        <v>36401895</v>
      </c>
      <c r="C2027" s="2" t="s">
        <v>572</v>
      </c>
      <c r="D2027" s="2" t="str">
        <f t="shared" si="30"/>
        <v>Error?</v>
      </c>
    </row>
    <row r="2028" spans="1:4" x14ac:dyDescent="0.2">
      <c r="A2028" s="5">
        <v>1967</v>
      </c>
      <c r="B2028" s="138">
        <f>'Cap Outlay Deprec 26'!F10</f>
        <v>226522</v>
      </c>
      <c r="C2028" s="2" t="s">
        <v>572</v>
      </c>
      <c r="D2028" s="2" t="str">
        <f t="shared" si="30"/>
        <v>Error?</v>
      </c>
    </row>
    <row r="2029" spans="1:4" x14ac:dyDescent="0.2">
      <c r="A2029" s="5">
        <v>1968</v>
      </c>
      <c r="B2029" s="138">
        <f>'Cap Outlay Deprec 26'!F12</f>
        <v>2164329</v>
      </c>
      <c r="C2029" s="2" t="s">
        <v>572</v>
      </c>
      <c r="D2029" s="2" t="str">
        <f t="shared" si="30"/>
        <v>Error?</v>
      </c>
    </row>
    <row r="2030" spans="1:4" x14ac:dyDescent="0.2">
      <c r="A2030" s="5">
        <v>1969</v>
      </c>
      <c r="B2030" s="138">
        <f>'Cap Outlay Deprec 26'!F13</f>
        <v>1110401</v>
      </c>
      <c r="C2030" s="2" t="s">
        <v>572</v>
      </c>
      <c r="D2030" s="2" t="str">
        <f t="shared" si="30"/>
        <v>Error?</v>
      </c>
    </row>
    <row r="2031" spans="1:4" x14ac:dyDescent="0.2">
      <c r="A2031" s="5">
        <v>1970</v>
      </c>
      <c r="B2031" s="138">
        <f>'Cap Outlay Deprec 26'!F16</f>
        <v>40341556</v>
      </c>
      <c r="C2031" s="2" t="s">
        <v>572</v>
      </c>
      <c r="D2031" s="2" t="str">
        <f t="shared" si="30"/>
        <v>Error?</v>
      </c>
    </row>
    <row r="2032" spans="1:4" x14ac:dyDescent="0.2">
      <c r="A2032" s="10">
        <v>1971</v>
      </c>
      <c r="D2032" s="2" t="str">
        <f t="shared" si="30"/>
        <v>OK</v>
      </c>
    </row>
    <row r="2033" spans="1:4" x14ac:dyDescent="0.2">
      <c r="A2033" s="5">
        <v>1972</v>
      </c>
      <c r="B2033" s="138">
        <f>'Cap Outlay Deprec 26'!H8</f>
        <v>7988183</v>
      </c>
      <c r="D2033" s="2" t="str">
        <f t="shared" si="30"/>
        <v>Error?</v>
      </c>
    </row>
    <row r="2034" spans="1:4" x14ac:dyDescent="0.2">
      <c r="A2034" s="5">
        <v>1973</v>
      </c>
      <c r="B2034" s="138">
        <f>'Cap Outlay Deprec 26'!H10</f>
        <v>226522</v>
      </c>
      <c r="D2034" s="2" t="str">
        <f t="shared" si="30"/>
        <v>Error?</v>
      </c>
    </row>
    <row r="2035" spans="1:4" x14ac:dyDescent="0.2">
      <c r="A2035" s="5">
        <v>1974</v>
      </c>
      <c r="B2035" s="138">
        <f>'Cap Outlay Deprec 26'!H12</f>
        <v>1796815</v>
      </c>
      <c r="D2035" s="2" t="str">
        <f t="shared" si="30"/>
        <v>Error?</v>
      </c>
    </row>
    <row r="2036" spans="1:4" x14ac:dyDescent="0.2">
      <c r="A2036" s="5">
        <v>1975</v>
      </c>
      <c r="B2036" s="138">
        <f>'Cap Outlay Deprec 26'!H13</f>
        <v>919494</v>
      </c>
      <c r="D2036" s="2" t="str">
        <f t="shared" si="30"/>
        <v>Error?</v>
      </c>
    </row>
    <row r="2037" spans="1:4" x14ac:dyDescent="0.2">
      <c r="A2037" s="5">
        <v>1976</v>
      </c>
      <c r="B2037" s="138">
        <f>'Cap Outlay Deprec 26'!H16</f>
        <v>10931014</v>
      </c>
      <c r="C2037" s="2" t="s">
        <v>572</v>
      </c>
      <c r="D2037" s="2" t="str">
        <f t="shared" si="30"/>
        <v>Error?</v>
      </c>
    </row>
    <row r="2038" spans="1:4" x14ac:dyDescent="0.2">
      <c r="A2038" s="10">
        <v>1977</v>
      </c>
      <c r="D2038" s="2" t="str">
        <f t="shared" si="30"/>
        <v>OK</v>
      </c>
    </row>
    <row r="2039" spans="1:4" x14ac:dyDescent="0.2">
      <c r="A2039" s="5">
        <v>1978</v>
      </c>
      <c r="B2039" s="138">
        <f>'Cap Outlay Deprec 26'!I8</f>
        <v>579905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36751</v>
      </c>
      <c r="D2041" s="2" t="str">
        <f t="shared" si="30"/>
        <v>Error?</v>
      </c>
    </row>
    <row r="2042" spans="1:4" x14ac:dyDescent="0.2">
      <c r="A2042" s="5">
        <v>1981</v>
      </c>
      <c r="B2042" s="138">
        <f>'Cap Outlay Deprec 26'!I13</f>
        <v>34320</v>
      </c>
      <c r="D2042" s="2" t="str">
        <f t="shared" si="30"/>
        <v>Error?</v>
      </c>
    </row>
    <row r="2043" spans="1:4" x14ac:dyDescent="0.2">
      <c r="A2043" s="5">
        <v>1982</v>
      </c>
      <c r="B2043" s="138">
        <f>'Cap Outlay Deprec 26'!I16</f>
        <v>650976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38300</v>
      </c>
      <c r="D2048" s="2" t="str">
        <f t="shared" si="31"/>
        <v>Error?</v>
      </c>
    </row>
    <row r="2049" spans="1:4" x14ac:dyDescent="0.2">
      <c r="A2049" s="5">
        <v>1988</v>
      </c>
      <c r="B2049" s="138">
        <f>'Cap Outlay Deprec 26'!J16</f>
        <v>38300</v>
      </c>
      <c r="C2049" s="2" t="s">
        <v>572</v>
      </c>
      <c r="D2049" s="2" t="str">
        <f t="shared" si="31"/>
        <v>Error?</v>
      </c>
    </row>
    <row r="2050" spans="1:4" x14ac:dyDescent="0.2">
      <c r="A2050" s="10">
        <v>1989</v>
      </c>
      <c r="D2050" s="2" t="str">
        <f t="shared" si="31"/>
        <v>OK</v>
      </c>
    </row>
    <row r="2051" spans="1:4" x14ac:dyDescent="0.2">
      <c r="A2051" s="5">
        <v>1990</v>
      </c>
      <c r="B2051" s="138">
        <f>'Cap Outlay Deprec 26'!K8</f>
        <v>8568088</v>
      </c>
      <c r="C2051" s="2" t="s">
        <v>572</v>
      </c>
      <c r="D2051" s="2" t="str">
        <f t="shared" si="31"/>
        <v>Error?</v>
      </c>
    </row>
    <row r="2052" spans="1:4" x14ac:dyDescent="0.2">
      <c r="A2052" s="5">
        <v>1991</v>
      </c>
      <c r="B2052" s="138">
        <f>'Cap Outlay Deprec 26'!K10</f>
        <v>226522</v>
      </c>
      <c r="C2052" s="2" t="s">
        <v>572</v>
      </c>
      <c r="D2052" s="2" t="str">
        <f t="shared" si="31"/>
        <v>Error?</v>
      </c>
    </row>
    <row r="2053" spans="1:4" x14ac:dyDescent="0.2">
      <c r="A2053" s="5">
        <v>1992</v>
      </c>
      <c r="B2053" s="138">
        <f>'Cap Outlay Deprec 26'!K12</f>
        <v>1833566</v>
      </c>
      <c r="C2053" s="2" t="s">
        <v>572</v>
      </c>
      <c r="D2053" s="2" t="str">
        <f t="shared" si="31"/>
        <v>Error?</v>
      </c>
    </row>
    <row r="2054" spans="1:4" x14ac:dyDescent="0.2">
      <c r="A2054" s="5">
        <v>1993</v>
      </c>
      <c r="B2054" s="138">
        <f>'Cap Outlay Deprec 26'!K13</f>
        <v>915514</v>
      </c>
      <c r="C2054" s="2" t="s">
        <v>572</v>
      </c>
      <c r="D2054" s="2" t="str">
        <f t="shared" si="31"/>
        <v>Error?</v>
      </c>
    </row>
    <row r="2055" spans="1:4" x14ac:dyDescent="0.2">
      <c r="A2055" s="5">
        <v>1994</v>
      </c>
      <c r="B2055" s="138">
        <f>'Cap Outlay Deprec 26'!K16</f>
        <v>11543690</v>
      </c>
      <c r="C2055" s="2" t="s">
        <v>572</v>
      </c>
      <c r="D2055" s="2" t="str">
        <f t="shared" si="31"/>
        <v>Error?</v>
      </c>
    </row>
    <row r="2056" spans="1:4" x14ac:dyDescent="0.2">
      <c r="A2056" s="5">
        <v>1995</v>
      </c>
      <c r="B2056" s="138">
        <f>'Cap Outlay Deprec 26'!L5</f>
        <v>438409</v>
      </c>
      <c r="C2056" s="2" t="s">
        <v>572</v>
      </c>
      <c r="D2056" s="2" t="str">
        <f t="shared" si="31"/>
        <v>Error?</v>
      </c>
    </row>
    <row r="2057" spans="1:4" x14ac:dyDescent="0.2">
      <c r="A2057" s="5">
        <v>1996</v>
      </c>
      <c r="B2057" s="138">
        <f>'Cap Outlay Deprec 26'!L8</f>
        <v>27833807</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330763</v>
      </c>
      <c r="C2059" s="2" t="s">
        <v>572</v>
      </c>
      <c r="D2059" s="2" t="str">
        <f t="shared" si="31"/>
        <v>Error?</v>
      </c>
    </row>
    <row r="2060" spans="1:4" x14ac:dyDescent="0.2">
      <c r="A2060" s="5">
        <v>1999</v>
      </c>
      <c r="B2060" s="138">
        <f>'Cap Outlay Deprec 26'!L13</f>
        <v>194887</v>
      </c>
      <c r="C2060" s="2" t="s">
        <v>572</v>
      </c>
      <c r="D2060" s="2" t="str">
        <f t="shared" si="31"/>
        <v>Error?</v>
      </c>
    </row>
    <row r="2061" spans="1:4" x14ac:dyDescent="0.2">
      <c r="A2061" s="5">
        <v>2000</v>
      </c>
      <c r="B2061" s="138">
        <f>'Cap Outlay Deprec 26'!L16</f>
        <v>28797866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1035779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1035779</v>
      </c>
      <c r="C2088" s="2" t="s">
        <v>572</v>
      </c>
      <c r="D2088" s="2" t="str">
        <f t="shared" si="31"/>
        <v>Error?</v>
      </c>
    </row>
    <row r="2089" spans="1:4" x14ac:dyDescent="0.2">
      <c r="A2089" s="5">
        <v>2028</v>
      </c>
      <c r="B2089" s="138">
        <f>'Expenditures 15-22'!K92</f>
        <v>226804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162299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89303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568336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1803806</v>
      </c>
      <c r="C2551" s="2" t="s">
        <v>572</v>
      </c>
      <c r="D2551" s="2" t="str">
        <f t="shared" si="38"/>
        <v>Error?</v>
      </c>
    </row>
    <row r="2552" spans="1:4" x14ac:dyDescent="0.2">
      <c r="A2552" s="10">
        <v>2491</v>
      </c>
      <c r="D2552" s="2" t="str">
        <f t="shared" si="38"/>
        <v>OK</v>
      </c>
    </row>
    <row r="2553" spans="1:4" x14ac:dyDescent="0.2">
      <c r="A2553" s="5">
        <v>2492</v>
      </c>
      <c r="B2553" s="138">
        <f>'Acct Summary 7-8'!C6</f>
        <v>8022834</v>
      </c>
      <c r="C2553" s="2" t="s">
        <v>572</v>
      </c>
      <c r="D2553" s="2" t="str">
        <f t="shared" si="38"/>
        <v>Error?</v>
      </c>
    </row>
    <row r="2554" spans="1:4" x14ac:dyDescent="0.2">
      <c r="A2554" s="5">
        <v>2493</v>
      </c>
      <c r="B2554" s="138">
        <f>'Acct Summary 7-8'!C7</f>
        <v>1449374</v>
      </c>
      <c r="C2554" s="2" t="s">
        <v>572</v>
      </c>
      <c r="D2554" s="2" t="str">
        <f t="shared" si="38"/>
        <v>Error?</v>
      </c>
    </row>
    <row r="2555" spans="1:4" x14ac:dyDescent="0.2">
      <c r="A2555" s="5">
        <v>2494</v>
      </c>
      <c r="B2555" s="138">
        <f>'Acct Summary 7-8'!C8</f>
        <v>11276014</v>
      </c>
      <c r="C2555" s="2" t="s">
        <v>572</v>
      </c>
      <c r="D2555" s="2" t="str">
        <f t="shared" si="38"/>
        <v>Error?</v>
      </c>
    </row>
    <row r="2556" spans="1:4" x14ac:dyDescent="0.2">
      <c r="A2556" s="5">
        <v>2495</v>
      </c>
      <c r="B2556" s="138">
        <f>'Acct Summary 7-8'!C12</f>
        <v>7147327</v>
      </c>
      <c r="C2556" s="2" t="s">
        <v>572</v>
      </c>
      <c r="D2556" s="2" t="str">
        <f t="shared" si="38"/>
        <v>Error?</v>
      </c>
    </row>
    <row r="2557" spans="1:4" x14ac:dyDescent="0.2">
      <c r="A2557" s="5">
        <v>2496</v>
      </c>
      <c r="B2557" s="138">
        <f>'Acct Summary 7-8'!C13</f>
        <v>3210361</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1262583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11620271</v>
      </c>
      <c r="C2561" s="2" t="s">
        <v>572</v>
      </c>
      <c r="D2561" s="2" t="str">
        <f t="shared" si="39"/>
        <v>Error?</v>
      </c>
    </row>
    <row r="2562" spans="1:4" x14ac:dyDescent="0.2">
      <c r="A2562" s="5">
        <v>2501</v>
      </c>
      <c r="B2562" s="138">
        <f>'Acct Summary 7-8'!C20</f>
        <v>-344257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366574</v>
      </c>
      <c r="C2564" s="2" t="s">
        <v>572</v>
      </c>
      <c r="D2564" s="2" t="str">
        <f t="shared" si="39"/>
        <v>Error?</v>
      </c>
    </row>
    <row r="2565" spans="1:4" x14ac:dyDescent="0.2">
      <c r="A2565" s="10">
        <v>2504</v>
      </c>
      <c r="D2565" s="2" t="str">
        <f t="shared" si="39"/>
        <v>OK</v>
      </c>
    </row>
    <row r="2566" spans="1:4" x14ac:dyDescent="0.2">
      <c r="A2566" s="5">
        <v>2505</v>
      </c>
      <c r="B2566" s="138">
        <f>'Acct Summary 7-8'!D6</f>
        <v>250008</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616582</v>
      </c>
      <c r="C2568" s="2" t="s">
        <v>572</v>
      </c>
      <c r="D2568" s="2" t="str">
        <f t="shared" si="39"/>
        <v>Error?</v>
      </c>
    </row>
    <row r="2569" spans="1:4" x14ac:dyDescent="0.2">
      <c r="A2569" s="5">
        <v>2508</v>
      </c>
      <c r="B2569" s="138">
        <f>'Acct Summary 7-8'!D13</f>
        <v>742478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742478</v>
      </c>
      <c r="C2573" s="2" t="s">
        <v>572</v>
      </c>
      <c r="D2573" s="2" t="str">
        <f t="shared" si="39"/>
        <v>Error?</v>
      </c>
    </row>
    <row r="2574" spans="1:4" x14ac:dyDescent="0.2">
      <c r="A2574" s="5">
        <v>2513</v>
      </c>
      <c r="B2574" s="138">
        <f>'Acct Summary 7-8'!D20</f>
        <v>-125896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132900</v>
      </c>
      <c r="C2591" s="2" t="s">
        <v>572</v>
      </c>
      <c r="D2591" s="2" t="str">
        <f t="shared" si="39"/>
        <v>Error?</v>
      </c>
    </row>
    <row r="2592" spans="1:4" x14ac:dyDescent="0.2">
      <c r="A2592" s="10">
        <v>2531</v>
      </c>
      <c r="D2592" s="2" t="str">
        <f t="shared" si="39"/>
        <v>OK</v>
      </c>
    </row>
    <row r="2593" spans="1:4" x14ac:dyDescent="0.2">
      <c r="A2593" s="5">
        <v>2532</v>
      </c>
      <c r="B2593" s="138">
        <f>'Acct Summary 7-8'!F6</f>
        <v>280444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413344</v>
      </c>
      <c r="C2595" s="2" t="s">
        <v>572</v>
      </c>
      <c r="D2595" s="2" t="str">
        <f t="shared" si="39"/>
        <v>Error?</v>
      </c>
    </row>
    <row r="2596" spans="1:4" x14ac:dyDescent="0.2">
      <c r="A2596" s="5">
        <v>2535</v>
      </c>
      <c r="B2596" s="138">
        <f>'Acct Summary 7-8'!F13</f>
        <v>655081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283</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655364</v>
      </c>
      <c r="C2600" s="2" t="s">
        <v>572</v>
      </c>
      <c r="D2600" s="2" t="str">
        <f t="shared" si="39"/>
        <v>Error?</v>
      </c>
    </row>
    <row r="2601" spans="1:4" x14ac:dyDescent="0.2">
      <c r="A2601" s="5">
        <v>2540</v>
      </c>
      <c r="B2601" s="138">
        <f>'Acct Summary 7-8'!F20</f>
        <v>-242020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304771</v>
      </c>
      <c r="C2603" s="2" t="s">
        <v>572</v>
      </c>
      <c r="D2603" s="2" t="str">
        <f t="shared" si="39"/>
        <v>Error?</v>
      </c>
    </row>
    <row r="2604" spans="1:4" x14ac:dyDescent="0.2">
      <c r="A2604" s="5">
        <v>2543</v>
      </c>
      <c r="B2604" s="138">
        <f>'Acct Summary 7-8'!G6</f>
        <v>149996</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454767</v>
      </c>
      <c r="C2606" s="2" t="s">
        <v>572</v>
      </c>
      <c r="D2606" s="2" t="str">
        <f t="shared" si="39"/>
        <v>Error?</v>
      </c>
    </row>
    <row r="2607" spans="1:4" x14ac:dyDescent="0.2">
      <c r="A2607" s="5">
        <v>2546</v>
      </c>
      <c r="B2607" s="138">
        <f>'Acct Summary 7-8'!G12</f>
        <v>142476</v>
      </c>
      <c r="C2607" s="2" t="s">
        <v>572</v>
      </c>
      <c r="D2607" s="2" t="str">
        <f t="shared" si="39"/>
        <v>Error?</v>
      </c>
    </row>
    <row r="2608" spans="1:4" x14ac:dyDescent="0.2">
      <c r="A2608" s="5">
        <v>2547</v>
      </c>
      <c r="B2608" s="138">
        <f>'Acct Summary 7-8'!G13</f>
        <v>240951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383427</v>
      </c>
      <c r="C2612" s="2" t="s">
        <v>572</v>
      </c>
      <c r="D2612" s="2" t="str">
        <f t="shared" si="39"/>
        <v>Error?</v>
      </c>
    </row>
    <row r="2613" spans="1:4" x14ac:dyDescent="0.2">
      <c r="A2613" s="5">
        <v>2552</v>
      </c>
      <c r="B2613" s="138">
        <f>'Acct Summary 7-8'!G20</f>
        <v>71340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917014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917014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1193208</v>
      </c>
      <c r="C2634" s="2" t="s">
        <v>572</v>
      </c>
      <c r="D2634" s="2" t="str">
        <f t="shared" si="40"/>
        <v>Error?</v>
      </c>
    </row>
    <row r="2635" spans="1:4" x14ac:dyDescent="0.2">
      <c r="A2635" s="5">
        <v>2574</v>
      </c>
      <c r="B2635" s="138">
        <f>'Acct Summary 7-8'!E17</f>
        <v>1193208</v>
      </c>
      <c r="C2635" s="2" t="s">
        <v>572</v>
      </c>
      <c r="D2635" s="2" t="str">
        <f t="shared" si="40"/>
        <v>Error?</v>
      </c>
    </row>
    <row r="2636" spans="1:4" x14ac:dyDescent="0.2">
      <c r="A2636" s="5">
        <v>2575</v>
      </c>
      <c r="B2636" s="138">
        <f>'Acct Summary 7-8'!E20</f>
        <v>-276194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316588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316588</v>
      </c>
      <c r="C2658" s="2" t="s">
        <v>572</v>
      </c>
      <c r="D2658" s="2" t="str">
        <f t="shared" si="40"/>
        <v>Error?</v>
      </c>
    </row>
    <row r="2659" spans="1:4" x14ac:dyDescent="0.2">
      <c r="A2659" s="5">
        <v>2598</v>
      </c>
      <c r="B2659" s="138">
        <f>'Acct Summary 7-8'!H13</f>
        <v>899897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899897</v>
      </c>
      <c r="C2661" s="2" t="s">
        <v>572</v>
      </c>
      <c r="D2661" s="2" t="str">
        <f t="shared" si="40"/>
        <v>Error?</v>
      </c>
    </row>
    <row r="2662" spans="1:4" x14ac:dyDescent="0.2">
      <c r="A2662" s="5">
        <v>2601</v>
      </c>
      <c r="B2662" s="138">
        <f>'Acct Summary 7-8'!H20</f>
        <v>-583309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283</v>
      </c>
      <c r="D2829" s="2" t="str">
        <f t="shared" si="43"/>
        <v>Error?</v>
      </c>
    </row>
    <row r="2830" spans="1:4" x14ac:dyDescent="0.2">
      <c r="A2830" s="5">
        <v>2769</v>
      </c>
      <c r="B2830" s="138">
        <f>'Expenditures 15-22'!H196</f>
        <v>283</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283</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1110401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1265415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2469887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6200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459516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2469887</v>
      </c>
      <c r="D2912" s="2" t="str">
        <f t="shared" si="44"/>
        <v>Error?</v>
      </c>
    </row>
    <row r="2913" spans="1:4" x14ac:dyDescent="0.2">
      <c r="A2913" s="5">
        <v>2852</v>
      </c>
      <c r="B2913" s="138">
        <f>'Assets-Liab 5-6'!I41</f>
        <v>2469887</v>
      </c>
      <c r="C2913" s="2" t="s">
        <v>572</v>
      </c>
      <c r="D2913" s="2" t="str">
        <f t="shared" si="44"/>
        <v>Error?</v>
      </c>
    </row>
    <row r="2914" spans="1:4" x14ac:dyDescent="0.2">
      <c r="A2914" s="5">
        <v>2853</v>
      </c>
      <c r="B2914" s="138">
        <f>'Assets-Liab 5-6'!L33</f>
        <v>459516</v>
      </c>
      <c r="D2914" s="2" t="str">
        <f t="shared" si="44"/>
        <v>Error?</v>
      </c>
    </row>
    <row r="2915" spans="1:4" x14ac:dyDescent="0.2">
      <c r="A2915" s="10">
        <v>2854</v>
      </c>
      <c r="D2915" s="2" t="str">
        <f t="shared" si="44"/>
        <v>OK</v>
      </c>
    </row>
    <row r="2916" spans="1:4" x14ac:dyDescent="0.2">
      <c r="A2916" s="5">
        <v>2855</v>
      </c>
      <c r="B2916" s="138">
        <f>'Assets-Liab 5-6'!L34</f>
        <v>459516</v>
      </c>
      <c r="C2916" s="2" t="s">
        <v>572</v>
      </c>
      <c r="D2916" s="2" t="str">
        <f t="shared" si="44"/>
        <v>Error?</v>
      </c>
    </row>
    <row r="2917" spans="1:4" x14ac:dyDescent="0.2">
      <c r="A2917" s="5">
        <v>2856</v>
      </c>
      <c r="B2917" s="138">
        <f>'Assets-Liab 5-6'!L41</f>
        <v>459516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1035779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1035779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336215</v>
      </c>
      <c r="D3055" s="2" t="str">
        <f t="shared" si="46"/>
        <v>Error?</v>
      </c>
    </row>
    <row r="3056" spans="1:4" x14ac:dyDescent="0.2">
      <c r="A3056" s="5">
        <v>2995</v>
      </c>
      <c r="B3056" s="138">
        <f>'Expenditures 15-22'!D10</f>
        <v>91493</v>
      </c>
      <c r="D3056" s="2" t="str">
        <f t="shared" si="46"/>
        <v>Error?</v>
      </c>
    </row>
    <row r="3057" spans="1:4" x14ac:dyDescent="0.2">
      <c r="A3057" s="5">
        <v>2996</v>
      </c>
      <c r="B3057" s="138">
        <f>'Expenditures 15-22'!E10</f>
        <v>13856</v>
      </c>
      <c r="D3057" s="2" t="str">
        <f t="shared" si="46"/>
        <v>Error?</v>
      </c>
    </row>
    <row r="3058" spans="1:4" x14ac:dyDescent="0.2">
      <c r="A3058" s="5">
        <v>2997</v>
      </c>
      <c r="B3058" s="138">
        <f>'Expenditures 15-22'!F10</f>
        <v>28441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470005</v>
      </c>
      <c r="C3062" s="2" t="s">
        <v>572</v>
      </c>
      <c r="D3062" s="2" t="str">
        <f t="shared" si="46"/>
        <v>Error?</v>
      </c>
    </row>
    <row r="3063" spans="1:4" x14ac:dyDescent="0.2">
      <c r="A3063" s="10">
        <v>3002</v>
      </c>
      <c r="D3063" s="2" t="str">
        <f t="shared" si="46"/>
        <v>OK</v>
      </c>
    </row>
    <row r="3064" spans="1:4" x14ac:dyDescent="0.2">
      <c r="A3064" s="5">
        <v>3003</v>
      </c>
      <c r="B3064" s="138">
        <f>'Expenditures 15-22'!D219</f>
        <v>23129</v>
      </c>
      <c r="D3064" s="2" t="str">
        <f t="shared" si="46"/>
        <v>Error?</v>
      </c>
    </row>
    <row r="3065" spans="1:4" x14ac:dyDescent="0.2">
      <c r="A3065" s="5">
        <v>3004</v>
      </c>
      <c r="B3065" s="138">
        <f>'Expenditures 15-22'!K219</f>
        <v>23129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41427</v>
      </c>
      <c r="C3225" s="2" t="s">
        <v>572</v>
      </c>
      <c r="D3225" s="2" t="str">
        <f t="shared" si="49"/>
        <v>Error?</v>
      </c>
    </row>
    <row r="3226" spans="1:4" x14ac:dyDescent="0.2">
      <c r="A3226" s="5">
        <v>3165</v>
      </c>
      <c r="B3226" s="138">
        <f>'Acct Summary 7-8'!I8</f>
        <v>41427</v>
      </c>
      <c r="C3226" s="2" t="s">
        <v>572</v>
      </c>
      <c r="D3226" s="2" t="str">
        <f t="shared" si="49"/>
        <v>Error?</v>
      </c>
    </row>
    <row r="3227" spans="1:4" x14ac:dyDescent="0.2">
      <c r="A3227" s="5">
        <v>3166</v>
      </c>
      <c r="B3227" s="138">
        <f>'Acct Summary 7-8'!I20</f>
        <v>41427</v>
      </c>
      <c r="C3227" s="2" t="s">
        <v>572</v>
      </c>
      <c r="D3227" s="2" t="str">
        <f t="shared" si="49"/>
        <v>Error?</v>
      </c>
    </row>
    <row r="3228" spans="1:4" x14ac:dyDescent="0.2">
      <c r="A3228" s="5">
        <v>3167</v>
      </c>
      <c r="B3228" s="138">
        <f>'Acct Summary 7-8'!C43</f>
        <v>842090</v>
      </c>
      <c r="D3228" s="2" t="str">
        <f t="shared" si="49"/>
        <v>Error?</v>
      </c>
    </row>
    <row r="3229" spans="1:4" x14ac:dyDescent="0.2">
      <c r="A3229" s="5">
        <v>3168</v>
      </c>
      <c r="B3229" s="138">
        <f>'Acct Summary 7-8'!C44</f>
        <v>842090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765000</v>
      </c>
      <c r="C3231" s="2" t="s">
        <v>572</v>
      </c>
      <c r="D3231" s="2" t="str">
        <f t="shared" si="49"/>
        <v>Error?</v>
      </c>
    </row>
    <row r="3232" spans="1:4" x14ac:dyDescent="0.2">
      <c r="A3232" s="5">
        <v>3171</v>
      </c>
      <c r="B3232" s="138">
        <f>'Acct Summary 7-8'!C77</f>
        <v>77090</v>
      </c>
      <c r="C3232" s="2" t="s">
        <v>572</v>
      </c>
      <c r="D3232" s="2" t="str">
        <f t="shared" si="49"/>
        <v>Error?</v>
      </c>
    </row>
    <row r="3233" spans="1:4" x14ac:dyDescent="0.2">
      <c r="A3233" s="5">
        <v>3172</v>
      </c>
      <c r="B3233" s="138">
        <f>'Acct Summary 7-8'!C78</f>
        <v>-267167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-125896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171285</v>
      </c>
      <c r="D3251" s="2" t="str">
        <f t="shared" si="49"/>
        <v>Error?</v>
      </c>
    </row>
    <row r="3252" spans="1:4" x14ac:dyDescent="0.2">
      <c r="A3252" s="5">
        <v>3191</v>
      </c>
      <c r="B3252" s="138">
        <f>'Acct Summary 7-8'!F44</f>
        <v>171285</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171285</v>
      </c>
      <c r="C3255" s="2" t="s">
        <v>572</v>
      </c>
      <c r="D3255" s="2" t="str">
        <f t="shared" si="49"/>
        <v>Error?</v>
      </c>
    </row>
    <row r="3256" spans="1:4" x14ac:dyDescent="0.2">
      <c r="A3256" s="5">
        <v>3195</v>
      </c>
      <c r="B3256" s="138">
        <f>'Acct Summary 7-8'!F78</f>
        <v>-70735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71340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65000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65000</v>
      </c>
      <c r="C3277" s="2" t="s">
        <v>572</v>
      </c>
      <c r="D3277" s="2" t="str">
        <f t="shared" si="50"/>
        <v>Error?</v>
      </c>
    </row>
    <row r="3278" spans="1:4" x14ac:dyDescent="0.2">
      <c r="A3278" s="5">
        <v>3217</v>
      </c>
      <c r="B3278" s="138">
        <f>'Acct Summary 7-8'!E78</f>
        <v>-211194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700000</v>
      </c>
      <c r="C3299" s="2" t="s">
        <v>572</v>
      </c>
      <c r="D3299" s="2" t="str">
        <f t="shared" si="50"/>
        <v>Error?</v>
      </c>
    </row>
    <row r="3300" spans="1:4" x14ac:dyDescent="0.2">
      <c r="A3300" s="5">
        <v>3239</v>
      </c>
      <c r="B3300" s="138">
        <f>'Acct Summary 7-8'!H78</f>
        <v>116691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41427</v>
      </c>
      <c r="C3320" s="2" t="s">
        <v>572</v>
      </c>
      <c r="D3320" s="2" t="str">
        <f t="shared" si="50"/>
        <v>Error?</v>
      </c>
    </row>
    <row r="3321" spans="1:4" x14ac:dyDescent="0.2">
      <c r="A3321" s="5">
        <v>3260</v>
      </c>
      <c r="B3321" s="138">
        <f>'Acct Summary 7-8'!I79</f>
        <v>2428460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2469887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569329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127211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87796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5019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805631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48227</v>
      </c>
      <c r="D3387" s="2" t="str">
        <f t="shared" si="51"/>
        <v>Error?</v>
      </c>
    </row>
    <row r="3388" spans="1:4" x14ac:dyDescent="0.2">
      <c r="A3388" s="5">
        <v>3327</v>
      </c>
      <c r="B3388" s="138">
        <f>'Expenditures 15-22'!D217</f>
        <v>38034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48227</v>
      </c>
      <c r="C3390" s="2" t="s">
        <v>572</v>
      </c>
      <c r="D3390" s="2" t="str">
        <f t="shared" si="51"/>
        <v>Error?</v>
      </c>
    </row>
    <row r="3391" spans="1:4" x14ac:dyDescent="0.2">
      <c r="A3391" s="5">
        <v>3330</v>
      </c>
      <c r="B3391" s="138">
        <f>'Expenditures 15-22'!K217</f>
        <v>38034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1414511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511333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89303</v>
      </c>
      <c r="D3417" s="2" t="str">
        <f t="shared" si="52"/>
        <v>Error?</v>
      </c>
    </row>
    <row r="3418" spans="1:4" x14ac:dyDescent="0.2">
      <c r="A3418" s="10">
        <v>3357</v>
      </c>
      <c r="D3418" s="2" t="str">
        <f t="shared" si="52"/>
        <v>OK</v>
      </c>
    </row>
    <row r="3419" spans="1:4" x14ac:dyDescent="0.2">
      <c r="A3419" s="5">
        <v>3358</v>
      </c>
      <c r="B3419" s="138">
        <f>'Assets-Liab 5-6'!F4</f>
        <v>125876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162299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568336</v>
      </c>
      <c r="D3425" s="2" t="str">
        <f t="shared" si="52"/>
        <v>Error?</v>
      </c>
    </row>
    <row r="3426" spans="1:4" x14ac:dyDescent="0.2">
      <c r="A3426" s="10">
        <v>3365</v>
      </c>
      <c r="D3426" s="2" t="str">
        <f t="shared" si="52"/>
        <v>OK</v>
      </c>
    </row>
    <row r="3427" spans="1:4" x14ac:dyDescent="0.2">
      <c r="A3427" s="5">
        <v>3366</v>
      </c>
      <c r="B3427" s="138">
        <f>'Assets-Liab 5-6'!I4</f>
        <v>1204472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453316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78014</v>
      </c>
      <c r="C3446" s="2" t="s">
        <v>572</v>
      </c>
      <c r="D3446" s="2" t="str">
        <f t="shared" si="52"/>
        <v>Error?</v>
      </c>
    </row>
    <row r="3447" spans="1:4" x14ac:dyDescent="0.2">
      <c r="A3447" s="5">
        <v>3386</v>
      </c>
      <c r="B3447" s="138">
        <f>'Tax Sched 23'!D16</f>
        <v>78014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80672</v>
      </c>
      <c r="C3449" s="2" t="s">
        <v>572</v>
      </c>
      <c r="D3449" s="2" t="str">
        <f t="shared" si="52"/>
        <v>Error?</v>
      </c>
    </row>
    <row r="3450" spans="1:4" x14ac:dyDescent="0.2">
      <c r="A3450" s="5">
        <v>3389</v>
      </c>
      <c r="B3450" s="138">
        <f>'Tax Sched 23'!E16</f>
        <v>80672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298058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4184832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15460846</v>
      </c>
      <c r="C4122" s="2" t="s">
        <v>572</v>
      </c>
      <c r="D4122" s="2" t="str">
        <f t="shared" si="63"/>
        <v>Error?</v>
      </c>
    </row>
    <row r="4123" spans="1:4" x14ac:dyDescent="0.2">
      <c r="A4123" s="5">
        <v>4062</v>
      </c>
      <c r="B4123" s="138">
        <f>'Acct Summary 7-8'!D10</f>
        <v>616582</v>
      </c>
      <c r="C4123" s="2" t="s">
        <v>572</v>
      </c>
      <c r="D4123" s="2" t="str">
        <f t="shared" si="63"/>
        <v>Error?</v>
      </c>
    </row>
    <row r="4124" spans="1:4" x14ac:dyDescent="0.2">
      <c r="A4124" s="5">
        <v>4063</v>
      </c>
      <c r="B4124" s="138">
        <f>'Acct Summary 7-8'!E10</f>
        <v>917014</v>
      </c>
      <c r="C4124" s="2" t="s">
        <v>572</v>
      </c>
      <c r="D4124" s="2" t="str">
        <f t="shared" si="63"/>
        <v>Error?</v>
      </c>
    </row>
    <row r="4125" spans="1:4" x14ac:dyDescent="0.2">
      <c r="A4125" s="5">
        <v>4064</v>
      </c>
      <c r="B4125" s="138">
        <f>'Acct Summary 7-8'!F10</f>
        <v>413344</v>
      </c>
      <c r="C4125" s="2" t="s">
        <v>572</v>
      </c>
      <c r="D4125" s="2" t="str">
        <f t="shared" si="63"/>
        <v>Error?</v>
      </c>
    </row>
    <row r="4126" spans="1:4" x14ac:dyDescent="0.2">
      <c r="A4126" s="5">
        <v>4065</v>
      </c>
      <c r="B4126" s="138">
        <f>'Acct Summary 7-8'!G10</f>
        <v>454767</v>
      </c>
      <c r="C4126" s="2" t="s">
        <v>572</v>
      </c>
      <c r="D4126" s="2" t="str">
        <f t="shared" si="63"/>
        <v>Error?</v>
      </c>
    </row>
    <row r="4127" spans="1:4" x14ac:dyDescent="0.2">
      <c r="A4127" s="5">
        <v>4066</v>
      </c>
      <c r="B4127" s="138">
        <f>'Acct Summary 7-8'!H10</f>
        <v>316588</v>
      </c>
      <c r="C4127" s="2" t="s">
        <v>572</v>
      </c>
      <c r="D4127" s="2" t="str">
        <f t="shared" si="63"/>
        <v>Error?</v>
      </c>
    </row>
    <row r="4128" spans="1:4" x14ac:dyDescent="0.2">
      <c r="A4128" s="5">
        <v>4067</v>
      </c>
      <c r="B4128" s="138">
        <f>'Acct Summary 7-8'!I10</f>
        <v>41427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4184832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15805103</v>
      </c>
      <c r="C4136" s="2" t="s">
        <v>572</v>
      </c>
      <c r="D4136" s="2" t="str">
        <f t="shared" si="63"/>
        <v>Error?</v>
      </c>
    </row>
    <row r="4137" spans="1:4" x14ac:dyDescent="0.2">
      <c r="A4137" s="5">
        <v>4076</v>
      </c>
      <c r="B4137" s="138">
        <f>'Acct Summary 7-8'!D19</f>
        <v>742478</v>
      </c>
      <c r="C4137" s="2" t="s">
        <v>572</v>
      </c>
      <c r="D4137" s="2" t="str">
        <f t="shared" si="63"/>
        <v>Error?</v>
      </c>
    </row>
    <row r="4138" spans="1:4" x14ac:dyDescent="0.2">
      <c r="A4138" s="5">
        <v>4077</v>
      </c>
      <c r="B4138" s="138">
        <f>'Acct Summary 7-8'!E19</f>
        <v>1193208</v>
      </c>
      <c r="C4138" s="2" t="s">
        <v>572</v>
      </c>
      <c r="D4138" s="2" t="str">
        <f t="shared" si="63"/>
        <v>Error?</v>
      </c>
    </row>
    <row r="4139" spans="1:4" x14ac:dyDescent="0.2">
      <c r="A4139" s="5">
        <v>4078</v>
      </c>
      <c r="B4139" s="138">
        <f>'Acct Summary 7-8'!F19</f>
        <v>655364</v>
      </c>
      <c r="C4139" s="2" t="s">
        <v>572</v>
      </c>
      <c r="D4139" s="2" t="str">
        <f t="shared" si="63"/>
        <v>Error?</v>
      </c>
    </row>
    <row r="4140" spans="1:4" x14ac:dyDescent="0.2">
      <c r="A4140" s="5">
        <v>4079</v>
      </c>
      <c r="B4140" s="138">
        <f>'Acct Summary 7-8'!G19</f>
        <v>383427</v>
      </c>
      <c r="C4140" s="2" t="s">
        <v>572</v>
      </c>
      <c r="D4140" s="2" t="str">
        <f t="shared" si="63"/>
        <v>Error?</v>
      </c>
    </row>
    <row r="4141" spans="1:4" x14ac:dyDescent="0.2">
      <c r="A4141" s="5">
        <v>4080</v>
      </c>
      <c r="B4141" s="138">
        <f>'Acct Summary 7-8'!H19</f>
        <v>899897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13227701</v>
      </c>
      <c r="C4171" s="2" t="s">
        <v>572</v>
      </c>
      <c r="D4171" s="2" t="str">
        <f t="shared" si="64"/>
        <v>Error?</v>
      </c>
    </row>
    <row r="4172" spans="1:4" x14ac:dyDescent="0.2">
      <c r="A4172" s="5">
        <v>4111</v>
      </c>
      <c r="B4172" s="138">
        <f>'Short-Term Long-Term Debt 24'!J49</f>
        <v>13138398</v>
      </c>
      <c r="C4172" s="2" t="s">
        <v>572</v>
      </c>
      <c r="D4172" s="2" t="str">
        <f t="shared" si="64"/>
        <v>Error?</v>
      </c>
    </row>
    <row r="4173" spans="1:4" x14ac:dyDescent="0.2">
      <c r="A4173" s="5">
        <v>4112</v>
      </c>
      <c r="B4173" s="138">
        <f>'Short-Term Long-Term Debt 24'!H49</f>
        <v>509932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1764.1299999999999</v>
      </c>
      <c r="C4265" s="2" t="s">
        <v>572</v>
      </c>
      <c r="D4265" s="2" t="str">
        <f t="shared" si="65"/>
        <v>Error?</v>
      </c>
      <c r="E4265" s="128"/>
    </row>
    <row r="4266" spans="1:5" x14ac:dyDescent="0.2">
      <c r="A4266" s="12">
        <v>4205</v>
      </c>
      <c r="B4266" s="138">
        <f>('FP Info 3'!F10)*100000</f>
        <v>456.57</v>
      </c>
      <c r="C4266" s="2" t="s">
        <v>572</v>
      </c>
      <c r="D4266" s="2" t="str">
        <f t="shared" si="65"/>
        <v>Error?</v>
      </c>
      <c r="E4266" s="128"/>
    </row>
    <row r="4267" spans="1:5" x14ac:dyDescent="0.2">
      <c r="A4267" s="12">
        <v>4206</v>
      </c>
      <c r="B4267" s="138">
        <f>('FP Info 3'!H10)*100000</f>
        <v>182.99</v>
      </c>
      <c r="C4267" s="2" t="s">
        <v>572</v>
      </c>
      <c r="D4267" s="2" t="str">
        <f t="shared" si="65"/>
        <v>Error?</v>
      </c>
      <c r="E4267" s="128"/>
    </row>
    <row r="4268" spans="1:5" x14ac:dyDescent="0.2">
      <c r="A4268" s="12">
        <v>4207</v>
      </c>
      <c r="B4268" s="138">
        <f>('FP Info 3'!J10)*100000</f>
        <v>2404</v>
      </c>
      <c r="C4268" s="2" t="s">
        <v>572</v>
      </c>
      <c r="D4268" s="2" t="str">
        <f t="shared" si="65"/>
        <v>Error?</v>
      </c>
    </row>
    <row r="4269" spans="1:5" x14ac:dyDescent="0.2">
      <c r="A4269" s="12">
        <v>4208</v>
      </c>
      <c r="B4269" s="138">
        <f>'FP Info 3'!J16</f>
        <v>7276263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19952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38938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15919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15919</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6771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56127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42.73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920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72553661</v>
      </c>
      <c r="D4995" s="2" t="str">
        <f t="shared" si="77"/>
        <v>Error?</v>
      </c>
    </row>
    <row r="4996" spans="1:4" x14ac:dyDescent="0.2">
      <c r="A4996" s="12">
        <v>4935</v>
      </c>
      <c r="B4996" s="138">
        <f>'FP Info 3'!H31</f>
        <v>10012405.218</v>
      </c>
      <c r="D4996" s="2" t="str">
        <f t="shared" si="77"/>
        <v>Error?</v>
      </c>
    </row>
    <row r="4997" spans="1:4" x14ac:dyDescent="0.2">
      <c r="A4997" s="12">
        <v>4936</v>
      </c>
      <c r="B4997" s="138">
        <f>'FP Info 3'!H37</f>
        <v>13227701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1239870</v>
      </c>
      <c r="D5061" s="2" t="str">
        <f t="shared" si="78"/>
        <v>Error?</v>
      </c>
    </row>
    <row r="5062" spans="1:4" x14ac:dyDescent="0.2">
      <c r="A5062" s="10">
        <v>5001</v>
      </c>
      <c r="D5062" s="2" t="str">
        <f t="shared" si="78"/>
        <v>OK</v>
      </c>
    </row>
    <row r="5063" spans="1:4" x14ac:dyDescent="0.2">
      <c r="A5063" s="5">
        <v>5002</v>
      </c>
      <c r="B5063" s="138">
        <f>'Revenues 9-14'!C7</f>
        <v>23959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1263829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1120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204834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205954</v>
      </c>
      <c r="C5087" s="2" t="s">
        <v>572</v>
      </c>
      <c r="D5087" s="2" t="str">
        <f t="shared" si="78"/>
        <v>Error?</v>
      </c>
    </row>
    <row r="5088" spans="1:4" x14ac:dyDescent="0.2">
      <c r="A5088" s="5">
        <v>5027</v>
      </c>
      <c r="B5088" s="138">
        <f>'Revenues 9-14'!C65</f>
        <v>117171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117171</v>
      </c>
      <c r="C5090" s="2" t="s">
        <v>572</v>
      </c>
      <c r="D5090" s="2" t="str">
        <f t="shared" si="78"/>
        <v>Error?</v>
      </c>
    </row>
    <row r="5091" spans="1:4" x14ac:dyDescent="0.2">
      <c r="A5091" s="5">
        <v>5030</v>
      </c>
      <c r="B5091" s="138">
        <f>'Revenues 9-14'!C70</f>
        <v>6985</v>
      </c>
      <c r="D5091" s="2" t="str">
        <f t="shared" si="78"/>
        <v>Error?</v>
      </c>
    </row>
    <row r="5092" spans="1:4" x14ac:dyDescent="0.2">
      <c r="A5092" s="5">
        <v>5031</v>
      </c>
      <c r="B5092" s="138">
        <f>'Revenues 9-14'!C71</f>
        <v>3061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7345</v>
      </c>
      <c r="D5094" s="2" t="str">
        <f t="shared" si="78"/>
        <v>Error?</v>
      </c>
    </row>
    <row r="5095" spans="1:4" x14ac:dyDescent="0.2">
      <c r="A5095" s="5">
        <v>5034</v>
      </c>
      <c r="B5095" s="138">
        <f>'Revenues 9-14'!C74</f>
        <v>16175</v>
      </c>
      <c r="D5095" s="2" t="str">
        <f t="shared" si="78"/>
        <v>Error?</v>
      </c>
    </row>
    <row r="5096" spans="1:4" x14ac:dyDescent="0.2">
      <c r="A5096" s="5">
        <v>5035</v>
      </c>
      <c r="B5096" s="138">
        <f>'Revenues 9-14'!C75</f>
        <v>60238</v>
      </c>
      <c r="C5096" s="2" t="s">
        <v>572</v>
      </c>
      <c r="D5096" s="2" t="str">
        <f t="shared" si="78"/>
        <v>Error?</v>
      </c>
    </row>
    <row r="5097" spans="1:4" x14ac:dyDescent="0.2">
      <c r="A5097" s="5">
        <v>5036</v>
      </c>
      <c r="B5097" s="138">
        <f>'Revenues 9-14'!C77</f>
        <v>21864</v>
      </c>
      <c r="D5097" s="2" t="str">
        <f t="shared" si="78"/>
        <v>Error?</v>
      </c>
    </row>
    <row r="5098" spans="1:4" x14ac:dyDescent="0.2">
      <c r="A5098" s="5">
        <v>5037</v>
      </c>
      <c r="B5098" s="138">
        <f>'Revenues 9-14'!C78</f>
        <v>5043</v>
      </c>
      <c r="D5098" s="2" t="str">
        <f t="shared" si="78"/>
        <v>Error?</v>
      </c>
    </row>
    <row r="5099" spans="1:4" x14ac:dyDescent="0.2">
      <c r="A5099" s="5">
        <v>5038</v>
      </c>
      <c r="B5099" s="138">
        <f>'Revenues 9-14'!C79</f>
        <v>9826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36733</v>
      </c>
      <c r="C5102" s="2" t="s">
        <v>572</v>
      </c>
      <c r="D5102" s="2" t="str">
        <f t="shared" si="78"/>
        <v>Error?</v>
      </c>
    </row>
    <row r="5103" spans="1:4" x14ac:dyDescent="0.2">
      <c r="A5103" s="5">
        <v>5042</v>
      </c>
      <c r="B5103" s="138">
        <f>'Revenues 9-14'!C84</f>
        <v>48247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48247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61782</v>
      </c>
      <c r="D5119" s="2" t="str">
        <f t="shared" ref="D5119:D5182" si="79">IF(ISBLANK(B5119),"OK",IF(A5119-B5119=0,"OK","Error?"))</f>
        <v>Error?</v>
      </c>
    </row>
    <row r="5120" spans="1:4" x14ac:dyDescent="0.2">
      <c r="A5120" s="5">
        <v>5059</v>
      </c>
      <c r="B5120" s="138">
        <f>'Revenues 9-14'!C108</f>
        <v>71634</v>
      </c>
      <c r="C5120" s="2" t="s">
        <v>572</v>
      </c>
      <c r="D5120" s="2" t="str">
        <f t="shared" si="79"/>
        <v>Error?</v>
      </c>
    </row>
    <row r="5121" spans="1:4" x14ac:dyDescent="0.2">
      <c r="A5121" s="5">
        <v>5060</v>
      </c>
      <c r="B5121" s="138">
        <f>'Revenues 9-14'!C109</f>
        <v>1803806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7538421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7538421</v>
      </c>
      <c r="C5132" s="2" t="s">
        <v>572</v>
      </c>
      <c r="D5132" s="2" t="str">
        <f t="shared" si="79"/>
        <v>Error?</v>
      </c>
    </row>
    <row r="5133" spans="1:4" x14ac:dyDescent="0.2">
      <c r="A5133" s="5">
        <v>5072</v>
      </c>
      <c r="B5133" s="138">
        <f>'Revenues 9-14'!C125</f>
        <v>36066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3878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39944</v>
      </c>
      <c r="C5147" s="2" t="s">
        <v>572</v>
      </c>
      <c r="D5147" s="2" t="str">
        <f t="shared" si="79"/>
        <v>Error?</v>
      </c>
    </row>
    <row r="5148" spans="1:4" x14ac:dyDescent="0.2">
      <c r="A5148" s="5">
        <v>5087</v>
      </c>
      <c r="B5148" s="138">
        <f>'Revenues 9-14'!C134</f>
        <v>25067</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30405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8432</v>
      </c>
      <c r="D5167" s="2" t="str">
        <f t="shared" si="79"/>
        <v>Error?</v>
      </c>
    </row>
    <row r="5168" spans="1:4" x14ac:dyDescent="0.2">
      <c r="A5168" s="5">
        <v>5107</v>
      </c>
      <c r="B5168" s="138">
        <f>'Revenues 9-14'!C148</f>
        <v>16752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387960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484413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8022834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321610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116741</v>
      </c>
      <c r="D5241" s="2" t="str">
        <f t="shared" si="80"/>
        <v>Error?</v>
      </c>
    </row>
    <row r="5242" spans="1:4" x14ac:dyDescent="0.2">
      <c r="A5242" s="5">
        <v>5181</v>
      </c>
      <c r="B5242" s="138">
        <f>'Revenues 9-14'!C194</f>
        <v>7286</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445637</v>
      </c>
      <c r="C5246" s="2" t="s">
        <v>572</v>
      </c>
      <c r="D5246" s="2" t="str">
        <f t="shared" si="80"/>
        <v>Error?</v>
      </c>
    </row>
    <row r="5247" spans="1:4" x14ac:dyDescent="0.2">
      <c r="A5247" s="5">
        <v>5186</v>
      </c>
      <c r="B5247" s="138">
        <f>'Revenues 9-14'!C200</f>
        <v>478800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6771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478800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6453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316634</v>
      </c>
      <c r="D5278" s="2" t="str">
        <f t="shared" si="81"/>
        <v>Error?</v>
      </c>
    </row>
    <row r="5279" spans="1:4" x14ac:dyDescent="0.2">
      <c r="A5279" s="5">
        <v>5218</v>
      </c>
      <c r="B5279" s="138">
        <f>'Revenues 9-14'!C214</f>
        <v>45211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368298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18932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18932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1449374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1449374</v>
      </c>
      <c r="C5326" s="2" t="s">
        <v>572</v>
      </c>
      <c r="D5326" s="2" t="str">
        <f t="shared" si="82"/>
        <v>Error?</v>
      </c>
    </row>
    <row r="5327" spans="1:5" x14ac:dyDescent="0.2">
      <c r="A5327" s="5">
        <v>5266</v>
      </c>
      <c r="B5327" s="138">
        <f>'Revenues 9-14'!C268</f>
        <v>11276014</v>
      </c>
      <c r="C5327" s="2" t="s">
        <v>572</v>
      </c>
      <c r="D5327" s="2" t="str">
        <f t="shared" si="82"/>
        <v>Error?</v>
      </c>
    </row>
    <row r="5328" spans="1:5" x14ac:dyDescent="0.2">
      <c r="A5328" s="5">
        <v>5267</v>
      </c>
      <c r="B5328" s="138">
        <f>'Revenues 9-14'!D5</f>
        <v>320821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320821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39000</v>
      </c>
      <c r="D5349" s="2" t="str">
        <f t="shared" si="82"/>
        <v>Error?</v>
      </c>
    </row>
    <row r="5350" spans="1:4" x14ac:dyDescent="0.2">
      <c r="A5350" s="5">
        <v>5289</v>
      </c>
      <c r="B5350" s="138">
        <f>'Revenues 9-14'!D96</f>
        <v>600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6067</v>
      </c>
      <c r="D5354" s="2" t="str">
        <f t="shared" si="82"/>
        <v>Error?</v>
      </c>
    </row>
    <row r="5355" spans="1:4" x14ac:dyDescent="0.2">
      <c r="A5355" s="5">
        <v>5294</v>
      </c>
      <c r="B5355" s="138">
        <f>'Revenues 9-14'!D108</f>
        <v>45667</v>
      </c>
      <c r="C5355" s="2" t="s">
        <v>572</v>
      </c>
      <c r="D5355" s="2" t="str">
        <f t="shared" si="82"/>
        <v>Error?</v>
      </c>
    </row>
    <row r="5356" spans="1:4" x14ac:dyDescent="0.2">
      <c r="A5356" s="5">
        <v>5295</v>
      </c>
      <c r="B5356" s="138">
        <f>'Revenues 9-14'!D109</f>
        <v>366574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250008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250008</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250008</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616582</v>
      </c>
      <c r="C5508" s="2" t="s">
        <v>572</v>
      </c>
      <c r="D5508" s="2" t="str">
        <f t="shared" si="85"/>
        <v>Error?</v>
      </c>
    </row>
    <row r="5509" spans="1:4" x14ac:dyDescent="0.2">
      <c r="A5509" s="5">
        <v>5448</v>
      </c>
      <c r="B5509" s="138">
        <f>'Revenues 9-14'!E5</f>
        <v>841790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841790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75000</v>
      </c>
      <c r="C5526" s="2" t="s">
        <v>572</v>
      </c>
      <c r="D5526" s="2" t="str">
        <f t="shared" si="85"/>
        <v>Error?</v>
      </c>
    </row>
    <row r="5527" spans="1:4" x14ac:dyDescent="0.2">
      <c r="A5527" s="5">
        <v>5466</v>
      </c>
      <c r="B5527" s="138">
        <f>'Revenues 9-14'!E109</f>
        <v>917014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917014</v>
      </c>
      <c r="C5552" s="2" t="s">
        <v>572</v>
      </c>
      <c r="D5552" s="2" t="str">
        <f t="shared" si="85"/>
        <v>Error?</v>
      </c>
    </row>
    <row r="5553" spans="1:4" x14ac:dyDescent="0.2">
      <c r="A5553" s="5">
        <v>5492</v>
      </c>
      <c r="B5553" s="138">
        <f>'Revenues 9-14'!F5</f>
        <v>128562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128562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4304</v>
      </c>
      <c r="D5586" s="2" t="str">
        <f t="shared" si="86"/>
        <v>Error?</v>
      </c>
    </row>
    <row r="5587" spans="1:4" x14ac:dyDescent="0.2">
      <c r="A5587" s="5">
        <v>5526</v>
      </c>
      <c r="B5587" s="138">
        <f>'Revenues 9-14'!F108</f>
        <v>4304</v>
      </c>
      <c r="C5587" s="2" t="s">
        <v>572</v>
      </c>
      <c r="D5587" s="2" t="str">
        <f t="shared" si="86"/>
        <v>Error?</v>
      </c>
    </row>
    <row r="5588" spans="1:4" x14ac:dyDescent="0.2">
      <c r="A5588" s="5">
        <v>5527</v>
      </c>
      <c r="B5588" s="138">
        <f>'Revenues 9-14'!F109</f>
        <v>132900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50006</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50006</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90805</v>
      </c>
      <c r="D5615" s="2" t="str">
        <f t="shared" si="86"/>
        <v>Error?</v>
      </c>
    </row>
    <row r="5616" spans="1:4" x14ac:dyDescent="0.2">
      <c r="A5616" s="10">
        <v>5555</v>
      </c>
      <c r="D5616" s="2" t="str">
        <f t="shared" si="86"/>
        <v>OK</v>
      </c>
    </row>
    <row r="5617" spans="1:5" x14ac:dyDescent="0.2">
      <c r="A5617" s="5">
        <v>5556</v>
      </c>
      <c r="B5617" s="138">
        <f>'Revenues 9-14'!F153</f>
        <v>139633</v>
      </c>
      <c r="D5617" s="2" t="str">
        <f t="shared" si="86"/>
        <v>Error?</v>
      </c>
    </row>
    <row r="5618" spans="1:5" x14ac:dyDescent="0.2">
      <c r="A5618" s="5">
        <v>5557</v>
      </c>
      <c r="B5618" s="138">
        <f>'Revenues 9-14'!F155</f>
        <v>230438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230438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280444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413344</v>
      </c>
      <c r="C5720" s="2" t="s">
        <v>572</v>
      </c>
      <c r="D5720" s="2" t="str">
        <f t="shared" si="88"/>
        <v>Error?</v>
      </c>
    </row>
    <row r="5721" spans="1:4" x14ac:dyDescent="0.2">
      <c r="A5721" s="5">
        <v>5660</v>
      </c>
      <c r="B5721" s="138">
        <f>'Revenues 9-14'!G5</f>
        <v>86487</v>
      </c>
      <c r="D5721" s="2" t="str">
        <f t="shared" si="88"/>
        <v>Error?</v>
      </c>
    </row>
    <row r="5722" spans="1:4" x14ac:dyDescent="0.2">
      <c r="A5722" s="5">
        <v>5661</v>
      </c>
      <c r="B5722" s="138">
        <f>'Revenues 9-14'!G7</f>
        <v>0</v>
      </c>
      <c r="D5722" s="2" t="str">
        <f t="shared" si="88"/>
        <v>Error?</v>
      </c>
    </row>
    <row r="5723" spans="1:4" x14ac:dyDescent="0.2">
      <c r="A5723" s="5">
        <v>5662</v>
      </c>
      <c r="B5723" s="138">
        <f>'Revenues 9-14'!G8</f>
        <v>78014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164501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140223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140223</v>
      </c>
      <c r="C5730" s="2" t="s">
        <v>572</v>
      </c>
      <c r="D5730" s="2" t="str">
        <f t="shared" si="88"/>
        <v>Error?</v>
      </c>
    </row>
    <row r="5731" spans="1:4" x14ac:dyDescent="0.2">
      <c r="A5731" s="5">
        <v>5670</v>
      </c>
      <c r="B5731" s="138">
        <f>'Revenues 9-14'!G65</f>
        <v>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149996</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149996</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149996</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454767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316588</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316588</v>
      </c>
      <c r="C5915" s="2" t="s">
        <v>572</v>
      </c>
      <c r="D5915" s="2" t="str">
        <f t="shared" si="91"/>
        <v>Error?</v>
      </c>
    </row>
    <row r="5916" spans="1:4" x14ac:dyDescent="0.2">
      <c r="A5916" s="5">
        <v>5855</v>
      </c>
      <c r="B5916" s="138">
        <f>'Revenues 9-14'!I5</f>
        <v>30095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30095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11332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11332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41427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304771</v>
      </c>
      <c r="C6024" s="2" t="s">
        <v>572</v>
      </c>
      <c r="D6024" s="2" t="str">
        <f t="shared" si="93"/>
        <v>Error?</v>
      </c>
    </row>
    <row r="6025" spans="1:5" x14ac:dyDescent="0.2">
      <c r="A6025" s="5">
        <v>5964</v>
      </c>
      <c r="B6025" s="138">
        <f>'Revenues 9-14'!H109</f>
        <v>316588</v>
      </c>
      <c r="C6025" s="2" t="s">
        <v>572</v>
      </c>
      <c r="D6025" s="2" t="str">
        <f t="shared" si="93"/>
        <v>Error?</v>
      </c>
    </row>
    <row r="6026" spans="1:5" x14ac:dyDescent="0.2">
      <c r="A6026" s="5">
        <v>5965</v>
      </c>
      <c r="B6026" s="138">
        <f>'Revenues 9-14'!I109</f>
        <v>41427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26672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23479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1162.5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113757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113757</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113757</v>
      </c>
      <c r="D6216" s="2" t="str">
        <f t="shared" si="96"/>
        <v>Error?</v>
      </c>
      <c r="E6216" s="2" t="s">
        <v>190</v>
      </c>
    </row>
    <row r="6217" spans="1:5" x14ac:dyDescent="0.2">
      <c r="A6217">
        <v>6156</v>
      </c>
      <c r="B6217" s="138">
        <f>'Assets-Liab 5-6'!J4</f>
        <v>113757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172144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172144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172144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96828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96828</v>
      </c>
      <c r="D6229" s="2" t="str">
        <f t="shared" si="96"/>
        <v>Error?</v>
      </c>
      <c r="E6229" s="2" t="s">
        <v>190</v>
      </c>
    </row>
    <row r="6230" spans="1:5" x14ac:dyDescent="0.2">
      <c r="A6230">
        <v>6169</v>
      </c>
      <c r="B6230" s="138">
        <f>'Acct Summary 7-8'!J20</f>
        <v>75316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75316</v>
      </c>
      <c r="D6263" s="2" t="str">
        <f t="shared" si="96"/>
        <v>Error?</v>
      </c>
      <c r="E6263" s="2" t="s">
        <v>190</v>
      </c>
    </row>
    <row r="6264" spans="1:5" x14ac:dyDescent="0.2">
      <c r="A6264">
        <v>6203</v>
      </c>
      <c r="B6264" s="138">
        <f>'Acct Summary 7-8'!J79</f>
        <v>38441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113757</v>
      </c>
      <c r="D6266" s="2" t="str">
        <f t="shared" si="96"/>
        <v>Error?</v>
      </c>
      <c r="E6266" s="2" t="s">
        <v>190</v>
      </c>
    </row>
    <row r="6267" spans="1:5" x14ac:dyDescent="0.2">
      <c r="A6267">
        <v>6206</v>
      </c>
      <c r="B6267" s="138">
        <f>'Acct Summary 7-8'!C82</f>
        <v>-267167</v>
      </c>
      <c r="D6267" s="2" t="str">
        <f t="shared" si="96"/>
        <v>Error?</v>
      </c>
      <c r="E6267" s="2" t="s">
        <v>190</v>
      </c>
    </row>
    <row r="6268" spans="1:5" x14ac:dyDescent="0.2">
      <c r="A6268">
        <v>6207</v>
      </c>
      <c r="B6268" s="138">
        <f>'Acct Summary 7-8'!D82</f>
        <v>-125896</v>
      </c>
      <c r="D6268" s="2" t="str">
        <f t="shared" si="96"/>
        <v>Error?</v>
      </c>
      <c r="E6268" s="2" t="s">
        <v>190</v>
      </c>
    </row>
    <row r="6269" spans="1:5" x14ac:dyDescent="0.2">
      <c r="A6269">
        <v>6208</v>
      </c>
      <c r="B6269" s="138">
        <f>'Acct Summary 7-8'!E82</f>
        <v>-211194</v>
      </c>
      <c r="D6269" s="2" t="str">
        <f t="shared" si="96"/>
        <v>Error?</v>
      </c>
      <c r="E6269" s="2" t="s">
        <v>190</v>
      </c>
    </row>
    <row r="6270" spans="1:5" x14ac:dyDescent="0.2">
      <c r="A6270">
        <v>6209</v>
      </c>
      <c r="B6270" s="138">
        <f>'Acct Summary 7-8'!F82</f>
        <v>-70735</v>
      </c>
      <c r="D6270" s="2" t="str">
        <f t="shared" si="96"/>
        <v>Error?</v>
      </c>
      <c r="E6270" s="2" t="s">
        <v>190</v>
      </c>
    </row>
    <row r="6271" spans="1:5" x14ac:dyDescent="0.2">
      <c r="A6271">
        <v>6210</v>
      </c>
      <c r="B6271" s="138">
        <f>'Acct Summary 7-8'!G82</f>
        <v>71340</v>
      </c>
      <c r="D6271" s="2" t="str">
        <f t="shared" ref="D6271:D6334" si="97">IF(ISBLANK(B6271),"OK",IF(A6271-B6271=0,"OK","Error?"))</f>
        <v>Error?</v>
      </c>
      <c r="E6271" s="2" t="s">
        <v>190</v>
      </c>
    </row>
    <row r="6272" spans="1:5" x14ac:dyDescent="0.2">
      <c r="A6272">
        <v>6211</v>
      </c>
      <c r="B6272" s="138">
        <f>'Acct Summary 7-8'!H82</f>
        <v>116691</v>
      </c>
      <c r="D6272" s="2" t="str">
        <f t="shared" si="97"/>
        <v>Error?</v>
      </c>
      <c r="E6272" s="2" t="s">
        <v>190</v>
      </c>
    </row>
    <row r="6273" spans="1:5" x14ac:dyDescent="0.2">
      <c r="A6273">
        <v>6212</v>
      </c>
      <c r="B6273" s="138">
        <f>'Acct Summary 7-8'!I82</f>
        <v>41427</v>
      </c>
      <c r="D6273" s="2" t="str">
        <f t="shared" si="97"/>
        <v>Error?</v>
      </c>
      <c r="E6273" s="2" t="s">
        <v>190</v>
      </c>
    </row>
    <row r="6274" spans="1:5" x14ac:dyDescent="0.2">
      <c r="A6274">
        <v>6213</v>
      </c>
      <c r="B6274" s="138">
        <f>'Acct Summary 7-8'!J82</f>
        <v>75316</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-6.4081625897931163E-2</v>
      </c>
      <c r="D6276" s="2" t="str">
        <f t="shared" si="97"/>
        <v>Error?</v>
      </c>
      <c r="E6276" s="2" t="s">
        <v>190</v>
      </c>
    </row>
    <row r="6277" spans="1:5" x14ac:dyDescent="0.2">
      <c r="A6277">
        <v>6216</v>
      </c>
      <c r="B6277" s="138">
        <f>'Acct Summary 7-8'!D83</f>
        <v>-0.246211373019148</v>
      </c>
      <c r="D6277" s="2" t="str">
        <f t="shared" si="97"/>
        <v>Error?</v>
      </c>
      <c r="E6277" s="2" t="s">
        <v>190</v>
      </c>
    </row>
    <row r="6278" spans="1:5" x14ac:dyDescent="0.2">
      <c r="A6278">
        <v>6217</v>
      </c>
      <c r="B6278" s="138">
        <f>'Acct Summary 7-8'!E83</f>
        <v>-2.3649149524652029</v>
      </c>
      <c r="D6278" s="2" t="str">
        <f t="shared" si="97"/>
        <v>Error?</v>
      </c>
      <c r="E6278" s="2" t="s">
        <v>190</v>
      </c>
    </row>
    <row r="6279" spans="1:5" x14ac:dyDescent="0.2">
      <c r="A6279">
        <v>6218</v>
      </c>
      <c r="B6279" s="138">
        <f>'Acct Summary 7-8'!F83</f>
        <v>-0.56194191108710156</v>
      </c>
      <c r="D6279" s="2" t="str">
        <f t="shared" si="97"/>
        <v>Error?</v>
      </c>
      <c r="E6279" s="2" t="s">
        <v>190</v>
      </c>
    </row>
    <row r="6280" spans="1:5" x14ac:dyDescent="0.2">
      <c r="A6280">
        <v>6219</v>
      </c>
      <c r="B6280" s="138">
        <f>'Acct Summary 7-8'!G83</f>
        <v>0.4395590853917769</v>
      </c>
      <c r="D6280" s="2" t="str">
        <f t="shared" si="97"/>
        <v>Error?</v>
      </c>
      <c r="E6280" s="2" t="s">
        <v>190</v>
      </c>
    </row>
    <row r="6281" spans="1:5" x14ac:dyDescent="0.2">
      <c r="A6281">
        <v>6220</v>
      </c>
      <c r="B6281" s="138">
        <f>'Acct Summary 7-8'!H83</f>
        <v>0.20532044424424989</v>
      </c>
      <c r="D6281" s="2" t="str">
        <f t="shared" si="97"/>
        <v>Error?</v>
      </c>
      <c r="E6281" s="2" t="s">
        <v>190</v>
      </c>
    </row>
    <row r="6282" spans="1:5" x14ac:dyDescent="0.2">
      <c r="A6282">
        <v>6221</v>
      </c>
      <c r="B6282" s="138">
        <f>'Acct Summary 7-8'!I83</f>
        <v>1.6772832117420755E-2</v>
      </c>
      <c r="D6282" s="2" t="str">
        <f t="shared" si="97"/>
        <v>Error?</v>
      </c>
      <c r="E6282" s="2" t="s">
        <v>190</v>
      </c>
    </row>
    <row r="6283" spans="1:5" x14ac:dyDescent="0.2">
      <c r="A6283">
        <v>6222</v>
      </c>
      <c r="B6283" s="138">
        <f>'Acct Summary 7-8'!J83</f>
        <v>0.6620779380609545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65000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700000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172098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172098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9852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172144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5338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118189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154777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20267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188568</v>
      </c>
      <c r="D6983" s="2" t="str">
        <f t="shared" si="108"/>
        <v>Error?</v>
      </c>
    </row>
    <row r="6984" spans="1:4" x14ac:dyDescent="0.2">
      <c r="A6984">
        <v>6923</v>
      </c>
      <c r="B6984" s="138">
        <f>'Expenditures 15-22'!K86</f>
        <v>188568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38236</v>
      </c>
      <c r="D6993" s="2" t="str">
        <f t="shared" si="108"/>
        <v>Error?</v>
      </c>
    </row>
    <row r="6994" spans="1:4" x14ac:dyDescent="0.2">
      <c r="A6994">
        <v>6933</v>
      </c>
      <c r="B6994" s="138">
        <f>'Expenditures 15-22'!K91</f>
        <v>38236</v>
      </c>
      <c r="D6994" s="2" t="str">
        <f t="shared" si="108"/>
        <v>Error?</v>
      </c>
    </row>
    <row r="6995" spans="1:4" x14ac:dyDescent="0.2">
      <c r="A6995">
        <v>6934</v>
      </c>
      <c r="B6995" s="138">
        <f>'Expenditures 15-22'!H92</f>
        <v>226804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96828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172144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25067</v>
      </c>
      <c r="D7073" s="2" t="str">
        <f t="shared" si="109"/>
        <v>Error?</v>
      </c>
    </row>
    <row r="7074" spans="1:4" x14ac:dyDescent="0.2">
      <c r="A7074">
        <v>7013</v>
      </c>
      <c r="B7074" s="138">
        <f>'Expenditures 15-22'!K216</f>
        <v>25067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211</v>
      </c>
      <c r="D7079" s="2" t="str">
        <f t="shared" si="109"/>
        <v>Error?</v>
      </c>
    </row>
    <row r="7080" spans="1:4" x14ac:dyDescent="0.2">
      <c r="A7080">
        <v>7019</v>
      </c>
      <c r="B7080" s="138">
        <f>'Expenditures 15-22'!K226</f>
        <v>211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38527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38527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24622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24622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33679</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33679</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96828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96828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96828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96828</v>
      </c>
      <c r="D7224" s="2" t="str">
        <f t="shared" si="111"/>
        <v>Error?</v>
      </c>
    </row>
    <row r="7225" spans="1:4" x14ac:dyDescent="0.2">
      <c r="A7225">
        <v>7164</v>
      </c>
      <c r="B7225" s="138">
        <f>'Expenditures 15-22'!K343</f>
        <v>75316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35440</v>
      </c>
      <c r="D7246" s="2" t="str">
        <f t="shared" si="112"/>
        <v>Error?</v>
      </c>
    </row>
    <row r="7247" spans="1:4" x14ac:dyDescent="0.2">
      <c r="A7247">
        <f t="shared" si="113"/>
        <v>7186</v>
      </c>
      <c r="B7247" s="138">
        <f>'Expenditures 15-22'!E7</f>
        <v>680</v>
      </c>
      <c r="D7247" s="2" t="str">
        <f t="shared" si="112"/>
        <v>Error?</v>
      </c>
    </row>
    <row r="7248" spans="1:4" x14ac:dyDescent="0.2">
      <c r="A7248">
        <f t="shared" si="113"/>
        <v>7187</v>
      </c>
      <c r="B7248" s="138">
        <f>'Expenditures 15-22'!F7</f>
        <v>468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14580</v>
      </c>
      <c r="D7263" s="2" t="str">
        <f t="shared" si="112"/>
        <v>Error?</v>
      </c>
    </row>
    <row r="7264" spans="1:4" x14ac:dyDescent="0.2">
      <c r="A7264">
        <f t="shared" si="113"/>
        <v>7203</v>
      </c>
      <c r="B7264" s="138">
        <f>'Expenditures 15-22'!D17</f>
        <v>1682</v>
      </c>
      <c r="D7264" s="2" t="str">
        <f t="shared" si="112"/>
        <v>Error?</v>
      </c>
    </row>
    <row r="7265" spans="1:5" x14ac:dyDescent="0.2">
      <c r="A7265">
        <f t="shared" si="113"/>
        <v>7204</v>
      </c>
      <c r="B7265" s="138">
        <f>'Expenditures 15-22'!E17</f>
        <v>4005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650976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65000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700000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451645</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316588</v>
      </c>
      <c r="D7713" s="2" t="str">
        <f t="shared" si="126"/>
        <v>Error?</v>
      </c>
      <c r="E7713" s="2" t="s">
        <v>826</v>
      </c>
    </row>
    <row r="7714" spans="1:6" x14ac:dyDescent="0.2">
      <c r="A7714">
        <v>7653</v>
      </c>
      <c r="B7714" s="138">
        <f>'Rest Tax Levies-Tort Im 25'!K9</f>
        <v>16752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700000</v>
      </c>
      <c r="D7717" s="2" t="str">
        <f t="shared" si="126"/>
        <v>Error?</v>
      </c>
      <c r="E7717" s="2" t="s">
        <v>826</v>
      </c>
    </row>
    <row r="7718" spans="1:6" x14ac:dyDescent="0.2">
      <c r="A7718">
        <v>7657</v>
      </c>
      <c r="B7718" s="138">
        <f>'Rest Tax Levies-Tort Im 25'!J12</f>
        <v>1016588</v>
      </c>
      <c r="D7718" s="2" t="str">
        <f t="shared" si="126"/>
        <v>Error?</v>
      </c>
      <c r="E7718" s="2" t="s">
        <v>826</v>
      </c>
    </row>
    <row r="7719" spans="1:6" x14ac:dyDescent="0.2">
      <c r="A7719">
        <v>7658</v>
      </c>
      <c r="B7719" s="138">
        <f>'Rest Tax Levies-Tort Im 25'!K12</f>
        <v>16752</v>
      </c>
      <c r="D7719" s="2" t="str">
        <f t="shared" si="126"/>
        <v>Error?</v>
      </c>
      <c r="E7719" s="2" t="s">
        <v>826</v>
      </c>
    </row>
    <row r="7720" spans="1:6" x14ac:dyDescent="0.2">
      <c r="A7720">
        <v>7659</v>
      </c>
      <c r="B7720" s="138">
        <f>'Rest Tax Levies-Tort Im 25'!H14</f>
        <v>23959</v>
      </c>
      <c r="D7720" s="2" t="str">
        <f t="shared" si="126"/>
        <v>Error?</v>
      </c>
      <c r="E7720" s="2" t="s">
        <v>826</v>
      </c>
    </row>
    <row r="7721" spans="1:6" x14ac:dyDescent="0.2">
      <c r="A7721">
        <v>7660</v>
      </c>
      <c r="B7721" s="138">
        <f>'Rest Tax Levies-Tort Im 25'!K14</f>
        <v>16752</v>
      </c>
      <c r="D7721" s="2" t="str">
        <f t="shared" si="126"/>
        <v>Error?</v>
      </c>
      <c r="E7721" s="2" t="s">
        <v>826</v>
      </c>
    </row>
    <row r="7722" spans="1:6" x14ac:dyDescent="0.2">
      <c r="A7722">
        <v>7661</v>
      </c>
      <c r="B7722" s="138">
        <f>'Rest Tax Levies-Tort Im 25'!J15</f>
        <v>899897</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75000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899897</v>
      </c>
      <c r="D7730" s="2" t="str">
        <f t="shared" si="126"/>
        <v>Error?</v>
      </c>
      <c r="E7730" s="2" t="s">
        <v>826</v>
      </c>
    </row>
    <row r="7731" spans="1:6" x14ac:dyDescent="0.2">
      <c r="A7731">
        <v>7670</v>
      </c>
      <c r="B7731" s="138">
        <f>'Revenues 9-14'!H103</f>
        <v>316588</v>
      </c>
      <c r="D7731" s="2" t="str">
        <f t="shared" si="126"/>
        <v>Error?</v>
      </c>
      <c r="E7731" s="2" t="s">
        <v>826</v>
      </c>
    </row>
    <row r="7732" spans="1:6" x14ac:dyDescent="0.2">
      <c r="A7732">
        <v>7671</v>
      </c>
      <c r="B7732" s="138">
        <f>'Rest Tax Levies-Tort Im 25'!J24</f>
        <v>568336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568336</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0" t="s">
        <v>1189</v>
      </c>
      <c r="B3" s="2410"/>
      <c r="C3" s="2410"/>
      <c r="D3" s="2410"/>
      <c r="E3" s="2410"/>
      <c r="F3" s="2410"/>
      <c r="G3" s="2410"/>
      <c r="H3" s="2410"/>
      <c r="I3" s="2410"/>
      <c r="J3" s="2410"/>
      <c r="K3" s="2410"/>
      <c r="L3" s="2410"/>
    </row>
    <row r="4" spans="1:29" ht="13.5" customHeight="1" x14ac:dyDescent="0.2">
      <c r="A4" s="2379" t="s">
        <v>1985</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1" t="str">
        <f>COVER!A17</f>
        <v>Gillespie CUSD 7</v>
      </c>
      <c r="B7" s="2402"/>
      <c r="C7" s="2402"/>
      <c r="D7" s="2403"/>
      <c r="E7" s="2404">
        <f>COVER!A13</f>
        <v>40056007026</v>
      </c>
      <c r="F7" s="2405"/>
      <c r="G7" s="2411" t="str">
        <f>COVER!T23</f>
        <v>060-003363</v>
      </c>
      <c r="H7" s="2412"/>
      <c r="I7" s="2412"/>
      <c r="J7" s="2412"/>
      <c r="K7" s="2412"/>
      <c r="L7" s="241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4"/>
      <c r="B9" s="2415"/>
      <c r="C9" s="2415"/>
      <c r="D9" s="2415"/>
      <c r="E9" s="2415"/>
      <c r="F9" s="2416"/>
      <c r="G9" s="2385" t="str">
        <f>COVER!T13</f>
        <v>LOY MILLER TALLEY, PC</v>
      </c>
      <c r="H9" s="2417"/>
      <c r="I9" s="2417"/>
      <c r="J9" s="2417"/>
      <c r="K9" s="2417"/>
      <c r="L9" s="2418"/>
    </row>
    <row r="10" spans="1:29" ht="13.5" customHeight="1" x14ac:dyDescent="0.2">
      <c r="A10" s="2391" t="str">
        <f>COVER!A38</f>
        <v>JOE TIEMAN</v>
      </c>
      <c r="B10" s="2392"/>
      <c r="C10" s="2392"/>
      <c r="D10" s="2392"/>
      <c r="E10" s="2392"/>
      <c r="F10" s="2393"/>
      <c r="G10" s="2385" t="str">
        <f>COVER!T17</f>
        <v>#2 CROSSROADS CT</v>
      </c>
      <c r="H10" s="2386"/>
      <c r="I10" s="2386"/>
      <c r="J10" s="2386"/>
      <c r="K10" s="2386"/>
      <c r="L10" s="2387"/>
    </row>
    <row r="11" spans="1:29" ht="13.5" customHeight="1" x14ac:dyDescent="0.2">
      <c r="A11" s="1184" t="s">
        <v>1518</v>
      </c>
      <c r="B11" s="1185"/>
      <c r="C11" s="1186"/>
      <c r="D11" s="1191"/>
      <c r="E11" s="1186"/>
      <c r="F11" s="1190"/>
      <c r="G11" s="2385" t="str">
        <f>COVER!T19</f>
        <v>ALTON</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KEN@LMTCPAS.COM</v>
      </c>
      <c r="J13" s="2398"/>
      <c r="K13" s="2398"/>
      <c r="L13" s="2399"/>
    </row>
    <row r="14" spans="1:29" ht="13.5" customHeight="1" x14ac:dyDescent="0.2">
      <c r="A14" s="2385" t="str">
        <f>COVER!A19</f>
        <v>510 W. ELM</v>
      </c>
      <c r="B14" s="2386"/>
      <c r="C14" s="2386"/>
      <c r="D14" s="2386"/>
      <c r="E14" s="2386"/>
      <c r="F14" s="2387"/>
      <c r="G14" s="1195" t="s">
        <v>1184</v>
      </c>
      <c r="H14" s="1193"/>
      <c r="I14" s="1193"/>
      <c r="J14" s="1193"/>
      <c r="K14" s="1193"/>
      <c r="L14" s="1194"/>
    </row>
    <row r="15" spans="1:29" ht="13.5" customHeight="1" x14ac:dyDescent="0.2">
      <c r="A15" s="2385" t="str">
        <f>COVER!A21</f>
        <v>GILLESPIE</v>
      </c>
      <c r="B15" s="2386"/>
      <c r="C15" s="2386"/>
      <c r="D15" s="2386"/>
      <c r="E15" s="2386"/>
      <c r="F15" s="2387"/>
      <c r="G15" s="2382" t="str">
        <f>COVER!T15</f>
        <v>KENNETH E. LOY, CPA</v>
      </c>
      <c r="H15" s="2383"/>
      <c r="I15" s="2383"/>
      <c r="J15" s="2383"/>
      <c r="K15" s="2383"/>
      <c r="L15" s="2384"/>
    </row>
    <row r="16" spans="1:29" ht="12.2" customHeight="1" x14ac:dyDescent="0.2">
      <c r="A16" s="2407">
        <f>COVER!A25</f>
        <v>62033</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1183</v>
      </c>
      <c r="H17" s="1193"/>
      <c r="I17" s="1193"/>
      <c r="J17" s="1193"/>
      <c r="K17" s="1197" t="s">
        <v>1182</v>
      </c>
      <c r="L17" s="1190"/>
      <c r="M17" s="1183"/>
    </row>
    <row r="18" spans="1:13" ht="12.2" customHeight="1" x14ac:dyDescent="0.2">
      <c r="A18" s="2391"/>
      <c r="B18" s="2392"/>
      <c r="C18" s="2392"/>
      <c r="D18" s="2392"/>
      <c r="E18" s="2392"/>
      <c r="F18" s="2393"/>
      <c r="G18" s="2401" t="str">
        <f>COVER!T21</f>
        <v>618-465-1196</v>
      </c>
      <c r="H18" s="2402"/>
      <c r="I18" s="2402"/>
      <c r="J18" s="2402"/>
      <c r="K18" s="2401" t="str">
        <f>COVER!X21</f>
        <v>618-465-2900</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2060</v>
      </c>
      <c r="C46" s="1209" t="s">
        <v>1567</v>
      </c>
      <c r="D46" s="1196"/>
      <c r="E46" s="1196"/>
      <c r="F46" s="1196"/>
      <c r="G46" s="1196"/>
      <c r="H46" s="1196"/>
    </row>
    <row r="47" spans="1:8" ht="9" customHeight="1" x14ac:dyDescent="0.2"/>
    <row r="48" spans="1:8" ht="12.2" customHeight="1" x14ac:dyDescent="0.2">
      <c r="B48" s="1937"/>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9" zoomScale="125" zoomScaleNormal="125" workbookViewId="0">
      <selection activeCell="N26" sqref="N2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Gillespie CUSD 7</v>
      </c>
      <c r="B1" s="2400"/>
      <c r="C1" s="2400"/>
      <c r="D1" s="2400"/>
    </row>
    <row r="2" spans="1:11" s="1212" customFormat="1" ht="12.75" x14ac:dyDescent="0.2">
      <c r="A2" s="2424">
        <f>'Single Audit Cover'!E7</f>
        <v>40056007026</v>
      </c>
      <c r="B2" s="2425"/>
      <c r="C2" s="2425"/>
      <c r="D2" s="2425"/>
    </row>
    <row r="3" spans="1:11" s="1212" customFormat="1" ht="12.75" x14ac:dyDescent="0.2">
      <c r="A3" s="2423" t="s">
        <v>1512</v>
      </c>
      <c r="B3" s="2400"/>
      <c r="C3" s="2400"/>
      <c r="D3" s="240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N26" sqref="N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Gillespie CUSD 7</v>
      </c>
      <c r="B1" s="2427"/>
      <c r="C1" s="2427"/>
      <c r="D1" s="2427"/>
      <c r="E1" s="2427"/>
    </row>
    <row r="2" spans="1:5" x14ac:dyDescent="0.2">
      <c r="A2" s="2428">
        <f>'Single Audit Cover'!E7</f>
        <v>40056007026</v>
      </c>
      <c r="B2" s="2428"/>
      <c r="C2" s="2428"/>
      <c r="D2" s="2428"/>
      <c r="E2" s="2428"/>
    </row>
    <row r="3" spans="1:5" ht="4.5" customHeight="1" x14ac:dyDescent="0.2"/>
    <row r="4" spans="1:5" x14ac:dyDescent="0.2">
      <c r="A4" s="2427" t="s">
        <v>1244</v>
      </c>
      <c r="B4" s="2427"/>
      <c r="C4" s="2427"/>
      <c r="D4" s="2427"/>
      <c r="E4" s="2427"/>
    </row>
    <row r="5" spans="1:5" x14ac:dyDescent="0.2">
      <c r="A5" s="2430" t="str">
        <f>'Single Audit Cover'!A4</f>
        <v>Year Ending June 30, 2019</v>
      </c>
      <c r="B5" s="2430"/>
      <c r="C5" s="2430"/>
      <c r="D5" s="2430"/>
      <c r="E5" s="2430"/>
    </row>
    <row r="6" spans="1:5" x14ac:dyDescent="0.2">
      <c r="A6" s="2427" t="s">
        <v>1243</v>
      </c>
      <c r="B6" s="2427"/>
      <c r="C6" s="2427"/>
      <c r="D6" s="2427"/>
      <c r="E6" s="2427"/>
    </row>
    <row r="8" spans="1:5" x14ac:dyDescent="0.2">
      <c r="A8" s="1257" t="s">
        <v>1242</v>
      </c>
    </row>
    <row r="10" spans="1:5" x14ac:dyDescent="0.2">
      <c r="A10" s="1258" t="s">
        <v>1241</v>
      </c>
      <c r="B10" s="1259" t="s">
        <v>1240</v>
      </c>
      <c r="C10" s="1259"/>
      <c r="D10" s="1260">
        <f>SUM('Acct Summary 7-8'!C7:K7)</f>
        <v>1449374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23479</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-38938</v>
      </c>
    </row>
    <row r="19" spans="1:4" ht="13.5" thickBot="1" x14ac:dyDescent="0.25">
      <c r="A19" s="1262" t="s">
        <v>1234</v>
      </c>
      <c r="D19" s="1263">
        <f>SUM(D10:D17)</f>
        <v>1433915</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1232</v>
      </c>
      <c r="D32" s="1260">
        <f>SUM(D19:D30)</f>
        <v>1433915</v>
      </c>
    </row>
    <row r="33" spans="1:4" x14ac:dyDescent="0.2">
      <c r="D33" s="1266"/>
    </row>
    <row r="34" spans="1:4" x14ac:dyDescent="0.2">
      <c r="A34" s="317" t="s">
        <v>1231</v>
      </c>
    </row>
    <row r="35" spans="1:4" x14ac:dyDescent="0.2">
      <c r="A35" s="317" t="s">
        <v>1230</v>
      </c>
      <c r="B35" s="1255" t="s">
        <v>1229</v>
      </c>
      <c r="D35" s="1267">
        <f>+' SEFA (5)'!F27</f>
        <v>1433915</v>
      </c>
    </row>
    <row r="37" spans="1:4" x14ac:dyDescent="0.2">
      <c r="A37" s="1257" t="s">
        <v>1228</v>
      </c>
    </row>
    <row r="39" spans="1:4" ht="13.35" customHeight="1" x14ac:dyDescent="0.2">
      <c r="A39" s="1264" t="s">
        <v>1227</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1226</v>
      </c>
      <c r="C47" s="1269"/>
      <c r="D47" s="1270">
        <f>SUM(D35:D45)</f>
        <v>1433915</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Gillespie CUSD 7</v>
      </c>
      <c r="C1" s="2431"/>
      <c r="D1" s="2431"/>
      <c r="E1" s="2431"/>
      <c r="F1" s="2431"/>
      <c r="G1" s="2431"/>
      <c r="H1" s="2431"/>
      <c r="I1" s="2431"/>
      <c r="J1" s="2431"/>
      <c r="K1" s="2431"/>
      <c r="L1" s="2431"/>
      <c r="M1" s="2431"/>
    </row>
    <row r="2" spans="2:14" ht="15" x14ac:dyDescent="0.2">
      <c r="B2" s="2432">
        <f>'Single Audit Cover'!E7</f>
        <v>40056007026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2097</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2098</v>
      </c>
      <c r="C13" s="1338">
        <v>10.555</v>
      </c>
      <c r="D13" s="1339" t="s">
        <v>2105</v>
      </c>
      <c r="E13" s="1340"/>
      <c r="F13" s="1340">
        <v>269470</v>
      </c>
      <c r="G13" s="1340"/>
      <c r="H13" s="1340"/>
      <c r="I13" s="1340">
        <v>269470</v>
      </c>
      <c r="J13" s="1340"/>
      <c r="K13" s="1340"/>
      <c r="L13" s="1337">
        <f t="shared" si="0"/>
        <v>269470</v>
      </c>
      <c r="M13" s="1340" t="s">
        <v>2111</v>
      </c>
    </row>
    <row r="14" spans="2:14" ht="20.100000000000001" customHeight="1" x14ac:dyDescent="0.2">
      <c r="B14" s="1334" t="s">
        <v>2099</v>
      </c>
      <c r="C14" s="1338">
        <v>10.555</v>
      </c>
      <c r="D14" s="1339" t="s">
        <v>2106</v>
      </c>
      <c r="E14" s="1340">
        <v>256458</v>
      </c>
      <c r="F14" s="1340">
        <v>52140</v>
      </c>
      <c r="G14" s="1340">
        <v>256458</v>
      </c>
      <c r="H14" s="1340"/>
      <c r="I14" s="1340">
        <v>52140</v>
      </c>
      <c r="J14" s="1340"/>
      <c r="K14" s="1340"/>
      <c r="L14" s="1337">
        <f t="shared" si="0"/>
        <v>308598</v>
      </c>
      <c r="M14" s="1340" t="s">
        <v>2111</v>
      </c>
    </row>
    <row r="15" spans="2:14" ht="20.100000000000001" customHeight="1" x14ac:dyDescent="0.2">
      <c r="B15" s="1334" t="s">
        <v>2100</v>
      </c>
      <c r="C15" s="1338">
        <v>10.553000000000001</v>
      </c>
      <c r="D15" s="1339" t="s">
        <v>2107</v>
      </c>
      <c r="E15" s="1340"/>
      <c r="F15" s="1340">
        <v>98435</v>
      </c>
      <c r="G15" s="1340"/>
      <c r="H15" s="1340"/>
      <c r="I15" s="1340">
        <v>98435</v>
      </c>
      <c r="J15" s="1340"/>
      <c r="K15" s="1340"/>
      <c r="L15" s="1337">
        <f t="shared" si="0"/>
        <v>98435</v>
      </c>
      <c r="M15" s="1340" t="s">
        <v>2111</v>
      </c>
    </row>
    <row r="16" spans="2:14" ht="20.100000000000001" customHeight="1" x14ac:dyDescent="0.2">
      <c r="B16" s="1334" t="s">
        <v>2101</v>
      </c>
      <c r="C16" s="1338">
        <v>10.553000000000001</v>
      </c>
      <c r="D16" s="1339" t="s">
        <v>2108</v>
      </c>
      <c r="E16" s="1340">
        <v>93854</v>
      </c>
      <c r="F16" s="1340">
        <v>18306</v>
      </c>
      <c r="G16" s="1340">
        <v>93854</v>
      </c>
      <c r="H16" s="1340"/>
      <c r="I16" s="1340">
        <v>18306</v>
      </c>
      <c r="J16" s="1340"/>
      <c r="K16" s="1340"/>
      <c r="L16" s="1337">
        <f t="shared" si="0"/>
        <v>112160</v>
      </c>
      <c r="M16" s="1340" t="s">
        <v>2111</v>
      </c>
    </row>
    <row r="17" spans="2:14" ht="20.100000000000001" customHeight="1" x14ac:dyDescent="0.2">
      <c r="B17" s="1334" t="s">
        <v>2103</v>
      </c>
      <c r="C17" s="1338">
        <v>10.558999999999999</v>
      </c>
      <c r="D17" s="1339" t="s">
        <v>2110</v>
      </c>
      <c r="E17" s="1340"/>
      <c r="F17" s="1340">
        <v>7286</v>
      </c>
      <c r="G17" s="1340"/>
      <c r="H17" s="1340"/>
      <c r="I17" s="1340">
        <v>7286</v>
      </c>
      <c r="J17" s="1340"/>
      <c r="K17" s="1340"/>
      <c r="L17" s="1337">
        <f t="shared" si="0"/>
        <v>7286</v>
      </c>
      <c r="M17" s="1340" t="s">
        <v>2111</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2109</v>
      </c>
      <c r="C19" s="1338"/>
      <c r="D19" s="1339"/>
      <c r="E19" s="1340">
        <f>SUM(E12:E18)</f>
        <v>350312</v>
      </c>
      <c r="F19" s="1340">
        <f t="shared" ref="F19:K19" si="1">SUM(F12:F18)</f>
        <v>445637</v>
      </c>
      <c r="G19" s="1340">
        <f t="shared" si="1"/>
        <v>350312</v>
      </c>
      <c r="H19" s="1340">
        <f t="shared" si="1"/>
        <v>0</v>
      </c>
      <c r="I19" s="1340">
        <f t="shared" si="1"/>
        <v>445637</v>
      </c>
      <c r="J19" s="1340">
        <f t="shared" si="1"/>
        <v>0</v>
      </c>
      <c r="K19" s="1340">
        <f t="shared" si="1"/>
        <v>0</v>
      </c>
      <c r="L19" s="1337">
        <f t="shared" si="0"/>
        <v>795949</v>
      </c>
      <c r="M19" s="1340">
        <f>SUM(M12:M18)</f>
        <v>0</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2102</v>
      </c>
      <c r="C21" s="1338">
        <v>10.565</v>
      </c>
      <c r="D21" s="1339"/>
      <c r="E21" s="1340"/>
      <c r="F21" s="1340">
        <v>23479</v>
      </c>
      <c r="G21" s="1340"/>
      <c r="H21" s="1340"/>
      <c r="I21" s="1340">
        <v>23479</v>
      </c>
      <c r="J21" s="1340"/>
      <c r="K21" s="1340"/>
      <c r="L21" s="1337">
        <f t="shared" si="0"/>
        <v>23479</v>
      </c>
      <c r="M21" s="1340" t="s">
        <v>2111</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2104</v>
      </c>
      <c r="C27" s="1338"/>
      <c r="D27" s="1339"/>
      <c r="E27" s="1340">
        <f>SUM(E19:E26)</f>
        <v>350312</v>
      </c>
      <c r="F27" s="1340">
        <f t="shared" ref="F27:K27" si="2">SUM(F19:F26)</f>
        <v>469116</v>
      </c>
      <c r="G27" s="1340">
        <f t="shared" si="2"/>
        <v>350312</v>
      </c>
      <c r="H27" s="1340">
        <f t="shared" si="2"/>
        <v>0</v>
      </c>
      <c r="I27" s="1340">
        <f t="shared" si="2"/>
        <v>469116</v>
      </c>
      <c r="J27" s="1340">
        <f t="shared" si="2"/>
        <v>0</v>
      </c>
      <c r="K27" s="1340">
        <f t="shared" si="2"/>
        <v>0</v>
      </c>
      <c r="L27" s="1337">
        <f t="shared" si="0"/>
        <v>819428</v>
      </c>
      <c r="M27" s="1340">
        <f>SUM(M19:M26)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6F99-F10B-4547-AC8C-D73A303ACA69}">
  <sheetPr>
    <pageSetUpPr fitToPage="1"/>
  </sheetPr>
  <dimension ref="B1:N152"/>
  <sheetViews>
    <sheetView showGridLines="0" zoomScaleNormal="100" workbookViewId="0">
      <selection activeCell="K29" sqref="K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Gillespie CUSD 7</v>
      </c>
      <c r="C1" s="2431"/>
      <c r="D1" s="2431"/>
      <c r="E1" s="2431"/>
      <c r="F1" s="2431"/>
      <c r="G1" s="2431"/>
      <c r="H1" s="2431"/>
      <c r="I1" s="2431"/>
      <c r="J1" s="2431"/>
      <c r="K1" s="2431"/>
      <c r="L1" s="2431"/>
      <c r="M1" s="2431"/>
    </row>
    <row r="2" spans="2:14" ht="15" x14ac:dyDescent="0.2">
      <c r="B2" s="2432">
        <f>'Single Audit Cover'!E7</f>
        <v>40056007026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2112</v>
      </c>
      <c r="C11" s="1335"/>
      <c r="D11" s="1336"/>
      <c r="E11" s="1337"/>
      <c r="F11" s="1337"/>
      <c r="G11" s="1337"/>
      <c r="H11" s="1337"/>
      <c r="I11" s="1337"/>
      <c r="J11" s="1337"/>
      <c r="K11" s="1337"/>
      <c r="L11" s="1337">
        <f>+G11+I11+K11</f>
        <v>0</v>
      </c>
      <c r="M11" s="1337"/>
    </row>
    <row r="12" spans="2:14" ht="20.100000000000001" customHeight="1" x14ac:dyDescent="0.2">
      <c r="B12" s="1334" t="s">
        <v>2113</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2114</v>
      </c>
      <c r="C14" s="1338">
        <v>84.01</v>
      </c>
      <c r="D14" s="1339" t="s">
        <v>2115</v>
      </c>
      <c r="E14" s="1340"/>
      <c r="F14" s="1340">
        <v>304237</v>
      </c>
      <c r="G14" s="1340"/>
      <c r="H14" s="1340"/>
      <c r="I14" s="1340">
        <v>424674</v>
      </c>
      <c r="J14" s="1340"/>
      <c r="K14" s="1340">
        <v>64846</v>
      </c>
      <c r="L14" s="1337">
        <f t="shared" si="0"/>
        <v>489520</v>
      </c>
      <c r="M14" s="1340">
        <v>511408</v>
      </c>
    </row>
    <row r="15" spans="2:14" ht="20.100000000000001" customHeight="1" x14ac:dyDescent="0.2">
      <c r="B15" s="1334" t="s">
        <v>2123</v>
      </c>
      <c r="C15" s="1338">
        <v>84.01</v>
      </c>
      <c r="D15" s="1339" t="s">
        <v>2116</v>
      </c>
      <c r="E15" s="1340">
        <v>288181</v>
      </c>
      <c r="F15" s="1340">
        <v>174563</v>
      </c>
      <c r="G15" s="1340">
        <v>396395</v>
      </c>
      <c r="H15" s="1340"/>
      <c r="I15" s="1340">
        <v>66349</v>
      </c>
      <c r="J15" s="1340"/>
      <c r="K15" s="1340"/>
      <c r="L15" s="1337">
        <f t="shared" si="0"/>
        <v>462744</v>
      </c>
      <c r="M15" s="1340">
        <v>475397</v>
      </c>
    </row>
    <row r="16" spans="2:14" ht="20.100000000000001" customHeight="1" x14ac:dyDescent="0.2">
      <c r="B16" s="1334" t="s">
        <v>2117</v>
      </c>
      <c r="C16" s="1338">
        <v>84.367000000000004</v>
      </c>
      <c r="D16" s="1339" t="s">
        <v>2118</v>
      </c>
      <c r="E16" s="1340"/>
      <c r="F16" s="1340">
        <v>33277</v>
      </c>
      <c r="G16" s="1340"/>
      <c r="H16" s="1340"/>
      <c r="I16" s="1340">
        <v>46459</v>
      </c>
      <c r="J16" s="1340"/>
      <c r="K16" s="1340">
        <v>7348</v>
      </c>
      <c r="L16" s="1337">
        <f t="shared" si="0"/>
        <v>53807</v>
      </c>
      <c r="M16" s="1340">
        <v>60418</v>
      </c>
    </row>
    <row r="17" spans="2:14" ht="20.100000000000001" customHeight="1" x14ac:dyDescent="0.2">
      <c r="B17" s="1334" t="s">
        <v>2117</v>
      </c>
      <c r="C17" s="1338">
        <v>84.367000000000004</v>
      </c>
      <c r="D17" s="1339" t="s">
        <v>2119</v>
      </c>
      <c r="E17" s="1340">
        <v>40945</v>
      </c>
      <c r="F17" s="1340">
        <v>22850</v>
      </c>
      <c r="G17" s="1340">
        <v>55604</v>
      </c>
      <c r="H17" s="1340"/>
      <c r="I17" s="1340">
        <v>8191</v>
      </c>
      <c r="J17" s="1340"/>
      <c r="K17" s="1340"/>
      <c r="L17" s="1337">
        <f t="shared" si="0"/>
        <v>63795</v>
      </c>
      <c r="M17" s="1340">
        <v>67326</v>
      </c>
    </row>
    <row r="18" spans="2:14" ht="20.100000000000001" customHeight="1" x14ac:dyDescent="0.2">
      <c r="B18" s="1334" t="s">
        <v>2120</v>
      </c>
      <c r="C18" s="1338">
        <v>84.424000000000007</v>
      </c>
      <c r="D18" s="1339" t="s">
        <v>2121</v>
      </c>
      <c r="E18" s="1340"/>
      <c r="F18" s="1340">
        <v>6771</v>
      </c>
      <c r="G18" s="1340"/>
      <c r="H18" s="1340"/>
      <c r="I18" s="1340">
        <v>13260</v>
      </c>
      <c r="J18" s="1340"/>
      <c r="K18" s="1340"/>
      <c r="L18" s="1337">
        <f t="shared" si="0"/>
        <v>13260</v>
      </c>
      <c r="M18" s="1340">
        <v>13260</v>
      </c>
    </row>
    <row r="19" spans="2:14" ht="20.100000000000001" customHeight="1" x14ac:dyDescent="0.2">
      <c r="B19" s="1334" t="s">
        <v>2124</v>
      </c>
      <c r="C19" s="1338">
        <v>84.358000000000004</v>
      </c>
      <c r="D19" s="1339" t="s">
        <v>2125</v>
      </c>
      <c r="E19" s="1340"/>
      <c r="F19" s="1340">
        <v>4235</v>
      </c>
      <c r="G19" s="1340"/>
      <c r="H19" s="1340"/>
      <c r="I19" s="1340">
        <v>18628</v>
      </c>
      <c r="J19" s="1340"/>
      <c r="K19" s="1340">
        <v>12538</v>
      </c>
      <c r="L19" s="1337">
        <f t="shared" si="0"/>
        <v>31166</v>
      </c>
      <c r="M19" s="1340">
        <v>31667</v>
      </c>
    </row>
    <row r="20" spans="2:14" ht="20.100000000000001" customHeight="1" x14ac:dyDescent="0.2">
      <c r="B20" s="1334" t="s">
        <v>2124</v>
      </c>
      <c r="C20" s="1338">
        <v>84.358000000000004</v>
      </c>
      <c r="D20" s="1339" t="s">
        <v>2126</v>
      </c>
      <c r="E20" s="1340"/>
      <c r="F20" s="1340">
        <v>11684</v>
      </c>
      <c r="G20" s="1340"/>
      <c r="H20" s="1340"/>
      <c r="I20" s="1340">
        <v>11684</v>
      </c>
      <c r="J20" s="1340"/>
      <c r="K20" s="1340"/>
      <c r="L20" s="1337">
        <f t="shared" si="0"/>
        <v>11684</v>
      </c>
      <c r="M20" s="1340">
        <v>21145</v>
      </c>
    </row>
    <row r="21" spans="2:14" ht="20.100000000000001" customHeight="1" x14ac:dyDescent="0.2">
      <c r="B21" s="1334" t="s">
        <v>2127</v>
      </c>
      <c r="C21" s="1338">
        <v>84.376999999999995</v>
      </c>
      <c r="D21" s="1339" t="s">
        <v>2128</v>
      </c>
      <c r="E21" s="1340"/>
      <c r="F21" s="1340"/>
      <c r="G21" s="1340"/>
      <c r="H21" s="1340"/>
      <c r="I21" s="1340">
        <v>2863</v>
      </c>
      <c r="J21" s="1340"/>
      <c r="K21" s="1340">
        <v>28390</v>
      </c>
      <c r="L21" s="1337">
        <f t="shared" si="0"/>
        <v>31253</v>
      </c>
      <c r="M21" s="1340">
        <v>31253</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2122</v>
      </c>
      <c r="C27" s="1338"/>
      <c r="D27" s="1339"/>
      <c r="E27" s="1340">
        <f>SUM(E13:E26)</f>
        <v>329126</v>
      </c>
      <c r="F27" s="1340">
        <f t="shared" ref="F27:K27" si="1">SUM(F13:F26)</f>
        <v>557617</v>
      </c>
      <c r="G27" s="1340">
        <f t="shared" si="1"/>
        <v>451999</v>
      </c>
      <c r="H27" s="1340">
        <f t="shared" si="1"/>
        <v>0</v>
      </c>
      <c r="I27" s="1340">
        <f t="shared" si="1"/>
        <v>592108</v>
      </c>
      <c r="J27" s="1340">
        <f t="shared" si="1"/>
        <v>0</v>
      </c>
      <c r="K27" s="1340">
        <f t="shared" si="1"/>
        <v>113122</v>
      </c>
      <c r="L27" s="1337">
        <f t="shared" si="0"/>
        <v>1157229</v>
      </c>
      <c r="M27" s="1340">
        <f>SUM(M13:M26)</f>
        <v>1211874</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topLeftCell="A110" colorId="8" zoomScale="110" zoomScaleNormal="110" workbookViewId="0">
      <selection activeCell="C118" sqref="C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1167</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5" t="s">
        <v>1632</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312</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35374</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1322</v>
      </c>
      <c r="B70" s="2068"/>
      <c r="C70" s="2068"/>
      <c r="D70" s="2068"/>
      <c r="E70" s="2069"/>
      <c r="F70" s="2069"/>
      <c r="G70" s="2069"/>
      <c r="H70" s="2069"/>
      <c r="I70" s="206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1319</v>
      </c>
      <c r="B83" s="2070"/>
      <c r="C83" s="2070"/>
      <c r="D83" s="207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2064</v>
      </c>
      <c r="D114" s="206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1329</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C73F9-C6BF-47D6-8149-5F598CC7E6E4}">
  <sheetPr>
    <pageSetUpPr fitToPage="1"/>
  </sheetPr>
  <dimension ref="B1:N152"/>
  <sheetViews>
    <sheetView showGridLines="0" topLeftCell="A19"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Gillespie CUSD 7</v>
      </c>
      <c r="C1" s="2431"/>
      <c r="D1" s="2431"/>
      <c r="E1" s="2431"/>
      <c r="F1" s="2431"/>
      <c r="G1" s="2431"/>
      <c r="H1" s="2431"/>
      <c r="I1" s="2431"/>
      <c r="J1" s="2431"/>
      <c r="K1" s="2431"/>
      <c r="L1" s="2431"/>
      <c r="M1" s="2431"/>
    </row>
    <row r="2" spans="2:14" ht="15" x14ac:dyDescent="0.2">
      <c r="B2" s="2432">
        <f>'Single Audit Cover'!E7</f>
        <v>40056007026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2129</v>
      </c>
      <c r="C11" s="1335"/>
      <c r="D11" s="1336"/>
      <c r="E11" s="1337"/>
      <c r="F11" s="1337"/>
      <c r="G11" s="1337"/>
      <c r="H11" s="1337"/>
      <c r="I11" s="1337"/>
      <c r="J11" s="1337"/>
      <c r="K11" s="1337"/>
      <c r="L11" s="1337">
        <f>+G11+I11+K11</f>
        <v>0</v>
      </c>
      <c r="M11" s="1337"/>
    </row>
    <row r="12" spans="2:14" ht="20.100000000000001" customHeight="1" x14ac:dyDescent="0.2">
      <c r="B12" s="1334" t="s">
        <v>2130</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2131</v>
      </c>
      <c r="C14" s="1338" t="s">
        <v>2132</v>
      </c>
      <c r="D14" s="1339" t="s">
        <v>2134</v>
      </c>
      <c r="E14" s="1340"/>
      <c r="F14" s="1340">
        <v>19952</v>
      </c>
      <c r="G14" s="1340"/>
      <c r="H14" s="1340"/>
      <c r="I14" s="1340">
        <v>19952</v>
      </c>
      <c r="J14" s="1340"/>
      <c r="K14" s="1340"/>
      <c r="L14" s="1337">
        <f t="shared" si="0"/>
        <v>19952</v>
      </c>
      <c r="M14" s="1340" t="s">
        <v>2111</v>
      </c>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2133</v>
      </c>
      <c r="C27" s="1338"/>
      <c r="D27" s="1339"/>
      <c r="E27" s="1340">
        <f>SUM(E13:E26)</f>
        <v>0</v>
      </c>
      <c r="F27" s="1340">
        <f t="shared" ref="F27:K27" si="1">SUM(F13:F26)</f>
        <v>19952</v>
      </c>
      <c r="G27" s="1340">
        <f t="shared" si="1"/>
        <v>0</v>
      </c>
      <c r="H27" s="1340">
        <f t="shared" si="1"/>
        <v>0</v>
      </c>
      <c r="I27" s="1340">
        <f t="shared" si="1"/>
        <v>19952</v>
      </c>
      <c r="J27" s="1340">
        <f t="shared" si="1"/>
        <v>0</v>
      </c>
      <c r="K27" s="1340">
        <f t="shared" si="1"/>
        <v>0</v>
      </c>
      <c r="L27" s="1337">
        <f t="shared" si="0"/>
        <v>19952</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F14F-6467-493B-9E56-AAFF9BF9EEA2}">
  <sheetPr>
    <pageSetUpPr fitToPage="1"/>
  </sheetPr>
  <dimension ref="B1:N152"/>
  <sheetViews>
    <sheetView showGridLines="0" topLeftCell="A19"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Gillespie CUSD 7</v>
      </c>
      <c r="C1" s="2431"/>
      <c r="D1" s="2431"/>
      <c r="E1" s="2431"/>
      <c r="F1" s="2431"/>
      <c r="G1" s="2431"/>
      <c r="H1" s="2431"/>
      <c r="I1" s="2431"/>
      <c r="J1" s="2431"/>
      <c r="K1" s="2431"/>
      <c r="L1" s="2431"/>
      <c r="M1" s="2431"/>
    </row>
    <row r="2" spans="2:14" ht="15" x14ac:dyDescent="0.2">
      <c r="B2" s="2432">
        <f>'Single Audit Cover'!E7</f>
        <v>40056007026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2135</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2136</v>
      </c>
      <c r="C13" s="1338"/>
      <c r="D13" s="1339"/>
      <c r="E13" s="1340"/>
      <c r="F13" s="1340"/>
      <c r="G13" s="1340"/>
      <c r="H13" s="1340"/>
      <c r="I13" s="1340"/>
      <c r="J13" s="1340"/>
      <c r="K13" s="1340"/>
      <c r="L13" s="1337">
        <f t="shared" si="0"/>
        <v>0</v>
      </c>
      <c r="M13" s="1340"/>
    </row>
    <row r="14" spans="2:14" ht="20.100000000000001" customHeight="1" x14ac:dyDescent="0.2">
      <c r="B14" s="1334" t="s">
        <v>2137</v>
      </c>
      <c r="C14" s="1338">
        <v>84.027000000000001</v>
      </c>
      <c r="D14" s="1339" t="s">
        <v>2143</v>
      </c>
      <c r="E14" s="1340"/>
      <c r="F14" s="1340">
        <v>316634</v>
      </c>
      <c r="G14" s="1340"/>
      <c r="H14" s="1340"/>
      <c r="I14" s="1340">
        <v>316634</v>
      </c>
      <c r="J14" s="1340"/>
      <c r="K14" s="1340"/>
      <c r="L14" s="1337">
        <f t="shared" si="0"/>
        <v>316634</v>
      </c>
      <c r="M14" s="1340" t="s">
        <v>2111</v>
      </c>
    </row>
    <row r="15" spans="2:14" ht="20.100000000000001" customHeight="1" x14ac:dyDescent="0.2">
      <c r="B15" s="1334" t="s">
        <v>2146</v>
      </c>
      <c r="C15" s="1338">
        <v>84.173000000000002</v>
      </c>
      <c r="D15" s="1339" t="s">
        <v>2144</v>
      </c>
      <c r="E15" s="1340"/>
      <c r="F15" s="1340">
        <v>6453</v>
      </c>
      <c r="G15" s="1340"/>
      <c r="H15" s="1340"/>
      <c r="I15" s="1340">
        <v>6453</v>
      </c>
      <c r="J15" s="1340"/>
      <c r="K15" s="1340"/>
      <c r="L15" s="1337">
        <f t="shared" si="0"/>
        <v>6453</v>
      </c>
      <c r="M15" s="1340" t="s">
        <v>2111</v>
      </c>
    </row>
    <row r="16" spans="2:14" ht="20.100000000000001" customHeight="1" x14ac:dyDescent="0.2">
      <c r="B16" s="1334" t="s">
        <v>2147</v>
      </c>
      <c r="C16" s="1338">
        <v>84.027000000000001</v>
      </c>
      <c r="D16" s="1339" t="s">
        <v>2148</v>
      </c>
      <c r="E16" s="1340"/>
      <c r="F16" s="1340">
        <v>45211</v>
      </c>
      <c r="G16" s="1340"/>
      <c r="H16" s="1340"/>
      <c r="I16" s="1340">
        <v>45211</v>
      </c>
      <c r="J16" s="1340"/>
      <c r="K16" s="1340"/>
      <c r="L16" s="1337">
        <f t="shared" si="0"/>
        <v>45211</v>
      </c>
      <c r="M16" s="1340" t="s">
        <v>2111</v>
      </c>
    </row>
    <row r="17" spans="2:14" ht="20.100000000000001" customHeight="1" x14ac:dyDescent="0.2">
      <c r="B17" s="1334" t="s">
        <v>2138</v>
      </c>
      <c r="C17" s="1338"/>
      <c r="D17" s="1339"/>
      <c r="E17" s="1340">
        <f>SUM(E14:E16)</f>
        <v>0</v>
      </c>
      <c r="F17" s="1340">
        <f t="shared" ref="F17:K17" si="1">SUM(F14:F16)</f>
        <v>368298</v>
      </c>
      <c r="G17" s="1340">
        <f t="shared" si="1"/>
        <v>0</v>
      </c>
      <c r="H17" s="1340">
        <f t="shared" si="1"/>
        <v>0</v>
      </c>
      <c r="I17" s="1340">
        <f t="shared" si="1"/>
        <v>368298</v>
      </c>
      <c r="J17" s="1340">
        <f t="shared" si="1"/>
        <v>0</v>
      </c>
      <c r="K17" s="1340">
        <f t="shared" si="1"/>
        <v>0</v>
      </c>
      <c r="L17" s="1337">
        <f t="shared" si="0"/>
        <v>368298</v>
      </c>
      <c r="M17" s="1340">
        <f>SUM(M14:M16)</f>
        <v>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2139</v>
      </c>
      <c r="C19" s="1338"/>
      <c r="D19" s="1339"/>
      <c r="E19" s="1340"/>
      <c r="F19" s="1340"/>
      <c r="G19" s="1340"/>
      <c r="H19" s="1340"/>
      <c r="I19" s="1340"/>
      <c r="J19" s="1340"/>
      <c r="K19" s="1340"/>
      <c r="L19" s="1337">
        <f t="shared" si="0"/>
        <v>0</v>
      </c>
      <c r="M19" s="1340"/>
    </row>
    <row r="20" spans="2:14" ht="20.100000000000001" customHeight="1" x14ac:dyDescent="0.2">
      <c r="B20" s="1334" t="s">
        <v>2140</v>
      </c>
      <c r="C20" s="1338">
        <v>84.048000000000002</v>
      </c>
      <c r="D20" s="1339" t="s">
        <v>2145</v>
      </c>
      <c r="E20" s="1340"/>
      <c r="F20" s="1340">
        <v>18932</v>
      </c>
      <c r="G20" s="1340"/>
      <c r="H20" s="1340"/>
      <c r="I20" s="1340">
        <v>18932</v>
      </c>
      <c r="J20" s="1340"/>
      <c r="K20" s="1340"/>
      <c r="L20" s="1337">
        <f t="shared" si="0"/>
        <v>18932</v>
      </c>
      <c r="M20" s="1340" t="s">
        <v>2111</v>
      </c>
    </row>
    <row r="21" spans="2:14" ht="20.100000000000001" customHeight="1" x14ac:dyDescent="0.2">
      <c r="B21" s="1334" t="s">
        <v>2141</v>
      </c>
      <c r="C21" s="1338"/>
      <c r="D21" s="1339"/>
      <c r="E21" s="1340">
        <f>SUM(E20)</f>
        <v>0</v>
      </c>
      <c r="F21" s="1340">
        <f t="shared" ref="F21" si="2">SUM(F20)</f>
        <v>18932</v>
      </c>
      <c r="G21" s="1340">
        <f t="shared" ref="G21" si="3">SUM(G20)</f>
        <v>0</v>
      </c>
      <c r="H21" s="1340">
        <f t="shared" ref="H21" si="4">SUM(H20)</f>
        <v>0</v>
      </c>
      <c r="I21" s="1340">
        <f t="shared" ref="I21" si="5">SUM(I20)</f>
        <v>18932</v>
      </c>
      <c r="J21" s="1340">
        <f t="shared" ref="J21" si="6">SUM(J20)</f>
        <v>0</v>
      </c>
      <c r="K21" s="1340">
        <f t="shared" ref="K21" si="7">SUM(K20)</f>
        <v>0</v>
      </c>
      <c r="L21" s="1337">
        <f t="shared" si="0"/>
        <v>18932</v>
      </c>
      <c r="M21" s="1340">
        <f>SUM(M20)</f>
        <v>0</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2142</v>
      </c>
      <c r="C27" s="1338"/>
      <c r="D27" s="1339"/>
      <c r="E27" s="1340">
        <f>+E21+E17</f>
        <v>0</v>
      </c>
      <c r="F27" s="1340">
        <f t="shared" ref="F27:K27" si="8">+F21+F17</f>
        <v>387230</v>
      </c>
      <c r="G27" s="1340">
        <f t="shared" si="8"/>
        <v>0</v>
      </c>
      <c r="H27" s="1340">
        <f t="shared" si="8"/>
        <v>0</v>
      </c>
      <c r="I27" s="1340">
        <f t="shared" si="8"/>
        <v>387230</v>
      </c>
      <c r="J27" s="1340">
        <f t="shared" si="8"/>
        <v>0</v>
      </c>
      <c r="K27" s="1340">
        <f t="shared" si="8"/>
        <v>0</v>
      </c>
      <c r="L27" s="1337">
        <f t="shared" si="0"/>
        <v>387230</v>
      </c>
      <c r="M27" s="1340">
        <f>+M21+M17</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9FC8-9BE5-4B8E-BBEC-625D7326E0BC}">
  <sheetPr>
    <pageSetUpPr fitToPage="1"/>
  </sheetPr>
  <dimension ref="B1:N152"/>
  <sheetViews>
    <sheetView showGridLines="0" zoomScaleNormal="100" workbookViewId="0">
      <selection activeCell="M49" sqref="A1:M4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Gillespie CUSD 7</v>
      </c>
      <c r="C1" s="2431"/>
      <c r="D1" s="2431"/>
      <c r="E1" s="2431"/>
      <c r="F1" s="2431"/>
      <c r="G1" s="2431"/>
      <c r="H1" s="2431"/>
      <c r="I1" s="2431"/>
      <c r="J1" s="2431"/>
      <c r="K1" s="2431"/>
      <c r="L1" s="2431"/>
      <c r="M1" s="2431"/>
    </row>
    <row r="2" spans="2:14" ht="15" x14ac:dyDescent="0.2">
      <c r="B2" s="2432">
        <f>'Single Audit Cover'!E7</f>
        <v>40056007026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2149</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2150</v>
      </c>
      <c r="C13" s="1338"/>
      <c r="D13" s="1339"/>
      <c r="E13" s="1340">
        <f>+' SEFA'!E27+' SEFA (2)'!E27</f>
        <v>679438</v>
      </c>
      <c r="F13" s="1340">
        <f>+' SEFA'!F27+' SEFA (2)'!F27</f>
        <v>1026733</v>
      </c>
      <c r="G13" s="1340">
        <f>+' SEFA'!G27+' SEFA (2)'!G27</f>
        <v>802311</v>
      </c>
      <c r="H13" s="1340">
        <f>+' SEFA'!H27+' SEFA (2)'!H27</f>
        <v>0</v>
      </c>
      <c r="I13" s="1340">
        <f>+' SEFA'!I27+' SEFA (2)'!I27</f>
        <v>1061224</v>
      </c>
      <c r="J13" s="1340">
        <f>+' SEFA'!J27+' SEFA (2)'!J27</f>
        <v>0</v>
      </c>
      <c r="K13" s="1340">
        <f>+' SEFA'!K27+' SEFA (2)'!K27</f>
        <v>113122</v>
      </c>
      <c r="L13" s="1337">
        <f t="shared" si="0"/>
        <v>1976657</v>
      </c>
      <c r="M13" s="1340">
        <f>+' SEFA'!M27+' SEFA (2)'!M27</f>
        <v>1211874</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2151</v>
      </c>
      <c r="C15" s="1338"/>
      <c r="D15" s="1339"/>
      <c r="E15" s="1340">
        <f>+' SEFA (3)'!E27</f>
        <v>0</v>
      </c>
      <c r="F15" s="1340">
        <f>+' SEFA (3)'!F27</f>
        <v>19952</v>
      </c>
      <c r="G15" s="1340">
        <f>+' SEFA (3)'!G27</f>
        <v>0</v>
      </c>
      <c r="H15" s="1340">
        <f>+' SEFA (3)'!H27</f>
        <v>0</v>
      </c>
      <c r="I15" s="1340">
        <f>+' SEFA (3)'!I27</f>
        <v>19952</v>
      </c>
      <c r="J15" s="1340">
        <f>+' SEFA (3)'!J27</f>
        <v>0</v>
      </c>
      <c r="K15" s="1340">
        <f>+' SEFA (3)'!K27</f>
        <v>0</v>
      </c>
      <c r="L15" s="1337">
        <f t="shared" si="0"/>
        <v>19952</v>
      </c>
      <c r="M15" s="1340">
        <f>+' SEFA (3)'!M27</f>
        <v>0</v>
      </c>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2152</v>
      </c>
      <c r="C17" s="1338"/>
      <c r="D17" s="1339"/>
      <c r="E17" s="1340">
        <f>+' SEFA (4)'!E27</f>
        <v>0</v>
      </c>
      <c r="F17" s="1340">
        <f>+' SEFA (4)'!F27</f>
        <v>387230</v>
      </c>
      <c r="G17" s="1340">
        <f>+' SEFA (4)'!G27</f>
        <v>0</v>
      </c>
      <c r="H17" s="1340">
        <f>+' SEFA (4)'!H27</f>
        <v>0</v>
      </c>
      <c r="I17" s="1340">
        <f>+' SEFA (4)'!I27</f>
        <v>387230</v>
      </c>
      <c r="J17" s="1340">
        <f>+' SEFA (4)'!J27</f>
        <v>0</v>
      </c>
      <c r="K17" s="1340">
        <f>+' SEFA (4)'!K27</f>
        <v>0</v>
      </c>
      <c r="L17" s="1337">
        <f t="shared" si="0"/>
        <v>387230</v>
      </c>
      <c r="M17" s="1340">
        <f>+' SEFA (4)'!M27</f>
        <v>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2153</v>
      </c>
      <c r="C27" s="1338"/>
      <c r="D27" s="1339"/>
      <c r="E27" s="1340">
        <f>SUM(E11:E26)</f>
        <v>679438</v>
      </c>
      <c r="F27" s="1340">
        <f t="shared" ref="F27:K27" si="1">SUM(F11:F26)</f>
        <v>1433915</v>
      </c>
      <c r="G27" s="1340">
        <f t="shared" si="1"/>
        <v>802311</v>
      </c>
      <c r="H27" s="1340">
        <f t="shared" si="1"/>
        <v>0</v>
      </c>
      <c r="I27" s="1340">
        <f t="shared" si="1"/>
        <v>1468406</v>
      </c>
      <c r="J27" s="1340">
        <f t="shared" si="1"/>
        <v>0</v>
      </c>
      <c r="K27" s="1340">
        <f t="shared" si="1"/>
        <v>113122</v>
      </c>
      <c r="L27" s="1337">
        <f t="shared" si="0"/>
        <v>2383839</v>
      </c>
      <c r="M27" s="1340">
        <f>SUM(M11:M26)</f>
        <v>1211874</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N26" sqref="N2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Gillespie CUSD 7</v>
      </c>
      <c r="B1" s="2444"/>
      <c r="C1" s="2444"/>
      <c r="D1" s="2444"/>
      <c r="E1" s="2444"/>
      <c r="F1" s="2444"/>
    </row>
    <row r="2" spans="1:7" ht="13.5" customHeight="1" x14ac:dyDescent="0.2">
      <c r="A2" s="2432">
        <f>'Single Audit Cover'!E7</f>
        <v>40056007026</v>
      </c>
      <c r="B2" s="2432"/>
      <c r="C2" s="2432"/>
      <c r="D2" s="2432"/>
      <c r="E2" s="2432"/>
      <c r="F2" s="2432"/>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2157</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3" t="s">
        <v>2155</v>
      </c>
      <c r="B13" s="2443"/>
      <c r="C13" s="2443"/>
      <c r="D13" s="2443"/>
      <c r="E13" s="2443"/>
      <c r="F13" s="2443"/>
    </row>
    <row r="14" spans="1:7" ht="9.75" customHeight="1" x14ac:dyDescent="0.2">
      <c r="C14" s="1257"/>
      <c r="D14" s="1257"/>
    </row>
    <row r="15" spans="1:7" ht="13.5" customHeight="1" x14ac:dyDescent="0.2">
      <c r="C15" s="1846" t="s">
        <v>1269</v>
      </c>
      <c r="D15" s="2441" t="s">
        <v>1268</v>
      </c>
      <c r="E15" s="2441"/>
      <c r="F15" s="2441"/>
    </row>
    <row r="16" spans="1:7" ht="13.5" customHeight="1" x14ac:dyDescent="0.2">
      <c r="A16" s="1279"/>
      <c r="B16" s="1273" t="s">
        <v>1267</v>
      </c>
      <c r="C16" s="1846" t="s">
        <v>1266</v>
      </c>
      <c r="D16" s="2442" t="s">
        <v>1587</v>
      </c>
      <c r="E16" s="2442"/>
      <c r="F16" s="2442"/>
    </row>
    <row r="17" spans="1:6" ht="20.45" customHeight="1" x14ac:dyDescent="0.2">
      <c r="A17" s="1280"/>
      <c r="B17" s="1281" t="s">
        <v>2154</v>
      </c>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7" t="s">
        <v>2156</v>
      </c>
      <c r="B32" s="2437"/>
      <c r="C32" s="2437"/>
      <c r="D32" s="2437"/>
      <c r="E32" s="2437"/>
      <c r="F32" s="2437"/>
    </row>
    <row r="33" spans="1:6" ht="13.5" customHeight="1" x14ac:dyDescent="0.2">
      <c r="A33" s="328" t="s">
        <v>1433</v>
      </c>
      <c r="B33" s="328"/>
      <c r="C33" s="1285">
        <f>+' SEFA'!I21</f>
        <v>23479</v>
      </c>
      <c r="D33" s="1903"/>
      <c r="E33" s="1283"/>
    </row>
    <row r="34" spans="1:6" ht="13.5" customHeight="1" x14ac:dyDescent="0.2">
      <c r="A34" s="328" t="s">
        <v>1834</v>
      </c>
      <c r="B34" s="328"/>
      <c r="C34" s="1286">
        <v>0</v>
      </c>
      <c r="D34" s="1903" t="s">
        <v>1588</v>
      </c>
      <c r="E34" s="2438">
        <f>+C33+C34</f>
        <v>23479</v>
      </c>
      <c r="F34" s="2439"/>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v>0</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1589</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1550</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N26" sqref="N2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Gillespie CUSD 7</v>
      </c>
      <c r="C1" s="2459"/>
      <c r="D1" s="2459"/>
      <c r="E1" s="2459"/>
      <c r="F1" s="2459"/>
      <c r="G1" s="2459"/>
      <c r="H1" s="2459"/>
      <c r="I1" s="2459"/>
      <c r="J1" s="1406"/>
    </row>
    <row r="2" spans="2:10" s="317" customFormat="1" ht="12.75" customHeight="1" x14ac:dyDescent="0.2">
      <c r="B2" s="2460">
        <f>'Single Audit Cover'!E7</f>
        <v>40056007026</v>
      </c>
      <c r="C2" s="2461"/>
      <c r="D2" s="2461"/>
      <c r="E2" s="2461"/>
      <c r="F2" s="2461"/>
      <c r="G2" s="2461"/>
      <c r="H2" s="2461"/>
      <c r="I2" s="2461"/>
      <c r="J2" s="1406"/>
    </row>
    <row r="3" spans="2:10" s="317" customFormat="1" ht="12.75" customHeight="1" x14ac:dyDescent="0.2">
      <c r="B3" s="2462" t="s">
        <v>1284</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1283</v>
      </c>
      <c r="C7" s="2463"/>
      <c r="D7" s="2463"/>
      <c r="E7" s="2463"/>
      <c r="F7" s="2463"/>
      <c r="G7" s="2463"/>
      <c r="H7" s="2463"/>
      <c r="I7" s="246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4" t="s">
        <v>2158</v>
      </c>
      <c r="D11" s="2464"/>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5" t="s">
        <v>2159</v>
      </c>
      <c r="E29" s="2465"/>
      <c r="F29" s="2465"/>
      <c r="G29" s="2465"/>
      <c r="H29" s="2465"/>
      <c r="I29" s="2465"/>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6" t="s">
        <v>1747</v>
      </c>
      <c r="D37" s="2467"/>
      <c r="E37" s="2467"/>
      <c r="F37" s="2468"/>
      <c r="G37" s="2466" t="s">
        <v>1591</v>
      </c>
      <c r="H37" s="2467"/>
      <c r="I37" s="2468"/>
    </row>
    <row r="38" spans="2:9" ht="16.5" customHeight="1" x14ac:dyDescent="0.2">
      <c r="B38" s="1428">
        <v>10.555</v>
      </c>
      <c r="C38" s="2454" t="s">
        <v>2160</v>
      </c>
      <c r="D38" s="2455"/>
      <c r="E38" s="2455"/>
      <c r="F38" s="2456"/>
      <c r="G38" s="2469">
        <f>+' SEFA'!I13+' SEFA'!I14</f>
        <v>321610</v>
      </c>
      <c r="H38" s="2470"/>
      <c r="I38" s="2471"/>
    </row>
    <row r="39" spans="2:9" ht="16.5" customHeight="1" x14ac:dyDescent="0.2">
      <c r="B39" s="1428">
        <v>10.553000000000001</v>
      </c>
      <c r="C39" s="2454" t="s">
        <v>2161</v>
      </c>
      <c r="D39" s="2455"/>
      <c r="E39" s="2455"/>
      <c r="F39" s="2456"/>
      <c r="G39" s="2457">
        <f>+' SEFA'!I15+' SEFA'!I16</f>
        <v>116741</v>
      </c>
      <c r="H39" s="2457"/>
      <c r="I39" s="2457"/>
    </row>
    <row r="40" spans="2:9" ht="16.5" customHeight="1" x14ac:dyDescent="0.2">
      <c r="B40" s="1428">
        <v>10.558999999999999</v>
      </c>
      <c r="C40" s="2454" t="s">
        <v>2162</v>
      </c>
      <c r="D40" s="2455"/>
      <c r="E40" s="2455"/>
      <c r="F40" s="2456"/>
      <c r="G40" s="2457">
        <f>+' SEFA'!I17</f>
        <v>7286</v>
      </c>
      <c r="H40" s="2457"/>
      <c r="I40" s="2457"/>
    </row>
    <row r="41" spans="2:9" ht="16.5" customHeight="1" x14ac:dyDescent="0.2">
      <c r="B41" s="1428">
        <v>84.01</v>
      </c>
      <c r="C41" s="2454" t="s">
        <v>2123</v>
      </c>
      <c r="D41" s="2455"/>
      <c r="E41" s="2455"/>
      <c r="F41" s="2456"/>
      <c r="G41" s="2457">
        <f>+' SEFA (2)'!I14+' SEFA (2)'!I15</f>
        <v>491023</v>
      </c>
      <c r="H41" s="2457"/>
      <c r="I41" s="2457"/>
    </row>
    <row r="42" spans="2:9" ht="16.5" customHeight="1" x14ac:dyDescent="0.2">
      <c r="B42" s="1428"/>
      <c r="C42" s="2454"/>
      <c r="D42" s="2455"/>
      <c r="E42" s="2455"/>
      <c r="F42" s="2456"/>
      <c r="G42" s="2457"/>
      <c r="H42" s="2457"/>
      <c r="I42" s="2457"/>
    </row>
    <row r="43" spans="2:9" ht="16.5" customHeight="1" x14ac:dyDescent="0.2">
      <c r="B43" s="1428"/>
      <c r="C43" s="2447" t="s">
        <v>1592</v>
      </c>
      <c r="D43" s="2448"/>
      <c r="E43" s="2448"/>
      <c r="F43" s="2449"/>
      <c r="G43" s="2450">
        <f>SUM(G38:I42)</f>
        <v>936660</v>
      </c>
      <c r="H43" s="2450"/>
      <c r="I43" s="2450"/>
    </row>
    <row r="44" spans="2:9" ht="12.75" customHeight="1" x14ac:dyDescent="0.2"/>
    <row r="45" spans="2:9" ht="12.75" customHeight="1" x14ac:dyDescent="0.2">
      <c r="B45" s="1419" t="s">
        <v>1837</v>
      </c>
      <c r="D45" s="2451">
        <f>+' SEFA (5)'!I27</f>
        <v>1468406</v>
      </c>
      <c r="E45" s="2452"/>
    </row>
    <row r="46" spans="2:9" ht="5.25" customHeight="1" x14ac:dyDescent="0.2">
      <c r="B46" s="1429"/>
      <c r="D46" s="1430"/>
      <c r="E46" s="1431"/>
    </row>
    <row r="47" spans="2:9" ht="12.75" customHeight="1" x14ac:dyDescent="0.2">
      <c r="B47" s="1297" t="s">
        <v>1593</v>
      </c>
      <c r="C47" s="1297"/>
      <c r="D47" s="1432">
        <f>+G43/D45</f>
        <v>0.63787535599827294</v>
      </c>
      <c r="E47" s="1433"/>
      <c r="F47" s="1434"/>
      <c r="I47" s="1435"/>
    </row>
    <row r="48" spans="2:9" ht="9.9499999999999993" customHeight="1" x14ac:dyDescent="0.2"/>
    <row r="49" spans="1:9" x14ac:dyDescent="0.2">
      <c r="B49" s="1365" t="s">
        <v>1272</v>
      </c>
      <c r="C49" s="1279"/>
      <c r="D49" s="1279"/>
      <c r="E49" s="2453">
        <v>750000</v>
      </c>
      <c r="F49" s="2453"/>
      <c r="G49" s="2453"/>
      <c r="H49" s="322"/>
    </row>
    <row r="51" spans="1:9" ht="13.5" customHeight="1" x14ac:dyDescent="0.2">
      <c r="B51" s="1365" t="s">
        <v>1271</v>
      </c>
      <c r="C51" s="1279"/>
      <c r="E51" s="1422"/>
      <c r="F51" s="1297" t="s">
        <v>884</v>
      </c>
      <c r="G51" s="1422" t="s">
        <v>2060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N26" sqref="N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Gillespie CUSD 7</v>
      </c>
      <c r="C1" s="2458"/>
      <c r="D1" s="2458"/>
      <c r="E1" s="2458"/>
      <c r="F1" s="2458"/>
      <c r="G1" s="2458"/>
      <c r="H1" s="2458"/>
      <c r="I1" s="2458"/>
      <c r="J1" s="2458"/>
      <c r="K1" s="2458"/>
      <c r="L1" s="1371"/>
      <c r="M1" s="1371"/>
    </row>
    <row r="2" spans="1:13" ht="12" customHeight="1" x14ac:dyDescent="0.2">
      <c r="B2" s="2460">
        <f>'Single Audit Cover'!E7</f>
        <v>40056007026</v>
      </c>
      <c r="C2" s="2460"/>
      <c r="D2" s="2460"/>
      <c r="E2" s="2460"/>
      <c r="F2" s="2460"/>
      <c r="G2" s="2460"/>
      <c r="H2" s="2460"/>
      <c r="I2" s="2460"/>
      <c r="J2" s="2460"/>
      <c r="K2" s="2460"/>
      <c r="L2" s="1372"/>
      <c r="M2" s="1373"/>
    </row>
    <row r="3" spans="1:13" ht="10.35" customHeight="1" x14ac:dyDescent="0.2">
      <c r="B3" s="2474" t="s">
        <v>1284</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1295</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3" t="s">
        <v>2163</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K48" sqref="A1:K4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Gillespie CUSD 7</v>
      </c>
      <c r="C1" s="2481"/>
      <c r="D1" s="2481"/>
      <c r="E1" s="2481"/>
      <c r="F1" s="2481"/>
      <c r="G1" s="2481"/>
      <c r="H1" s="2481"/>
      <c r="I1" s="2481"/>
      <c r="J1" s="2481"/>
      <c r="K1" s="2481"/>
      <c r="L1" s="1449"/>
    </row>
    <row r="2" spans="1:12" ht="12.75" customHeight="1" x14ac:dyDescent="0.2">
      <c r="B2" s="2482">
        <f>'Single Audit Cover'!E7</f>
        <v>40056007026</v>
      </c>
      <c r="C2" s="2482"/>
      <c r="D2" s="2482"/>
      <c r="E2" s="2482"/>
      <c r="F2" s="2482"/>
      <c r="G2" s="2482"/>
      <c r="H2" s="2482"/>
      <c r="I2" s="2482"/>
      <c r="J2" s="2482"/>
      <c r="K2" s="2482"/>
      <c r="L2" s="1450"/>
    </row>
    <row r="3" spans="1:12" ht="12.75" customHeight="1" x14ac:dyDescent="0.2">
      <c r="B3" s="2474" t="s">
        <v>1284</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1168</v>
      </c>
      <c r="C5" s="1257"/>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8"/>
      <c r="E14" s="2478"/>
      <c r="F14" s="2478"/>
      <c r="H14" s="1459" t="s">
        <v>1302</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79"/>
      <c r="E16" s="2479"/>
      <c r="F16" s="2479"/>
      <c r="G16" s="2479"/>
      <c r="H16" s="2479"/>
      <c r="I16" s="2479"/>
      <c r="J16" s="2479"/>
      <c r="K16" s="2479"/>
      <c r="L16" s="322"/>
    </row>
    <row r="17" spans="2:12" ht="13.5" customHeight="1" x14ac:dyDescent="0.2">
      <c r="B17" s="1384" t="s">
        <v>1300</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3" t="s">
        <v>2163</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8" sqref="C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Gillespie CUSD 7</v>
      </c>
      <c r="C1" s="2458"/>
      <c r="D1" s="2458"/>
      <c r="E1" s="1469"/>
    </row>
    <row r="2" spans="2:5" s="1279" customFormat="1" ht="12.75" customHeight="1" x14ac:dyDescent="0.2">
      <c r="B2" s="2460">
        <f>'Single Audit Cover'!E7</f>
        <v>40056007026</v>
      </c>
      <c r="C2" s="2460"/>
      <c r="D2" s="2460"/>
      <c r="E2" s="1470"/>
    </row>
    <row r="3" spans="2:5" ht="12.75" customHeight="1" x14ac:dyDescent="0.2">
      <c r="B3" s="2474" t="s">
        <v>1762</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2164</v>
      </c>
      <c r="C7" s="324" t="s">
        <v>2165</v>
      </c>
      <c r="D7" s="324" t="s">
        <v>2166</v>
      </c>
      <c r="E7" s="324"/>
    </row>
    <row r="8" spans="2:5" ht="13.5" customHeight="1" x14ac:dyDescent="0.2">
      <c r="B8" s="1474"/>
      <c r="C8" s="324" t="s">
        <v>2167</v>
      </c>
      <c r="D8" s="324"/>
      <c r="E8" s="324"/>
    </row>
    <row r="9" spans="2:5" ht="13.5" customHeight="1" x14ac:dyDescent="0.2">
      <c r="B9" s="1475"/>
      <c r="C9" s="323" t="s">
        <v>2168</v>
      </c>
      <c r="D9" s="323"/>
      <c r="E9" s="323"/>
    </row>
    <row r="10" spans="2:5" ht="13.5" customHeight="1" x14ac:dyDescent="0.2">
      <c r="B10" s="1474"/>
      <c r="C10" s="323" t="s">
        <v>2169</v>
      </c>
      <c r="D10" s="323"/>
      <c r="E10" s="323"/>
    </row>
    <row r="11" spans="2:5" ht="13.5" customHeight="1" x14ac:dyDescent="0.2">
      <c r="B11" s="1474"/>
      <c r="C11" s="323" t="s">
        <v>2170</v>
      </c>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385</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72553661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1.7641299999999999E-2</v>
      </c>
      <c r="E10" s="356" t="s">
        <v>1004</v>
      </c>
      <c r="F10" s="355">
        <v>4.5656999999999998E-3</v>
      </c>
      <c r="G10" s="356" t="s">
        <v>1004</v>
      </c>
      <c r="H10" s="355">
        <v>1.8299E-3</v>
      </c>
      <c r="I10" s="356" t="s">
        <v>1005</v>
      </c>
      <c r="J10" s="1732">
        <f>ROUND(D10+F10+H10,5)</f>
        <v>2.4039999999999999E-2</v>
      </c>
      <c r="K10" s="222"/>
      <c r="L10" s="355">
        <v>4.2729999999999998E-4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12347367</v>
      </c>
      <c r="E16" s="356"/>
      <c r="F16" s="1733">
        <f>SUM('Acct Summary 7-8'!C17,'Acct Summary 7-8'!D17,'Acct Summary 7-8'!F17)</f>
        <v>13018113</v>
      </c>
      <c r="G16" s="356"/>
      <c r="H16" s="1733">
        <f>SUM(D16-F16)</f>
        <v>-670746</v>
      </c>
      <c r="I16" s="222"/>
      <c r="J16" s="1733">
        <f>SUM('Acct Summary 7-8'!C81,'Acct Summary 7-8'!D81,'Acct Summary 7-8'!F81,'Acct Summary 7-8'!I81)</f>
        <v>7276263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10012405.218</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13227701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16" zoomScale="110" zoomScaleNormal="110" workbookViewId="0">
      <selection activeCell="M26" sqref="M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555</v>
      </c>
      <c r="B2" s="2100"/>
      <c r="C2" s="2100"/>
      <c r="D2" s="2100"/>
      <c r="E2" s="2100"/>
      <c r="F2" s="2100"/>
      <c r="G2" s="2100"/>
      <c r="H2" s="2100"/>
      <c r="I2" s="2100"/>
      <c r="J2" s="2100"/>
      <c r="K2" s="2100"/>
      <c r="L2" s="2100"/>
      <c r="M2" s="2100"/>
      <c r="N2" s="2100"/>
      <c r="O2" s="2100"/>
      <c r="P2" s="2100"/>
      <c r="Q2" s="2100"/>
      <c r="R2" s="2100"/>
    </row>
    <row r="3" spans="1:18" ht="12.75" x14ac:dyDescent="0.2">
      <c r="A3" s="2101" t="s">
        <v>1412</v>
      </c>
      <c r="B3" s="2101"/>
      <c r="C3" s="2101"/>
      <c r="D3" s="2101"/>
      <c r="E3" s="2101"/>
      <c r="F3" s="2101"/>
      <c r="G3" s="2101"/>
      <c r="H3" s="2101"/>
      <c r="I3" s="2101"/>
      <c r="J3" s="2101"/>
      <c r="K3" s="2101"/>
      <c r="L3" s="2101"/>
      <c r="M3" s="2101"/>
      <c r="N3" s="2101"/>
      <c r="O3" s="2101"/>
      <c r="P3" s="2101"/>
      <c r="Q3" s="2101"/>
      <c r="R3" s="2101"/>
    </row>
    <row r="4" spans="1:18" x14ac:dyDescent="0.2">
      <c r="A4" s="2102" t="s">
        <v>1553</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Gillespie CUSD 7</v>
      </c>
      <c r="E7" s="391"/>
      <c r="G7" s="252"/>
      <c r="H7" s="387"/>
      <c r="I7" s="387"/>
      <c r="J7" s="387"/>
      <c r="K7" s="387"/>
      <c r="L7" s="329"/>
      <c r="M7" s="329"/>
      <c r="N7" s="329"/>
      <c r="O7" s="329"/>
      <c r="P7" s="329"/>
    </row>
    <row r="8" spans="1:18" ht="12.75" x14ac:dyDescent="0.2">
      <c r="A8" s="329"/>
      <c r="B8" s="329"/>
      <c r="C8" s="389" t="s">
        <v>1124</v>
      </c>
      <c r="D8" s="392">
        <f>COVER!A13</f>
        <v>40056007026</v>
      </c>
      <c r="E8" s="393"/>
      <c r="G8" s="329"/>
      <c r="H8" s="329"/>
      <c r="I8" s="329"/>
      <c r="J8" s="329"/>
      <c r="K8" s="329"/>
      <c r="L8" s="329"/>
      <c r="M8" s="329"/>
      <c r="N8" s="329"/>
      <c r="O8" s="329"/>
      <c r="P8" s="329"/>
    </row>
    <row r="9" spans="1:18" ht="12.75" x14ac:dyDescent="0.2">
      <c r="A9" s="329"/>
      <c r="B9" s="329"/>
      <c r="C9" s="389" t="s">
        <v>712</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7276263</v>
      </c>
      <c r="I12" s="404"/>
      <c r="J12" s="404"/>
      <c r="K12" s="405">
        <f>TRUNC((H12/H13*100000),5)/100000</f>
        <v>0.58929673020000006</v>
      </c>
      <c r="L12" s="406"/>
      <c r="M12" s="360" t="s">
        <v>1143</v>
      </c>
      <c r="N12" s="360"/>
      <c r="O12" s="407">
        <v>0.35</v>
      </c>
      <c r="P12" s="218"/>
      <c r="Q12" s="218"/>
    </row>
    <row r="13" spans="1:18" s="408" customFormat="1" ht="12.75" x14ac:dyDescent="0.2">
      <c r="A13" s="218"/>
      <c r="B13" s="401"/>
      <c r="C13" s="2098" t="s">
        <v>1323</v>
      </c>
      <c r="D13" s="2099"/>
      <c r="E13" s="218"/>
      <c r="F13" s="409" t="s">
        <v>792</v>
      </c>
      <c r="G13" s="402"/>
      <c r="H13" s="403">
        <f>SUM('Acct Summary 7-8'!C8+'Acct Summary 7-8'!D8+'Acct Summary 7-8'!F8+'Acct Summary 7-8'!I8)+H14</f>
        <v>12347367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13018113</v>
      </c>
      <c r="I17" s="404"/>
      <c r="J17" s="416"/>
      <c r="K17" s="405">
        <f>TRUNC((H17/H18*100000),5)/100000</f>
        <v>1.0543229985</v>
      </c>
      <c r="L17" s="406"/>
      <c r="M17" s="417" t="s">
        <v>1170</v>
      </c>
      <c r="O17" s="418" t="str">
        <f>IF(AND(O16="2", J20 &gt; 2),"1",IF(AND(O16 = "1", J20 &gt; 2),"2",IF(AND(O16="1", J20 &gt;1),"1","0")))</f>
        <v>0</v>
      </c>
      <c r="P17" s="218"/>
    </row>
    <row r="18" spans="1:18" s="408" customFormat="1" ht="11.25" x14ac:dyDescent="0.2">
      <c r="A18" s="218"/>
      <c r="B18" s="401"/>
      <c r="C18" s="2098" t="s">
        <v>1316</v>
      </c>
      <c r="D18" s="2099"/>
      <c r="E18" s="218"/>
      <c r="F18" s="419" t="s">
        <v>793</v>
      </c>
      <c r="G18" s="402"/>
      <c r="H18" s="403">
        <f>SUM('Acct Summary 7-8'!C8+'Acct Summary 7-8'!D8+'Acct Summary 7-8'!F8+'Acct Summary 7-8'!I8)+H19</f>
        <v>12347367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9.0071744999999996</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5" t="s">
        <v>1411</v>
      </c>
      <c r="D24" s="2095"/>
      <c r="E24" s="218"/>
      <c r="F24" s="218" t="s">
        <v>444</v>
      </c>
      <c r="G24" s="402"/>
      <c r="H24" s="403">
        <f>SUM('Assets-Liab 5-6'!C4+'Assets-Liab 5-6'!D4+'Assets-Liab 5-6'!F4+'Assets-Liab 5-6'!I4+'Assets-Liab 5-6'!C5+'Assets-Liab 5-6'!D5+'Assets-Liab 5-6'!F5+'Assets-Liab 5-6'!I5)</f>
        <v>7276263</v>
      </c>
      <c r="I24" s="422"/>
      <c r="J24" s="422"/>
      <c r="K24" s="423">
        <f>TRUNC(((H24/H25*100000)/100000),2)</f>
        <v>201.21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36161.425000000003</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1482561.50887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13227701</v>
      </c>
      <c r="I32" s="420"/>
      <c r="J32" s="420"/>
      <c r="K32" s="423">
        <f>TRUNC(100-((((H32/H33*100))*100)/100),2)</f>
        <v>-32.11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10012405.218</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colorId="8" zoomScale="110" zoomScaleNormal="110" workbookViewId="0">
      <pane ySplit="2" topLeftCell="A3" activePane="bottomLeft" state="frozen"/>
      <selection pane="bottomLeft" activeCell="L5" sqref="C5: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5" t="s">
        <v>972</v>
      </c>
      <c r="B3" s="2106"/>
      <c r="C3" s="1559"/>
      <c r="D3" s="1560"/>
      <c r="E3" s="1560"/>
      <c r="F3" s="1560"/>
      <c r="G3" s="1560"/>
      <c r="H3" s="1560"/>
      <c r="I3" s="1560"/>
      <c r="J3" s="1560"/>
      <c r="K3" s="1560"/>
      <c r="L3" s="1560"/>
      <c r="M3" s="1561"/>
      <c r="N3" s="1562"/>
    </row>
    <row r="4" spans="1:14" ht="13.5" customHeight="1" x14ac:dyDescent="0.2">
      <c r="A4" s="463" t="s">
        <v>1650</v>
      </c>
      <c r="B4" s="464"/>
      <c r="C4" s="465">
        <f>617767+100000-65000+2513+757949+1282</f>
        <v>1414511</v>
      </c>
      <c r="D4" s="466">
        <v>511333</v>
      </c>
      <c r="E4" s="466">
        <f>-48184+140000-2513</f>
        <v>89303</v>
      </c>
      <c r="F4" s="466">
        <f>210876-85000</f>
        <v>125876</v>
      </c>
      <c r="G4" s="466">
        <f>177299-15000</f>
        <v>162299</v>
      </c>
      <c r="H4" s="466">
        <f>643336-75000</f>
        <v>568336</v>
      </c>
      <c r="I4" s="466">
        <f>401067+35000+768405</f>
        <v>1204472</v>
      </c>
      <c r="J4" s="467">
        <f>148757-35000</f>
        <v>113757</v>
      </c>
      <c r="K4" s="466"/>
      <c r="L4" s="466">
        <f>235821+52892+170803-6200</f>
        <v>453316</v>
      </c>
      <c r="M4" s="468"/>
      <c r="N4" s="469"/>
    </row>
    <row r="5" spans="1:14" x14ac:dyDescent="0.2">
      <c r="A5" s="463" t="s">
        <v>991</v>
      </c>
      <c r="B5" s="470">
        <v>120</v>
      </c>
      <c r="C5" s="465">
        <f>2418494+38917+260808+36437</f>
        <v>2754656</v>
      </c>
      <c r="D5" s="466"/>
      <c r="E5" s="466"/>
      <c r="F5" s="466"/>
      <c r="G5" s="466"/>
      <c r="H5" s="466"/>
      <c r="I5" s="466">
        <f>1257897+7518</f>
        <v>1265415</v>
      </c>
      <c r="J5" s="467"/>
      <c r="K5" s="471"/>
      <c r="L5" s="472">
        <f>1534+1666+3000</f>
        <v>6200</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4169167</v>
      </c>
      <c r="D13" s="1737">
        <f t="shared" ref="D13:L13" si="0">SUM(D4:D12)</f>
        <v>511333</v>
      </c>
      <c r="E13" s="1737">
        <f t="shared" si="0"/>
        <v>89303</v>
      </c>
      <c r="F13" s="1737">
        <f t="shared" si="0"/>
        <v>125876</v>
      </c>
      <c r="G13" s="1737">
        <f t="shared" si="0"/>
        <v>162299</v>
      </c>
      <c r="H13" s="1737">
        <f t="shared" si="0"/>
        <v>568336</v>
      </c>
      <c r="I13" s="1737">
        <f t="shared" si="0"/>
        <v>2469887</v>
      </c>
      <c r="J13" s="1737">
        <f t="shared" si="0"/>
        <v>113757</v>
      </c>
      <c r="K13" s="1737">
        <f t="shared" si="0"/>
        <v>0</v>
      </c>
      <c r="L13" s="1737">
        <f t="shared" si="0"/>
        <v>459516</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438409</v>
      </c>
      <c r="N16" s="484"/>
    </row>
    <row r="17" spans="1:14" s="485" customFormat="1" ht="12.75" customHeight="1" x14ac:dyDescent="0.2">
      <c r="A17" s="482" t="s">
        <v>1402</v>
      </c>
      <c r="B17" s="483">
        <v>230</v>
      </c>
      <c r="C17" s="477"/>
      <c r="D17" s="477"/>
      <c r="E17" s="477"/>
      <c r="F17" s="477"/>
      <c r="G17" s="477"/>
      <c r="H17" s="477"/>
      <c r="I17" s="477"/>
      <c r="J17" s="477"/>
      <c r="K17" s="477"/>
      <c r="L17" s="477"/>
      <c r="M17" s="467">
        <v>36401895</v>
      </c>
      <c r="N17" s="484"/>
    </row>
    <row r="18" spans="1:14" s="485" customFormat="1" ht="12.75" customHeight="1" x14ac:dyDescent="0.2">
      <c r="A18" s="482" t="s">
        <v>1403</v>
      </c>
      <c r="B18" s="483">
        <v>240</v>
      </c>
      <c r="C18" s="477"/>
      <c r="D18" s="477"/>
      <c r="E18" s="477"/>
      <c r="F18" s="477"/>
      <c r="G18" s="477"/>
      <c r="H18" s="477"/>
      <c r="I18" s="477"/>
      <c r="J18" s="477"/>
      <c r="K18" s="477"/>
      <c r="L18" s="477"/>
      <c r="M18" s="467">
        <v>226522</v>
      </c>
      <c r="N18" s="484"/>
    </row>
    <row r="19" spans="1:14" s="485" customFormat="1" ht="12.75" customHeight="1" x14ac:dyDescent="0.2">
      <c r="A19" s="482" t="s">
        <v>1404</v>
      </c>
      <c r="B19" s="483">
        <v>250</v>
      </c>
      <c r="C19" s="477"/>
      <c r="D19" s="477"/>
      <c r="E19" s="477"/>
      <c r="F19" s="477"/>
      <c r="G19" s="477"/>
      <c r="H19" s="477"/>
      <c r="I19" s="477"/>
      <c r="J19" s="477"/>
      <c r="K19" s="477"/>
      <c r="L19" s="477"/>
      <c r="M19" s="467">
        <v>2164329</v>
      </c>
      <c r="N19" s="484"/>
    </row>
    <row r="20" spans="1:14" s="485" customFormat="1" ht="12.75" customHeight="1" x14ac:dyDescent="0.2">
      <c r="A20" s="482" t="s">
        <v>1405</v>
      </c>
      <c r="B20" s="483">
        <v>260</v>
      </c>
      <c r="C20" s="477"/>
      <c r="D20" s="477"/>
      <c r="E20" s="477"/>
      <c r="F20" s="477"/>
      <c r="G20" s="477"/>
      <c r="H20" s="477"/>
      <c r="I20" s="477"/>
      <c r="J20" s="477"/>
      <c r="K20" s="477"/>
      <c r="L20" s="477"/>
      <c r="M20" s="467">
        <v>1110401</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89303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13138398</v>
      </c>
    </row>
    <row r="23" spans="1:14" ht="13.5" customHeight="1" thickBot="1" x14ac:dyDescent="0.25">
      <c r="A23" s="1736" t="s">
        <v>642</v>
      </c>
      <c r="B23" s="1741"/>
      <c r="C23" s="468"/>
      <c r="D23" s="468"/>
      <c r="E23" s="468"/>
      <c r="F23" s="468"/>
      <c r="G23" s="468"/>
      <c r="H23" s="468"/>
      <c r="I23" s="468"/>
      <c r="J23" s="468"/>
      <c r="K23" s="468"/>
      <c r="L23" s="468"/>
      <c r="M23" s="1688">
        <f>SUM(M15:M22)</f>
        <v>40341556</v>
      </c>
      <c r="N23" s="1688">
        <f>SUM(N21:N22)</f>
        <v>13227701</v>
      </c>
    </row>
    <row r="24" spans="1:14" ht="18" customHeight="1" thickTop="1" x14ac:dyDescent="0.2">
      <c r="A24" s="2109" t="s">
        <v>597</v>
      </c>
      <c r="B24" s="2110"/>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459516</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459516</v>
      </c>
      <c r="M34" s="468"/>
      <c r="N34" s="480"/>
    </row>
    <row r="35" spans="1:14" ht="18" customHeight="1" thickTop="1" x14ac:dyDescent="0.2">
      <c r="A35" s="2111" t="s">
        <v>528</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13227701</v>
      </c>
    </row>
    <row r="37" spans="1:14" ht="13.5" thickBot="1" x14ac:dyDescent="0.25">
      <c r="A37" s="1736" t="s">
        <v>652</v>
      </c>
      <c r="B37" s="1741"/>
      <c r="C37" s="477"/>
      <c r="D37" s="477"/>
      <c r="E37" s="477"/>
      <c r="F37" s="477"/>
      <c r="G37" s="477"/>
      <c r="H37" s="477"/>
      <c r="I37" s="477"/>
      <c r="J37" s="477"/>
      <c r="K37" s="477"/>
      <c r="L37" s="480"/>
      <c r="M37" s="468"/>
      <c r="N37" s="1688">
        <f>SUM(N36:N36)</f>
        <v>13227701</v>
      </c>
    </row>
    <row r="38" spans="1:14" s="329" customFormat="1" ht="13.5" customHeight="1" thickTop="1" x14ac:dyDescent="0.2">
      <c r="A38" s="496" t="s">
        <v>419</v>
      </c>
      <c r="B38" s="483">
        <v>714</v>
      </c>
      <c r="C38" s="466"/>
      <c r="D38" s="466"/>
      <c r="E38" s="466">
        <v>89303</v>
      </c>
      <c r="F38" s="466"/>
      <c r="G38" s="466">
        <v>162299</v>
      </c>
      <c r="H38" s="466">
        <v>568336</v>
      </c>
      <c r="I38" s="466"/>
      <c r="J38" s="467">
        <v>113757</v>
      </c>
      <c r="K38" s="466"/>
      <c r="L38" s="481"/>
      <c r="M38" s="497"/>
      <c r="N38" s="497"/>
    </row>
    <row r="39" spans="1:14" s="329" customFormat="1" ht="13.5" customHeight="1" x14ac:dyDescent="0.2">
      <c r="A39" s="496" t="s">
        <v>341</v>
      </c>
      <c r="B39" s="483">
        <v>730</v>
      </c>
      <c r="C39" s="466">
        <v>4169167</v>
      </c>
      <c r="D39" s="466">
        <v>511333</v>
      </c>
      <c r="E39" s="466"/>
      <c r="F39" s="466">
        <v>125876</v>
      </c>
      <c r="G39" s="466"/>
      <c r="H39" s="466"/>
      <c r="I39" s="466">
        <v>2469887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40341556</v>
      </c>
      <c r="N40" s="497"/>
    </row>
    <row r="41" spans="1:14" ht="13.5" customHeight="1" thickBot="1" x14ac:dyDescent="0.25">
      <c r="A41" s="1736" t="s">
        <v>654</v>
      </c>
      <c r="B41" s="1706"/>
      <c r="C41" s="1688">
        <f>(SUM(C34,C37,C38,C39))</f>
        <v>4169167</v>
      </c>
      <c r="D41" s="1688">
        <f t="shared" ref="D41:L41" si="2">SUM(D34,D37,D38:D39)</f>
        <v>511333</v>
      </c>
      <c r="E41" s="1688">
        <f t="shared" si="2"/>
        <v>89303</v>
      </c>
      <c r="F41" s="1688">
        <f t="shared" si="2"/>
        <v>125876</v>
      </c>
      <c r="G41" s="1688">
        <f t="shared" si="2"/>
        <v>162299</v>
      </c>
      <c r="H41" s="1688">
        <f t="shared" si="2"/>
        <v>568336</v>
      </c>
      <c r="I41" s="1688">
        <f t="shared" si="2"/>
        <v>2469887</v>
      </c>
      <c r="J41" s="1688">
        <f t="shared" si="2"/>
        <v>113757</v>
      </c>
      <c r="K41" s="1688">
        <f t="shared" si="2"/>
        <v>0</v>
      </c>
      <c r="L41" s="1688">
        <f t="shared" si="2"/>
        <v>459516</v>
      </c>
      <c r="M41" s="1688">
        <f>SUM(M40)</f>
        <v>40341556</v>
      </c>
      <c r="N41" s="1688">
        <f>SUM(N37)</f>
        <v>13227701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3" activePane="bottomLeft" state="frozen"/>
      <selection pane="bottomLeft" activeCell="H17" sqref="H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3" t="s">
        <v>1174</v>
      </c>
      <c r="B3" s="2134"/>
      <c r="C3" s="1573"/>
      <c r="D3" s="1574"/>
      <c r="E3" s="1574"/>
      <c r="F3" s="1574"/>
      <c r="G3" s="1574"/>
      <c r="H3" s="1574"/>
      <c r="I3" s="1574"/>
      <c r="J3" s="1574"/>
      <c r="K3" s="1575"/>
      <c r="L3" s="506"/>
    </row>
    <row r="4" spans="1:13" ht="15.75" customHeight="1" x14ac:dyDescent="0.2">
      <c r="A4" s="1928" t="s">
        <v>1498</v>
      </c>
      <c r="B4" s="1929">
        <v>1000</v>
      </c>
      <c r="C4" s="1742">
        <f>'Revenues 9-14'!C109</f>
        <v>1803806</v>
      </c>
      <c r="D4" s="1742">
        <f>'Revenues 9-14'!D109</f>
        <v>366574</v>
      </c>
      <c r="E4" s="1742">
        <f>'Revenues 9-14'!E109</f>
        <v>917014</v>
      </c>
      <c r="F4" s="1742">
        <f>'Revenues 9-14'!F109</f>
        <v>132900</v>
      </c>
      <c r="G4" s="1742">
        <f>'Revenues 9-14'!G109</f>
        <v>304771</v>
      </c>
      <c r="H4" s="1742">
        <f>'Revenues 9-14'!H109</f>
        <v>316588</v>
      </c>
      <c r="I4" s="1742">
        <f>'Revenues 9-14'!I109</f>
        <v>41427</v>
      </c>
      <c r="J4" s="1742">
        <f>'Revenues 9-14'!J109</f>
        <v>172144</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8022834</v>
      </c>
      <c r="D6" s="1743">
        <f>'Revenues 9-14'!D170</f>
        <v>250008</v>
      </c>
      <c r="E6" s="1743">
        <f>'Revenues 9-14'!E170</f>
        <v>0</v>
      </c>
      <c r="F6" s="1743">
        <f>'Revenues 9-14'!F170</f>
        <v>280444</v>
      </c>
      <c r="G6" s="1743">
        <f>'Revenues 9-14'!G170</f>
        <v>149996</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1449374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11276014</v>
      </c>
      <c r="D8" s="1688">
        <f t="shared" ref="D8:K8" si="0">SUM(D4:D7)</f>
        <v>616582</v>
      </c>
      <c r="E8" s="1688">
        <f t="shared" si="0"/>
        <v>917014</v>
      </c>
      <c r="F8" s="1688">
        <f t="shared" si="0"/>
        <v>413344</v>
      </c>
      <c r="G8" s="1688">
        <f t="shared" si="0"/>
        <v>454767</v>
      </c>
      <c r="H8" s="1688">
        <f t="shared" si="0"/>
        <v>316588</v>
      </c>
      <c r="I8" s="1688">
        <f t="shared" si="0"/>
        <v>41427</v>
      </c>
      <c r="J8" s="1688">
        <f t="shared" si="0"/>
        <v>172144</v>
      </c>
      <c r="K8" s="1688">
        <f t="shared" si="0"/>
        <v>0</v>
      </c>
      <c r="L8" s="347"/>
    </row>
    <row r="9" spans="1:13" ht="15.75" thickTop="1" x14ac:dyDescent="0.2">
      <c r="A9" s="514" t="s">
        <v>1652</v>
      </c>
      <c r="B9" s="515">
        <v>3998</v>
      </c>
      <c r="C9" s="481">
        <v>4184832</v>
      </c>
      <c r="D9" s="516"/>
      <c r="E9" s="481"/>
      <c r="F9" s="481"/>
      <c r="G9" s="517"/>
      <c r="H9" s="481"/>
      <c r="I9" s="509" t="s">
        <v>1168</v>
      </c>
      <c r="J9" s="478"/>
      <c r="K9" s="481"/>
      <c r="L9" s="347"/>
    </row>
    <row r="10" spans="1:13" s="519" customFormat="1" ht="13.5" thickBot="1" x14ac:dyDescent="0.25">
      <c r="A10" s="1736" t="s">
        <v>1172</v>
      </c>
      <c r="B10" s="1709"/>
      <c r="C10" s="1688">
        <f>SUM(C8:C9)</f>
        <v>15460846</v>
      </c>
      <c r="D10" s="1688">
        <f t="shared" ref="D10:K10" si="1">SUM(D8:D9)</f>
        <v>616582</v>
      </c>
      <c r="E10" s="1688">
        <f t="shared" si="1"/>
        <v>917014</v>
      </c>
      <c r="F10" s="1688">
        <f t="shared" si="1"/>
        <v>413344</v>
      </c>
      <c r="G10" s="1688">
        <f t="shared" si="1"/>
        <v>454767</v>
      </c>
      <c r="H10" s="1688">
        <f t="shared" si="1"/>
        <v>316588</v>
      </c>
      <c r="I10" s="1688">
        <f t="shared" si="1"/>
        <v>41427</v>
      </c>
      <c r="J10" s="1688">
        <f t="shared" si="1"/>
        <v>172144</v>
      </c>
      <c r="K10" s="1688">
        <f t="shared" si="1"/>
        <v>0</v>
      </c>
      <c r="L10" s="518"/>
    </row>
    <row r="11" spans="1:13" s="519" customFormat="1" ht="16.7" customHeight="1" thickTop="1" x14ac:dyDescent="0.2">
      <c r="A11" s="2107" t="s">
        <v>1175</v>
      </c>
      <c r="B11" s="2108"/>
      <c r="C11" s="1570"/>
      <c r="D11" s="1571"/>
      <c r="E11" s="1571"/>
      <c r="F11" s="1571"/>
      <c r="G11" s="1571"/>
      <c r="H11" s="1571"/>
      <c r="I11" s="1571"/>
      <c r="J11" s="1571"/>
      <c r="K11" s="1572"/>
      <c r="L11" s="518"/>
    </row>
    <row r="12" spans="1:13" ht="15.75" customHeight="1" x14ac:dyDescent="0.2">
      <c r="A12" s="1576" t="s">
        <v>455</v>
      </c>
      <c r="B12" s="1578">
        <v>1000</v>
      </c>
      <c r="C12" s="1742">
        <f>'Expenditures 15-22'!K33</f>
        <v>7147327</v>
      </c>
      <c r="D12" s="520" t="s">
        <v>1168</v>
      </c>
      <c r="E12" s="468" t="s">
        <v>1168</v>
      </c>
      <c r="F12" s="468" t="s">
        <v>1168</v>
      </c>
      <c r="G12" s="1742">
        <f>'Expenditures 15-22'!K229</f>
        <v>142476</v>
      </c>
      <c r="H12" s="521"/>
      <c r="I12" s="468" t="s">
        <v>1168</v>
      </c>
      <c r="J12" s="468" t="s">
        <v>1168</v>
      </c>
      <c r="K12" s="521" t="s">
        <v>1168</v>
      </c>
      <c r="L12" s="347"/>
    </row>
    <row r="13" spans="1:13" ht="15.75" customHeight="1" x14ac:dyDescent="0.2">
      <c r="A13" s="1576" t="s">
        <v>456</v>
      </c>
      <c r="B13" s="1578">
        <v>2000</v>
      </c>
      <c r="C13" s="1743">
        <f>'Expenditures 15-22'!K74</f>
        <v>3210361</v>
      </c>
      <c r="D13" s="1743">
        <f>'Expenditures 15-22'!K129</f>
        <v>742478</v>
      </c>
      <c r="E13" s="469" t="s">
        <v>1168</v>
      </c>
      <c r="F13" s="1743">
        <f>'Expenditures 15-22'!K184</f>
        <v>655081</v>
      </c>
      <c r="G13" s="1743">
        <f>'Expenditures 15-22'!K279</f>
        <v>240951</v>
      </c>
      <c r="H13" s="1743">
        <f>'Expenditures 15-22'!K303</f>
        <v>899897</v>
      </c>
      <c r="I13" s="468" t="s">
        <v>1168</v>
      </c>
      <c r="J13" s="1743">
        <f>'Expenditures 15-22'!K330</f>
        <v>96828</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1262583</v>
      </c>
      <c r="D15" s="1743">
        <f>'Expenditures 15-22'!K139</f>
        <v>0</v>
      </c>
      <c r="E15" s="1743">
        <f>'Expenditures 15-22'!K160</f>
        <v>0</v>
      </c>
      <c r="F15" s="1743">
        <f>'Expenditures 15-22'!K196</f>
        <v>283</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1193208</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11620271</v>
      </c>
      <c r="D17" s="1688">
        <f t="shared" si="2"/>
        <v>742478</v>
      </c>
      <c r="E17" s="1688">
        <f t="shared" si="2"/>
        <v>1193208</v>
      </c>
      <c r="F17" s="1688">
        <f t="shared" si="2"/>
        <v>655364</v>
      </c>
      <c r="G17" s="1688">
        <f t="shared" si="2"/>
        <v>383427</v>
      </c>
      <c r="H17" s="1688">
        <f t="shared" si="2"/>
        <v>899897</v>
      </c>
      <c r="I17" s="468"/>
      <c r="J17" s="1688">
        <f>SUM(J12:J16)</f>
        <v>96828</v>
      </c>
      <c r="K17" s="1688">
        <f>SUM(K12:K16)</f>
        <v>0</v>
      </c>
      <c r="L17" s="347"/>
    </row>
    <row r="18" spans="1:12" ht="15" customHeight="1" thickTop="1" x14ac:dyDescent="0.2">
      <c r="A18" s="1744" t="s">
        <v>1653</v>
      </c>
      <c r="B18" s="1745">
        <v>4180</v>
      </c>
      <c r="C18" s="1742">
        <f t="shared" ref="C18:H18" si="3">C9</f>
        <v>4184832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15805103</v>
      </c>
      <c r="D19" s="1688">
        <f t="shared" si="4"/>
        <v>742478</v>
      </c>
      <c r="E19" s="1688">
        <f t="shared" si="4"/>
        <v>1193208</v>
      </c>
      <c r="F19" s="1688">
        <f t="shared" si="4"/>
        <v>655364</v>
      </c>
      <c r="G19" s="1688">
        <f t="shared" si="4"/>
        <v>383427</v>
      </c>
      <c r="H19" s="1688">
        <f t="shared" si="4"/>
        <v>899897</v>
      </c>
      <c r="I19" s="468"/>
      <c r="J19" s="1688">
        <f>SUM(J17:J18)</f>
        <v>96828</v>
      </c>
      <c r="K19" s="1688">
        <f>SUM(K17:K18)</f>
        <v>0</v>
      </c>
      <c r="L19" s="347"/>
    </row>
    <row r="20" spans="1:12" ht="16.5" thickTop="1" thickBot="1" x14ac:dyDescent="0.25">
      <c r="A20" s="2123" t="s">
        <v>1654</v>
      </c>
      <c r="B20" s="2124"/>
      <c r="C20" s="1746">
        <f>C8-C17</f>
        <v>-344257</v>
      </c>
      <c r="D20" s="1746">
        <f t="shared" ref="D20:K20" si="5">D8-D17</f>
        <v>-125896</v>
      </c>
      <c r="E20" s="1746">
        <f t="shared" si="5"/>
        <v>-276194</v>
      </c>
      <c r="F20" s="1746">
        <f t="shared" si="5"/>
        <v>-242020</v>
      </c>
      <c r="G20" s="1746">
        <f t="shared" si="5"/>
        <v>71340</v>
      </c>
      <c r="H20" s="1746">
        <f t="shared" si="5"/>
        <v>-583309</v>
      </c>
      <c r="I20" s="1746">
        <f t="shared" si="5"/>
        <v>41427</v>
      </c>
      <c r="J20" s="1746">
        <f t="shared" si="5"/>
        <v>75316</v>
      </c>
      <c r="K20" s="1746">
        <f t="shared" si="5"/>
        <v>0</v>
      </c>
      <c r="L20" s="347"/>
    </row>
    <row r="21" spans="1:12" ht="16.7" customHeight="1" thickTop="1" x14ac:dyDescent="0.2">
      <c r="A21" s="2135" t="s">
        <v>594</v>
      </c>
      <c r="B21" s="2136"/>
      <c r="C21" s="1570"/>
      <c r="D21" s="1571"/>
      <c r="E21" s="1571"/>
      <c r="F21" s="1571"/>
      <c r="G21" s="1571"/>
      <c r="H21" s="1571"/>
      <c r="I21" s="1571"/>
      <c r="J21" s="1571"/>
      <c r="K21" s="1572"/>
      <c r="L21" s="524"/>
    </row>
    <row r="22" spans="1:12" ht="15.75" customHeight="1" collapsed="1" x14ac:dyDescent="0.2">
      <c r="A22" s="2131" t="s">
        <v>595</v>
      </c>
      <c r="B22" s="2132"/>
      <c r="C22" s="477"/>
      <c r="D22" s="477"/>
      <c r="E22" s="477"/>
      <c r="F22" s="477"/>
      <c r="G22" s="477"/>
      <c r="H22" s="477"/>
      <c r="I22" s="477"/>
      <c r="J22" s="477"/>
      <c r="K22" s="477"/>
      <c r="L22" s="347"/>
    </row>
    <row r="23" spans="1:12" s="485" customFormat="1" ht="15.75" customHeight="1" x14ac:dyDescent="0.2">
      <c r="A23" s="2127" t="s">
        <v>292</v>
      </c>
      <c r="B23" s="2128"/>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29" t="s">
        <v>980</v>
      </c>
      <c r="B32" s="2130"/>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65000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700000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f>700000+142090</f>
        <v>842090</v>
      </c>
      <c r="D43" s="467"/>
      <c r="E43" s="467"/>
      <c r="F43" s="467">
        <v>171285</v>
      </c>
      <c r="G43" s="467"/>
      <c r="H43" s="467"/>
      <c r="I43" s="467"/>
      <c r="J43" s="467"/>
      <c r="K43" s="467"/>
      <c r="L43" s="524"/>
    </row>
    <row r="44" spans="1:12" s="485" customFormat="1" ht="13.5" customHeight="1" thickBot="1" x14ac:dyDescent="0.25">
      <c r="A44" s="2137" t="s">
        <v>373</v>
      </c>
      <c r="B44" s="2138"/>
      <c r="C44" s="1703">
        <f>SUM(C24:C43)</f>
        <v>842090</v>
      </c>
      <c r="D44" s="1703">
        <f t="shared" ref="D44:K44" si="6">SUM(D24:D43)</f>
        <v>0</v>
      </c>
      <c r="E44" s="1703">
        <f t="shared" si="6"/>
        <v>65000</v>
      </c>
      <c r="F44" s="1703">
        <f t="shared" si="6"/>
        <v>171285</v>
      </c>
      <c r="G44" s="1703">
        <f t="shared" si="6"/>
        <v>0</v>
      </c>
      <c r="H44" s="1703">
        <f t="shared" si="6"/>
        <v>700000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v>65000</v>
      </c>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v>700000</v>
      </c>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3" t="s">
        <v>439</v>
      </c>
      <c r="B76" s="2114"/>
      <c r="C76" s="1703">
        <f t="shared" ref="C76:K76" si="7">SUM(C47:C75)</f>
        <v>765000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1176</v>
      </c>
      <c r="B77" s="2116"/>
      <c r="C77" s="1703">
        <f t="shared" ref="C77:K77" si="8">C44-C76</f>
        <v>77090</v>
      </c>
      <c r="D77" s="1703">
        <f t="shared" si="8"/>
        <v>0</v>
      </c>
      <c r="E77" s="1703">
        <f t="shared" si="8"/>
        <v>65000</v>
      </c>
      <c r="F77" s="1703">
        <f t="shared" si="8"/>
        <v>171285</v>
      </c>
      <c r="G77" s="1703">
        <f t="shared" si="8"/>
        <v>0</v>
      </c>
      <c r="H77" s="1703">
        <f t="shared" si="8"/>
        <v>700000</v>
      </c>
      <c r="I77" s="1703">
        <f t="shared" si="8"/>
        <v>0</v>
      </c>
      <c r="J77" s="1703">
        <f t="shared" si="8"/>
        <v>0</v>
      </c>
      <c r="K77" s="1703">
        <f t="shared" si="8"/>
        <v>0</v>
      </c>
      <c r="L77" s="347"/>
    </row>
    <row r="78" spans="1:12" ht="21.75" customHeight="1" thickTop="1" thickBot="1" x14ac:dyDescent="0.25">
      <c r="A78" s="2119" t="s">
        <v>596</v>
      </c>
      <c r="B78" s="2120"/>
      <c r="C78" s="1702">
        <f t="shared" ref="C78:K78" si="9">C20+C77</f>
        <v>-267167</v>
      </c>
      <c r="D78" s="1702">
        <f t="shared" si="9"/>
        <v>-125896</v>
      </c>
      <c r="E78" s="1702">
        <f t="shared" si="9"/>
        <v>-211194</v>
      </c>
      <c r="F78" s="1702">
        <f t="shared" si="9"/>
        <v>-70735</v>
      </c>
      <c r="G78" s="1702">
        <f t="shared" si="9"/>
        <v>71340</v>
      </c>
      <c r="H78" s="1702">
        <f t="shared" si="9"/>
        <v>116691</v>
      </c>
      <c r="I78" s="1702">
        <f t="shared" si="9"/>
        <v>41427</v>
      </c>
      <c r="J78" s="1702">
        <f t="shared" si="9"/>
        <v>75316</v>
      </c>
      <c r="K78" s="1702">
        <f t="shared" si="9"/>
        <v>0</v>
      </c>
      <c r="L78" s="533"/>
    </row>
    <row r="79" spans="1:12" ht="13.5" thickTop="1" x14ac:dyDescent="0.2">
      <c r="A79" s="1494" t="s">
        <v>1945</v>
      </c>
      <c r="B79" s="534"/>
      <c r="C79" s="478">
        <v>4436334</v>
      </c>
      <c r="D79" s="535">
        <v>637229</v>
      </c>
      <c r="E79" s="535">
        <v>300497</v>
      </c>
      <c r="F79" s="535">
        <v>196611</v>
      </c>
      <c r="G79" s="535">
        <v>90959</v>
      </c>
      <c r="H79" s="535">
        <v>451645</v>
      </c>
      <c r="I79" s="535">
        <v>2428460</v>
      </c>
      <c r="J79" s="535">
        <v>38441</v>
      </c>
      <c r="K79" s="535"/>
      <c r="L79" s="347"/>
    </row>
    <row r="80" spans="1:12" x14ac:dyDescent="0.2">
      <c r="A80" s="2125" t="s">
        <v>1791</v>
      </c>
      <c r="B80" s="2126"/>
      <c r="C80" s="467"/>
      <c r="D80" s="467"/>
      <c r="E80" s="467"/>
      <c r="F80" s="467"/>
      <c r="G80" s="467"/>
      <c r="H80" s="467"/>
      <c r="I80" s="467"/>
      <c r="J80" s="467"/>
      <c r="K80" s="467"/>
      <c r="L80" s="347"/>
    </row>
    <row r="81" spans="1:12" ht="13.5" thickBot="1" x14ac:dyDescent="0.25">
      <c r="A81" s="2117" t="s">
        <v>1946</v>
      </c>
      <c r="B81" s="2118"/>
      <c r="C81" s="1688">
        <f>(SUM(C78:C80))</f>
        <v>4169167</v>
      </c>
      <c r="D81" s="1688">
        <f>SUM(D78:D80)</f>
        <v>511333</v>
      </c>
      <c r="E81" s="1688">
        <f t="shared" ref="E81:K81" si="10">SUM(E78:E80)</f>
        <v>89303</v>
      </c>
      <c r="F81" s="1688">
        <f t="shared" si="10"/>
        <v>125876</v>
      </c>
      <c r="G81" s="1688">
        <f t="shared" si="10"/>
        <v>162299</v>
      </c>
      <c r="H81" s="1688">
        <f t="shared" si="10"/>
        <v>568336</v>
      </c>
      <c r="I81" s="1688">
        <f t="shared" si="10"/>
        <v>2469887</v>
      </c>
      <c r="J81" s="1688">
        <f t="shared" si="10"/>
        <v>113757</v>
      </c>
      <c r="K81" s="1688">
        <f t="shared" si="10"/>
        <v>0</v>
      </c>
      <c r="L81" s="347"/>
    </row>
    <row r="82" spans="1:12" ht="0.75" customHeight="1" thickTop="1" thickBot="1" x14ac:dyDescent="0.25">
      <c r="A82" s="536" t="s">
        <v>342</v>
      </c>
      <c r="B82" s="537"/>
      <c r="C82" s="538">
        <f>(C81-C79)</f>
        <v>-267167</v>
      </c>
      <c r="D82" s="538">
        <f t="shared" ref="D82:K82" si="11">(D81-D79)</f>
        <v>-125896</v>
      </c>
      <c r="E82" s="538">
        <f t="shared" si="11"/>
        <v>-211194</v>
      </c>
      <c r="F82" s="538">
        <f t="shared" si="11"/>
        <v>-70735</v>
      </c>
      <c r="G82" s="538">
        <f t="shared" si="11"/>
        <v>71340</v>
      </c>
      <c r="H82" s="538">
        <f t="shared" si="11"/>
        <v>116691</v>
      </c>
      <c r="I82" s="538">
        <f t="shared" si="11"/>
        <v>41427</v>
      </c>
      <c r="J82" s="538">
        <f t="shared" si="11"/>
        <v>75316</v>
      </c>
      <c r="K82" s="538">
        <f t="shared" si="11"/>
        <v>0</v>
      </c>
    </row>
    <row r="83" spans="1:12" ht="14.25" hidden="1" thickTop="1" thickBot="1" x14ac:dyDescent="0.25">
      <c r="A83" s="539" t="s">
        <v>343</v>
      </c>
      <c r="B83" s="464"/>
      <c r="C83" s="540">
        <f>C82/C81</f>
        <v>-6.4081625897931163E-2</v>
      </c>
      <c r="D83" s="540">
        <f t="shared" ref="D83:K83" si="12">D82/D81</f>
        <v>-0.246211373019148</v>
      </c>
      <c r="E83" s="540">
        <f t="shared" si="12"/>
        <v>-2.3649149524652029</v>
      </c>
      <c r="F83" s="540">
        <f t="shared" si="12"/>
        <v>-0.56194191108710156</v>
      </c>
      <c r="G83" s="540">
        <f t="shared" si="12"/>
        <v>0.4395590853917769</v>
      </c>
      <c r="H83" s="540">
        <f t="shared" si="12"/>
        <v>0.20532044424424989</v>
      </c>
      <c r="I83" s="540">
        <f t="shared" si="12"/>
        <v>1.6772832117420755E-2</v>
      </c>
      <c r="J83" s="540">
        <f t="shared" si="12"/>
        <v>0.6620779380609545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110" zoomScaleNormal="110" zoomScaleSheetLayoutView="75" workbookViewId="0">
      <pane ySplit="2" topLeftCell="A60"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1798</v>
      </c>
      <c r="B1" s="452"/>
      <c r="C1" s="453" t="s">
        <v>424</v>
      </c>
      <c r="D1" s="453" t="s">
        <v>425</v>
      </c>
      <c r="E1" s="453" t="s">
        <v>426</v>
      </c>
      <c r="F1" s="453" t="s">
        <v>427</v>
      </c>
      <c r="G1" s="453" t="s">
        <v>428</v>
      </c>
      <c r="H1" s="453" t="s">
        <v>429</v>
      </c>
      <c r="I1" s="453" t="s">
        <v>430</v>
      </c>
      <c r="J1" s="453" t="s">
        <v>431</v>
      </c>
      <c r="K1" s="453" t="s">
        <v>755</v>
      </c>
    </row>
    <row r="2" spans="1:12" ht="36" x14ac:dyDescent="0.2">
      <c r="A2" s="212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1239870</v>
      </c>
      <c r="D5" s="481">
        <v>320821</v>
      </c>
      <c r="E5" s="466">
        <v>841790</v>
      </c>
      <c r="F5" s="548">
        <v>128562</v>
      </c>
      <c r="G5" s="466">
        <v>86487</v>
      </c>
      <c r="H5" s="466"/>
      <c r="I5" s="466">
        <v>30095</v>
      </c>
      <c r="J5" s="467">
        <v>172098</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23959</v>
      </c>
      <c r="D7" s="466"/>
      <c r="E7" s="468"/>
      <c r="F7" s="467"/>
      <c r="G7" s="467"/>
      <c r="H7" s="467"/>
      <c r="I7" s="468"/>
      <c r="J7" s="468"/>
      <c r="K7" s="468"/>
    </row>
    <row r="8" spans="1:12" x14ac:dyDescent="0.2">
      <c r="A8" s="463" t="s">
        <v>412</v>
      </c>
      <c r="B8" s="470">
        <v>1150</v>
      </c>
      <c r="C8" s="475"/>
      <c r="D8" s="475"/>
      <c r="E8" s="477"/>
      <c r="F8" s="477"/>
      <c r="G8" s="481">
        <v>78014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1263829</v>
      </c>
      <c r="D12" s="1707">
        <f t="shared" si="0"/>
        <v>320821</v>
      </c>
      <c r="E12" s="1707">
        <f t="shared" si="0"/>
        <v>841790</v>
      </c>
      <c r="F12" s="1707">
        <f t="shared" si="0"/>
        <v>128562</v>
      </c>
      <c r="G12" s="1707">
        <f t="shared" si="0"/>
        <v>164501</v>
      </c>
      <c r="H12" s="1707">
        <f t="shared" si="0"/>
        <v>0</v>
      </c>
      <c r="I12" s="1707">
        <f t="shared" si="0"/>
        <v>30095</v>
      </c>
      <c r="J12" s="1707">
        <f t="shared" si="0"/>
        <v>172098</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c r="F16" s="466"/>
      <c r="G16" s="466">
        <v>140223</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0</v>
      </c>
      <c r="D18" s="1710">
        <f t="shared" ref="D18:K18" si="1">SUM(D14:D17)</f>
        <v>0</v>
      </c>
      <c r="E18" s="1710">
        <f t="shared" si="1"/>
        <v>0</v>
      </c>
      <c r="F18" s="1710">
        <f t="shared" si="1"/>
        <v>0</v>
      </c>
      <c r="G18" s="1710">
        <f t="shared" si="1"/>
        <v>140223</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1120</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204834</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205954</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f>77914+38917+334+6</f>
        <v>117171</v>
      </c>
      <c r="D65" s="466">
        <v>86</v>
      </c>
      <c r="E65" s="466">
        <v>224</v>
      </c>
      <c r="F65" s="467">
        <v>34</v>
      </c>
      <c r="G65" s="466">
        <v>47</v>
      </c>
      <c r="H65" s="466"/>
      <c r="I65" s="466">
        <f>3796+7518+8+10</f>
        <v>11332</v>
      </c>
      <c r="J65" s="467">
        <v>46</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117171</v>
      </c>
      <c r="D67" s="1688">
        <f t="shared" ref="D67:K67" si="2">SUM(D65:D66)</f>
        <v>86</v>
      </c>
      <c r="E67" s="1688">
        <f t="shared" si="2"/>
        <v>224</v>
      </c>
      <c r="F67" s="1688">
        <f t="shared" si="2"/>
        <v>34</v>
      </c>
      <c r="G67" s="1688">
        <f t="shared" si="2"/>
        <v>47</v>
      </c>
      <c r="H67" s="1688">
        <f t="shared" si="2"/>
        <v>0</v>
      </c>
      <c r="I67" s="1688">
        <f t="shared" si="2"/>
        <v>11332</v>
      </c>
      <c r="J67" s="1688">
        <f t="shared" si="2"/>
        <v>46</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26672</v>
      </c>
      <c r="D69" s="468"/>
      <c r="E69" s="468"/>
      <c r="F69" s="468"/>
      <c r="G69" s="468"/>
      <c r="H69" s="468"/>
      <c r="I69" s="468"/>
      <c r="J69" s="468"/>
      <c r="K69" s="468"/>
    </row>
    <row r="70" spans="1:11" ht="12.75" customHeight="1" x14ac:dyDescent="0.2">
      <c r="A70" s="463" t="s">
        <v>996</v>
      </c>
      <c r="B70" s="470">
        <v>1612</v>
      </c>
      <c r="C70" s="551">
        <v>6985</v>
      </c>
      <c r="D70" s="468"/>
      <c r="E70" s="468"/>
      <c r="F70" s="468"/>
      <c r="G70" s="468"/>
      <c r="H70" s="468"/>
      <c r="I70" s="468"/>
      <c r="J70" s="468"/>
      <c r="K70" s="468"/>
    </row>
    <row r="71" spans="1:11" ht="12.75" customHeight="1" x14ac:dyDescent="0.2">
      <c r="A71" s="463" t="s">
        <v>272</v>
      </c>
      <c r="B71" s="470">
        <v>1613</v>
      </c>
      <c r="C71" s="551">
        <v>3061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7345</v>
      </c>
      <c r="D73" s="468"/>
      <c r="E73" s="468"/>
      <c r="F73" s="468"/>
      <c r="G73" s="468"/>
      <c r="H73" s="468"/>
      <c r="I73" s="468"/>
      <c r="J73" s="468"/>
      <c r="K73" s="468"/>
    </row>
    <row r="74" spans="1:11" ht="12.75" customHeight="1" x14ac:dyDescent="0.2">
      <c r="A74" s="463" t="s">
        <v>25</v>
      </c>
      <c r="B74" s="470">
        <v>1690</v>
      </c>
      <c r="C74" s="551">
        <f>31833+59-15717</f>
        <v>16175</v>
      </c>
      <c r="D74" s="468"/>
      <c r="E74" s="468"/>
      <c r="F74" s="468"/>
      <c r="G74" s="468"/>
      <c r="H74" s="468"/>
      <c r="I74" s="468"/>
      <c r="J74" s="468"/>
      <c r="K74" s="468"/>
    </row>
    <row r="75" spans="1:11" ht="12.75" customHeight="1" thickBot="1" x14ac:dyDescent="0.25">
      <c r="A75" s="1708" t="s">
        <v>547</v>
      </c>
      <c r="B75" s="1709"/>
      <c r="C75" s="1688">
        <f>SUM(C69:C74)</f>
        <v>60238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f>6908+11738+1045+2173</f>
        <v>21864</v>
      </c>
      <c r="D77" s="466"/>
      <c r="E77" s="468"/>
      <c r="F77" s="468"/>
      <c r="G77" s="468"/>
      <c r="H77" s="468"/>
      <c r="I77" s="468"/>
      <c r="J77" s="468"/>
      <c r="K77" s="468"/>
    </row>
    <row r="78" spans="1:11" ht="12.75" customHeight="1" x14ac:dyDescent="0.2">
      <c r="A78" s="463" t="s">
        <v>76</v>
      </c>
      <c r="B78" s="470">
        <v>1719</v>
      </c>
      <c r="C78" s="551">
        <v>5043</v>
      </c>
      <c r="D78" s="466"/>
      <c r="E78" s="468"/>
      <c r="F78" s="468"/>
      <c r="G78" s="468"/>
      <c r="H78" s="468"/>
      <c r="I78" s="468"/>
      <c r="J78" s="468"/>
      <c r="K78" s="468"/>
    </row>
    <row r="79" spans="1:11" ht="12.75" customHeight="1" x14ac:dyDescent="0.2">
      <c r="A79" s="463" t="s">
        <v>549</v>
      </c>
      <c r="B79" s="470">
        <v>1720</v>
      </c>
      <c r="C79" s="551">
        <v>9826</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36733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48247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48247</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39000</v>
      </c>
      <c r="E95" s="521"/>
      <c r="F95" s="521"/>
      <c r="G95" s="521"/>
      <c r="H95" s="521"/>
      <c r="I95" s="521"/>
      <c r="J95" s="521"/>
      <c r="K95" s="521"/>
    </row>
    <row r="96" spans="1:11" ht="12.75" customHeight="1" x14ac:dyDescent="0.2">
      <c r="A96" s="463" t="s">
        <v>390</v>
      </c>
      <c r="B96" s="470">
        <v>1920</v>
      </c>
      <c r="C96" s="551"/>
      <c r="D96" s="551">
        <v>600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f>9752+100</f>
        <v>9852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v>75000</v>
      </c>
      <c r="F103" s="468"/>
      <c r="G103" s="468"/>
      <c r="H103" s="489">
        <f>391588-75000</f>
        <v>316588</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f>25000+345+36437</f>
        <v>61782</v>
      </c>
      <c r="D107" s="466">
        <f>5000+1067</f>
        <v>6067</v>
      </c>
      <c r="E107" s="466"/>
      <c r="F107" s="466">
        <v>4304</v>
      </c>
      <c r="G107" s="466"/>
      <c r="H107" s="466"/>
      <c r="I107" s="466"/>
      <c r="J107" s="467"/>
      <c r="K107" s="466"/>
    </row>
    <row r="108" spans="1:12" ht="12.75" customHeight="1" thickBot="1" x14ac:dyDescent="0.25">
      <c r="A108" s="1708" t="s">
        <v>486</v>
      </c>
      <c r="B108" s="1712"/>
      <c r="C108" s="1707">
        <f>SUM(C95:C107)</f>
        <v>71634</v>
      </c>
      <c r="D108" s="1707">
        <f t="shared" ref="D108:K108" si="3">SUM(D95:D107)</f>
        <v>45667</v>
      </c>
      <c r="E108" s="1707">
        <f t="shared" si="3"/>
        <v>75000</v>
      </c>
      <c r="F108" s="1707">
        <f t="shared" si="3"/>
        <v>4304</v>
      </c>
      <c r="G108" s="1707">
        <f t="shared" si="3"/>
        <v>0</v>
      </c>
      <c r="H108" s="1707">
        <f t="shared" si="3"/>
        <v>316588</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1803806</v>
      </c>
      <c r="D109" s="1715">
        <f t="shared" si="4"/>
        <v>366574</v>
      </c>
      <c r="E109" s="1715">
        <f t="shared" si="4"/>
        <v>917014</v>
      </c>
      <c r="F109" s="1715">
        <f t="shared" si="4"/>
        <v>132900</v>
      </c>
      <c r="G109" s="1715">
        <f t="shared" si="4"/>
        <v>304771</v>
      </c>
      <c r="H109" s="1715">
        <f t="shared" si="4"/>
        <v>316588</v>
      </c>
      <c r="I109" s="1715">
        <f t="shared" si="4"/>
        <v>41427</v>
      </c>
      <c r="J109" s="1715">
        <f t="shared" si="4"/>
        <v>172144</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7538421</v>
      </c>
      <c r="D117" s="481">
        <v>250008</v>
      </c>
      <c r="E117" s="466"/>
      <c r="F117" s="481">
        <v>50006</v>
      </c>
      <c r="G117" s="481">
        <v>149996</v>
      </c>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1"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7538421</v>
      </c>
      <c r="D122" s="1707">
        <f t="shared" si="5"/>
        <v>250008</v>
      </c>
      <c r="E122" s="1707">
        <f t="shared" si="5"/>
        <v>0</v>
      </c>
      <c r="F122" s="1707">
        <f t="shared" si="5"/>
        <v>50006</v>
      </c>
      <c r="G122" s="1707">
        <f t="shared" si="5"/>
        <v>149996</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36066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3878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39944</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25067</v>
      </c>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5338</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30405</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8432</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16752</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90805</v>
      </c>
      <c r="G152" s="467"/>
      <c r="H152" s="468"/>
      <c r="I152" s="468"/>
      <c r="J152" s="468"/>
      <c r="K152" s="468"/>
    </row>
    <row r="153" spans="1:11" ht="12.75" customHeight="1" x14ac:dyDescent="0.2">
      <c r="A153" s="463" t="s">
        <v>1056</v>
      </c>
      <c r="B153" s="562">
        <v>3510</v>
      </c>
      <c r="C153" s="551"/>
      <c r="D153" s="466"/>
      <c r="E153" s="561"/>
      <c r="F153" s="466">
        <v>139633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230438</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f>184185+203775</f>
        <v>387960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920</v>
      </c>
      <c r="D168" s="580"/>
      <c r="E168" s="580"/>
      <c r="F168" s="580"/>
      <c r="G168" s="581"/>
      <c r="H168" s="582"/>
      <c r="I168" s="581"/>
      <c r="J168" s="581"/>
      <c r="K168" s="582"/>
    </row>
    <row r="169" spans="1:11" ht="12.75" customHeight="1" thickTop="1" thickBot="1" x14ac:dyDescent="0.25">
      <c r="A169" s="2141" t="s">
        <v>397</v>
      </c>
      <c r="B169" s="2142"/>
      <c r="C169" s="1722">
        <f t="shared" ref="C169:K169" si="6">SUM(C132,C141,C145,C146:C150,C155,C156:C167,C168)</f>
        <v>484413</v>
      </c>
      <c r="D169" s="1722">
        <f t="shared" si="6"/>
        <v>0</v>
      </c>
      <c r="E169" s="1722">
        <f t="shared" si="6"/>
        <v>0</v>
      </c>
      <c r="F169" s="1722">
        <f t="shared" si="6"/>
        <v>230438</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8022834</v>
      </c>
      <c r="D170" s="1715">
        <f t="shared" si="7"/>
        <v>250008</v>
      </c>
      <c r="E170" s="1715">
        <f t="shared" si="7"/>
        <v>0</v>
      </c>
      <c r="F170" s="1715">
        <f t="shared" si="7"/>
        <v>280444</v>
      </c>
      <c r="G170" s="1715">
        <f t="shared" si="7"/>
        <v>149996</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3" t="s">
        <v>1491</v>
      </c>
      <c r="B172" s="2144"/>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7" t="s">
        <v>1664</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1663</v>
      </c>
      <c r="B176" s="2152"/>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49" t="s">
        <v>784</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1799</v>
      </c>
      <c r="B182" s="2146"/>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15919</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15919</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321610</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116741</v>
      </c>
      <c r="D193" s="468"/>
      <c r="E193" s="561"/>
      <c r="F193" s="468"/>
      <c r="G193" s="585"/>
      <c r="H193" s="468"/>
      <c r="I193" s="468"/>
      <c r="J193" s="468"/>
      <c r="K193" s="468"/>
    </row>
    <row r="194" spans="1:11" ht="12.75" customHeight="1" x14ac:dyDescent="0.2">
      <c r="A194" s="463" t="s">
        <v>1450</v>
      </c>
      <c r="B194" s="470">
        <v>4225</v>
      </c>
      <c r="C194" s="551">
        <v>7286</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445637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f>478900-100</f>
        <v>478800</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478800</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6771</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6771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6453</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316634</v>
      </c>
      <c r="D213" s="466"/>
      <c r="E213" s="468"/>
      <c r="F213" s="466"/>
      <c r="G213" s="466"/>
      <c r="H213" s="468"/>
      <c r="I213" s="468"/>
      <c r="J213" s="468"/>
      <c r="K213" s="468"/>
    </row>
    <row r="214" spans="1:11" ht="12.75" customHeight="1" x14ac:dyDescent="0.2">
      <c r="A214" s="463" t="s">
        <v>1053</v>
      </c>
      <c r="B214" s="470">
        <v>4625</v>
      </c>
      <c r="C214" s="551">
        <v>45211</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368298</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18932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18932</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56127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1933</v>
      </c>
      <c r="B261" s="470">
        <v>4981</v>
      </c>
      <c r="C261" s="575"/>
      <c r="D261" s="576"/>
      <c r="E261" s="468"/>
      <c r="F261" s="576"/>
      <c r="G261" s="576"/>
      <c r="H261" s="468"/>
      <c r="I261" s="468"/>
      <c r="J261" s="468"/>
      <c r="K261" s="468"/>
    </row>
    <row r="262" spans="1:11" ht="12.75" customHeight="1" thickTop="1" thickBot="1" x14ac:dyDescent="0.25">
      <c r="A262" s="1932"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19952</v>
      </c>
      <c r="D263" s="576"/>
      <c r="E263" s="468"/>
      <c r="F263" s="576"/>
      <c r="G263" s="576"/>
      <c r="H263" s="468"/>
      <c r="I263" s="468"/>
      <c r="J263" s="468"/>
      <c r="K263" s="468"/>
    </row>
    <row r="264" spans="1:11" ht="12.75" customHeight="1" thickTop="1" thickBot="1" x14ac:dyDescent="0.25">
      <c r="A264" s="463" t="s">
        <v>376</v>
      </c>
      <c r="B264" s="470">
        <v>4992</v>
      </c>
      <c r="C264" s="575">
        <v>38938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1449374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1449374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11276014</v>
      </c>
      <c r="D268" s="1715">
        <f t="shared" si="12"/>
        <v>616582</v>
      </c>
      <c r="E268" s="1715">
        <f t="shared" si="12"/>
        <v>917014</v>
      </c>
      <c r="F268" s="1715">
        <f t="shared" si="12"/>
        <v>413344</v>
      </c>
      <c r="G268" s="1715">
        <f t="shared" si="12"/>
        <v>454767</v>
      </c>
      <c r="H268" s="1715">
        <f t="shared" si="12"/>
        <v>316588</v>
      </c>
      <c r="I268" s="1715">
        <f t="shared" si="12"/>
        <v>41427</v>
      </c>
      <c r="J268" s="1715">
        <f t="shared" si="12"/>
        <v>172144</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ySplit="2" topLeftCell="A183" activePane="bottomLeft" state="frozen"/>
      <selection pane="bottomLeft" activeCell="J202" sqref="J2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59" t="s">
        <v>296</v>
      </c>
      <c r="B3" s="216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f>2017504+725739+44288+1181060+2</f>
        <v>3968593</v>
      </c>
      <c r="D5" s="466">
        <f>395269+157639+9718+229189-10848</f>
        <v>780967</v>
      </c>
      <c r="E5" s="466">
        <f>33972+8584+34339</f>
        <v>76895</v>
      </c>
      <c r="F5" s="466">
        <f>66920+10100+53872</f>
        <v>130892</v>
      </c>
      <c r="G5" s="466">
        <f>101840+40250</f>
        <v>142090</v>
      </c>
      <c r="H5" s="466">
        <f>552+50</f>
        <v>602</v>
      </c>
      <c r="I5" s="467"/>
      <c r="J5" s="467"/>
      <c r="K5" s="1671">
        <f>SUM(C5:J5)</f>
        <v>5100039</v>
      </c>
      <c r="L5" s="466">
        <v>4755000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118189</v>
      </c>
      <c r="D7" s="467">
        <v>35440</v>
      </c>
      <c r="E7" s="467">
        <v>680</v>
      </c>
      <c r="F7" s="467">
        <v>468</v>
      </c>
      <c r="G7" s="467"/>
      <c r="H7" s="467"/>
      <c r="I7" s="467"/>
      <c r="J7" s="467"/>
      <c r="K7" s="1671">
        <f t="shared" ref="K7:K32" si="0">SUM(C7:J7)</f>
        <v>154777</v>
      </c>
      <c r="L7" s="466">
        <v>312900</v>
      </c>
    </row>
    <row r="8" spans="1:14" x14ac:dyDescent="0.2">
      <c r="A8" s="1504" t="s">
        <v>164</v>
      </c>
      <c r="B8" s="614">
        <v>1200</v>
      </c>
      <c r="C8" s="466">
        <f>104722+464607</f>
        <v>569329</v>
      </c>
      <c r="D8" s="466">
        <f>17769+109442</f>
        <v>127211</v>
      </c>
      <c r="E8" s="466">
        <f>14715+73081</f>
        <v>87796</v>
      </c>
      <c r="F8" s="466">
        <v>15826</v>
      </c>
      <c r="G8" s="466">
        <v>5019</v>
      </c>
      <c r="H8" s="466">
        <v>450</v>
      </c>
      <c r="I8" s="467"/>
      <c r="J8" s="467"/>
      <c r="K8" s="1671">
        <f t="shared" si="0"/>
        <v>805631</v>
      </c>
      <c r="L8" s="466">
        <v>523820</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336215</v>
      </c>
      <c r="D10" s="466">
        <v>91493</v>
      </c>
      <c r="E10" s="466">
        <v>13856</v>
      </c>
      <c r="F10" s="466">
        <v>28441</v>
      </c>
      <c r="G10" s="466"/>
      <c r="H10" s="466"/>
      <c r="I10" s="467"/>
      <c r="J10" s="467"/>
      <c r="K10" s="1671">
        <f t="shared" si="0"/>
        <v>470005</v>
      </c>
      <c r="L10" s="466">
        <v>487000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272797</v>
      </c>
      <c r="D13" s="466">
        <v>64107</v>
      </c>
      <c r="E13" s="466">
        <v>4678</v>
      </c>
      <c r="F13" s="466">
        <f>3809+5014+18192+19149</f>
        <v>46164</v>
      </c>
      <c r="G13" s="466"/>
      <c r="H13" s="466"/>
      <c r="I13" s="467"/>
      <c r="J13" s="467"/>
      <c r="K13" s="1671">
        <f t="shared" si="0"/>
        <v>387746</v>
      </c>
      <c r="L13" s="466">
        <v>380400</v>
      </c>
    </row>
    <row r="14" spans="1:14" x14ac:dyDescent="0.2">
      <c r="A14" s="1504" t="s">
        <v>962</v>
      </c>
      <c r="B14" s="614">
        <v>1500</v>
      </c>
      <c r="C14" s="466">
        <v>126759</v>
      </c>
      <c r="D14" s="466">
        <v>12420</v>
      </c>
      <c r="E14" s="466">
        <v>32371</v>
      </c>
      <c r="F14" s="466">
        <f>809+12301+1095+1858+69+1732+1849</f>
        <v>19713</v>
      </c>
      <c r="G14" s="466"/>
      <c r="H14" s="466">
        <v>181</v>
      </c>
      <c r="I14" s="467"/>
      <c r="J14" s="467"/>
      <c r="K14" s="1671">
        <f t="shared" si="0"/>
        <v>191444</v>
      </c>
      <c r="L14" s="466">
        <v>170000</v>
      </c>
    </row>
    <row r="15" spans="1:14" x14ac:dyDescent="0.2">
      <c r="A15" s="1504" t="s">
        <v>963</v>
      </c>
      <c r="B15" s="614">
        <v>1600</v>
      </c>
      <c r="C15" s="466">
        <f>2340+11910</f>
        <v>14250</v>
      </c>
      <c r="D15" s="466">
        <f>523+2645</f>
        <v>3168</v>
      </c>
      <c r="E15" s="466"/>
      <c r="F15" s="466"/>
      <c r="G15" s="466"/>
      <c r="H15" s="466"/>
      <c r="I15" s="467"/>
      <c r="J15" s="467"/>
      <c r="K15" s="1671">
        <f t="shared" si="0"/>
        <v>17418</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14580</v>
      </c>
      <c r="D17" s="467">
        <v>1682</v>
      </c>
      <c r="E17" s="467">
        <v>4005</v>
      </c>
      <c r="F17" s="467"/>
      <c r="G17" s="467"/>
      <c r="H17" s="467"/>
      <c r="I17" s="467"/>
      <c r="J17" s="467"/>
      <c r="K17" s="1671">
        <f t="shared" si="0"/>
        <v>20267</v>
      </c>
      <c r="L17" s="466">
        <v>18000</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5420712</v>
      </c>
      <c r="D33" s="1670">
        <f t="shared" ref="D33:L33" si="1">SUM(D5:D32)</f>
        <v>1116488</v>
      </c>
      <c r="E33" s="1670">
        <f t="shared" si="1"/>
        <v>220281</v>
      </c>
      <c r="F33" s="1670">
        <f t="shared" si="1"/>
        <v>241504</v>
      </c>
      <c r="G33" s="1670">
        <f t="shared" si="1"/>
        <v>147109</v>
      </c>
      <c r="H33" s="1670">
        <f t="shared" si="1"/>
        <v>1233</v>
      </c>
      <c r="I33" s="1670">
        <f t="shared" si="1"/>
        <v>0</v>
      </c>
      <c r="J33" s="1670">
        <f t="shared" si="1"/>
        <v>0</v>
      </c>
      <c r="K33" s="1670">
        <f t="shared" si="1"/>
        <v>7147327</v>
      </c>
      <c r="L33" s="1670">
        <f t="shared" si="1"/>
        <v>6647120</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f>60914+2205</f>
        <v>63119</v>
      </c>
      <c r="D36" s="481">
        <f>8282+254</f>
        <v>8536</v>
      </c>
      <c r="E36" s="481">
        <v>1507</v>
      </c>
      <c r="F36" s="481">
        <v>727</v>
      </c>
      <c r="G36" s="481"/>
      <c r="H36" s="481"/>
      <c r="I36" s="467"/>
      <c r="J36" s="467"/>
      <c r="K36" s="1671">
        <f t="shared" ref="K36:K41" si="2">SUM(C36:J36)</f>
        <v>73889</v>
      </c>
      <c r="L36" s="466"/>
    </row>
    <row r="37" spans="1:14" x14ac:dyDescent="0.2">
      <c r="A37" s="1504" t="s">
        <v>1089</v>
      </c>
      <c r="B37" s="614">
        <v>2120</v>
      </c>
      <c r="C37" s="466">
        <v>170874</v>
      </c>
      <c r="D37" s="466">
        <v>36882</v>
      </c>
      <c r="E37" s="466">
        <v>576</v>
      </c>
      <c r="F37" s="466">
        <v>127</v>
      </c>
      <c r="G37" s="466"/>
      <c r="H37" s="466"/>
      <c r="I37" s="467"/>
      <c r="J37" s="467"/>
      <c r="K37" s="1671">
        <f t="shared" si="2"/>
        <v>208459</v>
      </c>
      <c r="L37" s="466">
        <v>216900</v>
      </c>
    </row>
    <row r="38" spans="1:14" x14ac:dyDescent="0.2">
      <c r="A38" s="1504" t="s">
        <v>198</v>
      </c>
      <c r="B38" s="614">
        <v>2130</v>
      </c>
      <c r="C38" s="466">
        <v>133363</v>
      </c>
      <c r="D38" s="466">
        <v>29881</v>
      </c>
      <c r="E38" s="466">
        <v>542</v>
      </c>
      <c r="F38" s="466">
        <v>2798</v>
      </c>
      <c r="G38" s="466"/>
      <c r="H38" s="466"/>
      <c r="I38" s="467"/>
      <c r="J38" s="467"/>
      <c r="K38" s="1671">
        <f t="shared" si="2"/>
        <v>166584</v>
      </c>
      <c r="L38" s="466">
        <v>165775</v>
      </c>
    </row>
    <row r="39" spans="1:14" x14ac:dyDescent="0.2">
      <c r="A39" s="1504" t="s">
        <v>199</v>
      </c>
      <c r="B39" s="614">
        <v>2140</v>
      </c>
      <c r="C39" s="466">
        <v>38348</v>
      </c>
      <c r="D39" s="466">
        <v>5293</v>
      </c>
      <c r="E39" s="466">
        <v>100</v>
      </c>
      <c r="F39" s="466">
        <v>592</v>
      </c>
      <c r="G39" s="466"/>
      <c r="H39" s="466"/>
      <c r="I39" s="467"/>
      <c r="J39" s="467"/>
      <c r="K39" s="1671">
        <f t="shared" si="2"/>
        <v>44333</v>
      </c>
      <c r="L39" s="466">
        <v>80700</v>
      </c>
    </row>
    <row r="40" spans="1:14" x14ac:dyDescent="0.2">
      <c r="A40" s="1504" t="s">
        <v>200</v>
      </c>
      <c r="B40" s="614">
        <v>2150</v>
      </c>
      <c r="C40" s="466">
        <v>111831</v>
      </c>
      <c r="D40" s="466">
        <v>20283</v>
      </c>
      <c r="E40" s="466"/>
      <c r="F40" s="466">
        <v>1712</v>
      </c>
      <c r="G40" s="466"/>
      <c r="H40" s="466"/>
      <c r="I40" s="467"/>
      <c r="J40" s="467"/>
      <c r="K40" s="1671">
        <f t="shared" si="2"/>
        <v>133826</v>
      </c>
      <c r="L40" s="466">
        <v>126100</v>
      </c>
    </row>
    <row r="41" spans="1:14" x14ac:dyDescent="0.2">
      <c r="A41" s="1504" t="s">
        <v>1668</v>
      </c>
      <c r="B41" s="614">
        <v>2190</v>
      </c>
      <c r="C41" s="466"/>
      <c r="D41" s="466"/>
      <c r="E41" s="466"/>
      <c r="F41" s="466"/>
      <c r="G41" s="466"/>
      <c r="H41" s="466"/>
      <c r="I41" s="467"/>
      <c r="J41" s="467"/>
      <c r="K41" s="1671">
        <f t="shared" si="2"/>
        <v>0</v>
      </c>
      <c r="L41" s="466">
        <v>45000</v>
      </c>
    </row>
    <row r="42" spans="1:14" ht="12.75" customHeight="1" thickBot="1" x14ac:dyDescent="0.25">
      <c r="A42" s="1668" t="s">
        <v>559</v>
      </c>
      <c r="B42" s="1669" t="s">
        <v>715</v>
      </c>
      <c r="C42" s="1670">
        <f>SUM(C36:C41)</f>
        <v>517535</v>
      </c>
      <c r="D42" s="1670">
        <f t="shared" ref="D42:L42" si="3">SUM(D36:D41)</f>
        <v>100875</v>
      </c>
      <c r="E42" s="1670">
        <f t="shared" si="3"/>
        <v>2725</v>
      </c>
      <c r="F42" s="1670">
        <f t="shared" si="3"/>
        <v>5956</v>
      </c>
      <c r="G42" s="1670">
        <f t="shared" si="3"/>
        <v>0</v>
      </c>
      <c r="H42" s="1670">
        <f t="shared" si="3"/>
        <v>0</v>
      </c>
      <c r="I42" s="1670">
        <f t="shared" si="3"/>
        <v>0</v>
      </c>
      <c r="J42" s="1670">
        <f t="shared" si="3"/>
        <v>0</v>
      </c>
      <c r="K42" s="1670">
        <f t="shared" si="3"/>
        <v>627091</v>
      </c>
      <c r="L42" s="1670">
        <f t="shared" si="3"/>
        <v>634475</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v>12146</v>
      </c>
      <c r="F44" s="481"/>
      <c r="G44" s="481"/>
      <c r="H44" s="481"/>
      <c r="I44" s="467"/>
      <c r="J44" s="467"/>
      <c r="K44" s="1672">
        <f>SUM(C44:J44)</f>
        <v>12146</v>
      </c>
      <c r="L44" s="481"/>
    </row>
    <row r="45" spans="1:14" x14ac:dyDescent="0.2">
      <c r="A45" s="1504" t="s">
        <v>814</v>
      </c>
      <c r="B45" s="614">
        <v>2220</v>
      </c>
      <c r="C45" s="466">
        <v>59542</v>
      </c>
      <c r="D45" s="466">
        <v>14104</v>
      </c>
      <c r="E45" s="466"/>
      <c r="F45" s="466">
        <f>1193+1347</f>
        <v>2540</v>
      </c>
      <c r="G45" s="466">
        <v>2251</v>
      </c>
      <c r="H45" s="466"/>
      <c r="I45" s="467"/>
      <c r="J45" s="467"/>
      <c r="K45" s="1672">
        <f>SUM(C45:J45)</f>
        <v>78437</v>
      </c>
      <c r="L45" s="466">
        <v>94900</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59542</v>
      </c>
      <c r="D47" s="1670">
        <f t="shared" ref="D47:K47" si="4">SUM(D44:D46)</f>
        <v>14104</v>
      </c>
      <c r="E47" s="1670">
        <f t="shared" si="4"/>
        <v>12146</v>
      </c>
      <c r="F47" s="1670">
        <f t="shared" si="4"/>
        <v>2540</v>
      </c>
      <c r="G47" s="1670">
        <f t="shared" si="4"/>
        <v>2251</v>
      </c>
      <c r="H47" s="1670">
        <f t="shared" si="4"/>
        <v>0</v>
      </c>
      <c r="I47" s="1670">
        <f t="shared" si="4"/>
        <v>0</v>
      </c>
      <c r="J47" s="1670">
        <f t="shared" si="4"/>
        <v>0</v>
      </c>
      <c r="K47" s="1670">
        <f t="shared" si="4"/>
        <v>90583</v>
      </c>
      <c r="L47" s="1670">
        <f>SUM(L44:L46)</f>
        <v>94900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v>22921</v>
      </c>
      <c r="E49" s="481">
        <v>57028</v>
      </c>
      <c r="F49" s="481">
        <v>3485</v>
      </c>
      <c r="G49" s="481"/>
      <c r="H49" s="481">
        <v>43165</v>
      </c>
      <c r="I49" s="467"/>
      <c r="J49" s="467"/>
      <c r="K49" s="1672">
        <f>SUM(C49:J49)</f>
        <v>126599</v>
      </c>
      <c r="L49" s="481">
        <v>5800</v>
      </c>
    </row>
    <row r="50" spans="1:14" x14ac:dyDescent="0.2">
      <c r="A50" s="1504" t="s">
        <v>817</v>
      </c>
      <c r="B50" s="614">
        <v>2320</v>
      </c>
      <c r="C50" s="466">
        <v>185902</v>
      </c>
      <c r="D50" s="466">
        <v>48266</v>
      </c>
      <c r="E50" s="466">
        <v>15191</v>
      </c>
      <c r="F50" s="466">
        <v>9742</v>
      </c>
      <c r="G50" s="466"/>
      <c r="H50" s="466">
        <v>14107</v>
      </c>
      <c r="I50" s="467"/>
      <c r="J50" s="467"/>
      <c r="K50" s="1672">
        <f>SUM(C50:J50)</f>
        <v>273208</v>
      </c>
      <c r="L50" s="466">
        <v>254800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185902</v>
      </c>
      <c r="D53" s="1670">
        <f t="shared" ref="D53:L53" si="5">SUM(D49:D52)</f>
        <v>71187</v>
      </c>
      <c r="E53" s="1670">
        <f t="shared" si="5"/>
        <v>72219</v>
      </c>
      <c r="F53" s="1670">
        <f t="shared" si="5"/>
        <v>13227</v>
      </c>
      <c r="G53" s="1670">
        <f t="shared" si="5"/>
        <v>0</v>
      </c>
      <c r="H53" s="1670">
        <f t="shared" si="5"/>
        <v>57272</v>
      </c>
      <c r="I53" s="1670">
        <f t="shared" si="5"/>
        <v>0</v>
      </c>
      <c r="J53" s="1670">
        <f t="shared" si="5"/>
        <v>0</v>
      </c>
      <c r="K53" s="1670">
        <f t="shared" si="5"/>
        <v>399807</v>
      </c>
      <c r="L53" s="1670">
        <f t="shared" si="5"/>
        <v>260600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396785</v>
      </c>
      <c r="D55" s="481">
        <v>112076</v>
      </c>
      <c r="E55" s="481">
        <v>17981</v>
      </c>
      <c r="F55" s="481">
        <v>8689</v>
      </c>
      <c r="G55" s="481"/>
      <c r="H55" s="481">
        <v>2719</v>
      </c>
      <c r="I55" s="467"/>
      <c r="J55" s="467"/>
      <c r="K55" s="1672">
        <f>SUM(C55:J55)</f>
        <v>538250</v>
      </c>
      <c r="L55" s="481">
        <v>518100</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396785</v>
      </c>
      <c r="D57" s="1674">
        <f t="shared" ref="D57:K57" si="6">SUM(D55:D56)</f>
        <v>112076</v>
      </c>
      <c r="E57" s="1674">
        <f t="shared" si="6"/>
        <v>17981</v>
      </c>
      <c r="F57" s="1674">
        <f t="shared" si="6"/>
        <v>8689</v>
      </c>
      <c r="G57" s="1674">
        <f t="shared" si="6"/>
        <v>0</v>
      </c>
      <c r="H57" s="1674">
        <f t="shared" si="6"/>
        <v>2719</v>
      </c>
      <c r="I57" s="1674">
        <f t="shared" si="6"/>
        <v>0</v>
      </c>
      <c r="J57" s="1674">
        <f t="shared" si="6"/>
        <v>0</v>
      </c>
      <c r="K57" s="1674">
        <f t="shared" si="6"/>
        <v>538250</v>
      </c>
      <c r="L57" s="1670">
        <f>SUM(L55:L56)</f>
        <v>518100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93783</v>
      </c>
      <c r="D60" s="466">
        <v>7112</v>
      </c>
      <c r="E60" s="466"/>
      <c r="F60" s="466"/>
      <c r="G60" s="466"/>
      <c r="H60" s="466"/>
      <c r="I60" s="467"/>
      <c r="J60" s="467"/>
      <c r="K60" s="1672">
        <f t="shared" si="7"/>
        <v>100895</v>
      </c>
      <c r="L60" s="466">
        <v>109150</v>
      </c>
      <c r="M60" s="609"/>
      <c r="N60" s="609"/>
    </row>
    <row r="61" spans="1:14" s="343" customFormat="1" x14ac:dyDescent="0.2">
      <c r="A61" s="1504" t="s">
        <v>197</v>
      </c>
      <c r="B61" s="614">
        <v>2540</v>
      </c>
      <c r="C61" s="466">
        <v>448825</v>
      </c>
      <c r="D61" s="466">
        <v>62235</v>
      </c>
      <c r="E61" s="466">
        <v>50659</v>
      </c>
      <c r="F61" s="466"/>
      <c r="G61" s="466"/>
      <c r="H61" s="466"/>
      <c r="I61" s="467"/>
      <c r="J61" s="467"/>
      <c r="K61" s="1672">
        <f t="shared" si="7"/>
        <v>561719</v>
      </c>
      <c r="L61" s="466">
        <v>499500</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159602</v>
      </c>
      <c r="D63" s="466">
        <v>28448</v>
      </c>
      <c r="E63" s="466">
        <v>2814</v>
      </c>
      <c r="F63" s="466">
        <v>298058</v>
      </c>
      <c r="G63" s="466"/>
      <c r="H63" s="466">
        <v>3472</v>
      </c>
      <c r="I63" s="467"/>
      <c r="J63" s="467"/>
      <c r="K63" s="1672">
        <f t="shared" si="7"/>
        <v>492394</v>
      </c>
      <c r="L63" s="466">
        <v>493650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702210</v>
      </c>
      <c r="D65" s="1670">
        <f t="shared" ref="D65:L65" si="8">SUM(D59:D64)</f>
        <v>97795</v>
      </c>
      <c r="E65" s="1670">
        <f t="shared" si="8"/>
        <v>53473</v>
      </c>
      <c r="F65" s="1670">
        <f t="shared" si="8"/>
        <v>298058</v>
      </c>
      <c r="G65" s="1670">
        <f t="shared" si="8"/>
        <v>0</v>
      </c>
      <c r="H65" s="1670">
        <f t="shared" si="8"/>
        <v>3472</v>
      </c>
      <c r="I65" s="1670">
        <f t="shared" si="8"/>
        <v>0</v>
      </c>
      <c r="J65" s="1670">
        <f t="shared" si="8"/>
        <v>0</v>
      </c>
      <c r="K65" s="1670">
        <f t="shared" si="8"/>
        <v>1155008</v>
      </c>
      <c r="L65" s="1670">
        <f t="shared" si="8"/>
        <v>1102300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v>98874</v>
      </c>
      <c r="D71" s="466">
        <v>7112</v>
      </c>
      <c r="E71" s="466">
        <v>7473</v>
      </c>
      <c r="F71" s="466">
        <v>64797</v>
      </c>
      <c r="G71" s="466">
        <f>72089-2513</f>
        <v>69576</v>
      </c>
      <c r="H71" s="466">
        <v>148751</v>
      </c>
      <c r="I71" s="467"/>
      <c r="J71" s="467"/>
      <c r="K71" s="1672">
        <f>SUM(C71:J71)</f>
        <v>396583</v>
      </c>
      <c r="L71" s="466">
        <v>155040</v>
      </c>
      <c r="M71" s="609"/>
      <c r="N71" s="609"/>
    </row>
    <row r="72" spans="1:14" s="343" customFormat="1" ht="12.75" customHeight="1" thickBot="1" x14ac:dyDescent="0.25">
      <c r="A72" s="1668" t="s">
        <v>37</v>
      </c>
      <c r="B72" s="1675" t="s">
        <v>36</v>
      </c>
      <c r="C72" s="1670">
        <f>SUM(C67:C71)</f>
        <v>98874</v>
      </c>
      <c r="D72" s="1670">
        <f t="shared" ref="D72:K72" si="9">SUM(D67:D71)</f>
        <v>7112</v>
      </c>
      <c r="E72" s="1670">
        <f t="shared" si="9"/>
        <v>7473</v>
      </c>
      <c r="F72" s="1670">
        <f t="shared" si="9"/>
        <v>64797</v>
      </c>
      <c r="G72" s="1670">
        <f t="shared" si="9"/>
        <v>69576</v>
      </c>
      <c r="H72" s="1670">
        <f t="shared" si="9"/>
        <v>148751</v>
      </c>
      <c r="I72" s="1670">
        <f t="shared" si="9"/>
        <v>0</v>
      </c>
      <c r="J72" s="1670">
        <f t="shared" si="9"/>
        <v>0</v>
      </c>
      <c r="K72" s="1670">
        <f t="shared" si="9"/>
        <v>396583</v>
      </c>
      <c r="L72" s="1670">
        <f>SUM(L67:L71)</f>
        <v>155040</v>
      </c>
      <c r="M72" s="609"/>
      <c r="N72" s="609"/>
    </row>
    <row r="73" spans="1:14" s="343" customFormat="1" ht="14.25" thickTop="1" thickBot="1" x14ac:dyDescent="0.25">
      <c r="A73" s="1510" t="s">
        <v>979</v>
      </c>
      <c r="B73" s="632" t="s">
        <v>573</v>
      </c>
      <c r="C73" s="573"/>
      <c r="D73" s="573"/>
      <c r="E73" s="573"/>
      <c r="F73" s="573">
        <v>3039</v>
      </c>
      <c r="G73" s="573"/>
      <c r="H73" s="573"/>
      <c r="I73" s="531"/>
      <c r="J73" s="531"/>
      <c r="K73" s="1670">
        <f>SUM(C73:J73)</f>
        <v>3039</v>
      </c>
      <c r="L73" s="576"/>
      <c r="M73" s="609"/>
      <c r="N73" s="609"/>
    </row>
    <row r="74" spans="1:14" ht="12.75" customHeight="1" thickTop="1" thickBot="1" x14ac:dyDescent="0.25">
      <c r="A74" s="1668" t="s">
        <v>810</v>
      </c>
      <c r="B74" s="1676">
        <v>2000</v>
      </c>
      <c r="C74" s="1677">
        <f>SUM(C42,C47,C53,C57,C65,C72,C73)</f>
        <v>1960848</v>
      </c>
      <c r="D74" s="1677">
        <f t="shared" ref="D74:K74" si="10">SUM(D42,D47,D53,D57,D65,D72,D73)</f>
        <v>403149</v>
      </c>
      <c r="E74" s="1677">
        <f t="shared" si="10"/>
        <v>166017</v>
      </c>
      <c r="F74" s="1677">
        <f t="shared" si="10"/>
        <v>396306</v>
      </c>
      <c r="G74" s="1677">
        <f t="shared" si="10"/>
        <v>71827</v>
      </c>
      <c r="H74" s="1677">
        <f t="shared" si="10"/>
        <v>212214</v>
      </c>
      <c r="I74" s="1677">
        <f t="shared" si="10"/>
        <v>0</v>
      </c>
      <c r="J74" s="1677">
        <f t="shared" si="10"/>
        <v>0</v>
      </c>
      <c r="K74" s="1677">
        <f t="shared" si="10"/>
        <v>3210361</v>
      </c>
      <c r="L74" s="1677">
        <f>SUM(L42,L47,L53,L57,L65,L72,L73)</f>
        <v>2765415</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f>491+1028732+6556</f>
        <v>1035779</v>
      </c>
      <c r="I79" s="477"/>
      <c r="J79" s="477"/>
      <c r="K79" s="1671">
        <f t="shared" si="11"/>
        <v>1035779</v>
      </c>
      <c r="L79" s="466">
        <v>1000000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1035779</v>
      </c>
      <c r="I84" s="477"/>
      <c r="J84" s="477"/>
      <c r="K84" s="1670">
        <f>SUM(K78:K83)</f>
        <v>1035779</v>
      </c>
      <c r="L84" s="1670">
        <f>SUM(L78:L83)</f>
        <v>1000000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188568</v>
      </c>
      <c r="I86" s="477"/>
      <c r="J86" s="477"/>
      <c r="K86" s="1677">
        <f t="shared" ref="K86:K98" si="12">H86</f>
        <v>188568</v>
      </c>
      <c r="L86" s="530">
        <v>75000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v>38236</v>
      </c>
      <c r="I91" s="477"/>
      <c r="J91" s="477"/>
      <c r="K91" s="1677">
        <f t="shared" si="12"/>
        <v>38236</v>
      </c>
      <c r="L91" s="530"/>
    </row>
    <row r="92" spans="1:12" ht="14.25" thickTop="1" thickBot="1" x14ac:dyDescent="0.25">
      <c r="A92" s="1680" t="s">
        <v>1559</v>
      </c>
      <c r="B92" s="1678">
        <v>4200</v>
      </c>
      <c r="C92" s="616"/>
      <c r="D92" s="616"/>
      <c r="E92" s="638"/>
      <c r="F92" s="616"/>
      <c r="G92" s="616"/>
      <c r="H92" s="1670">
        <f>SUM(H85:H91)</f>
        <v>226804</v>
      </c>
      <c r="I92" s="477"/>
      <c r="J92" s="477"/>
      <c r="K92" s="1677">
        <f t="shared" si="12"/>
        <v>226804</v>
      </c>
      <c r="L92" s="1670">
        <f>SUM(L85:L91)</f>
        <v>75000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1262583</v>
      </c>
      <c r="I102" s="477"/>
      <c r="J102" s="477"/>
      <c r="K102" s="1677">
        <f>SUM(K84,K92,K100,K101)</f>
        <v>1262583</v>
      </c>
      <c r="L102" s="1677">
        <f>SUM(L84,L92,L100,L101)</f>
        <v>1075000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7381560</v>
      </c>
      <c r="D114" s="1670">
        <f t="shared" ref="D114:K114" si="13">SUM(D33,D74,D75,D102,D112,D113)</f>
        <v>1519637</v>
      </c>
      <c r="E114" s="1670">
        <f t="shared" si="13"/>
        <v>386298</v>
      </c>
      <c r="F114" s="1670">
        <f t="shared" si="13"/>
        <v>637810</v>
      </c>
      <c r="G114" s="1670">
        <f t="shared" si="13"/>
        <v>218936</v>
      </c>
      <c r="H114" s="1670">
        <f>SUM(H33,H74,H75,H102,H112,H113)</f>
        <v>1476030</v>
      </c>
      <c r="I114" s="1670">
        <f t="shared" si="13"/>
        <v>0</v>
      </c>
      <c r="J114" s="1670">
        <f t="shared" si="13"/>
        <v>0</v>
      </c>
      <c r="K114" s="1670">
        <f t="shared" si="13"/>
        <v>11620271</v>
      </c>
      <c r="L114" s="1670">
        <f>SUM(L33,L74,L75,L102,L112,L113)</f>
        <v>10487535</v>
      </c>
    </row>
    <row r="115" spans="1:14" ht="13.5" thickTop="1" x14ac:dyDescent="0.2">
      <c r="A115" s="2178" t="s">
        <v>995</v>
      </c>
      <c r="B115" s="2179"/>
      <c r="C115" s="618"/>
      <c r="D115" s="618"/>
      <c r="E115" s="618"/>
      <c r="F115" s="618"/>
      <c r="G115" s="618"/>
      <c r="H115" s="618"/>
      <c r="I115" s="618"/>
      <c r="J115" s="618"/>
      <c r="K115" s="1684">
        <f>'Revenues 9-14'!C268-'Expenditures 15-22'!K114</f>
        <v>-344257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295</v>
      </c>
      <c r="B117" s="215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329935</v>
      </c>
      <c r="F124" s="466">
        <f>76131+334492</f>
        <v>410623</v>
      </c>
      <c r="G124" s="466"/>
      <c r="H124" s="466">
        <v>1920</v>
      </c>
      <c r="I124" s="467"/>
      <c r="J124" s="467"/>
      <c r="K124" s="1670">
        <f>SUM(C124:J124)</f>
        <v>742478</v>
      </c>
      <c r="L124" s="466">
        <v>605000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0</v>
      </c>
      <c r="D127" s="1670">
        <f t="shared" ref="D127:L127" si="14">SUM(D122:D126)</f>
        <v>0</v>
      </c>
      <c r="E127" s="1670">
        <f t="shared" si="14"/>
        <v>329935</v>
      </c>
      <c r="F127" s="1670">
        <f t="shared" si="14"/>
        <v>410623</v>
      </c>
      <c r="G127" s="1670">
        <f t="shared" si="14"/>
        <v>0</v>
      </c>
      <c r="H127" s="1670">
        <f t="shared" si="14"/>
        <v>1920</v>
      </c>
      <c r="I127" s="1670">
        <f t="shared" si="14"/>
        <v>0</v>
      </c>
      <c r="J127" s="1670">
        <f t="shared" si="14"/>
        <v>0</v>
      </c>
      <c r="K127" s="1670">
        <f t="shared" si="14"/>
        <v>742478</v>
      </c>
      <c r="L127" s="1670">
        <f t="shared" si="14"/>
        <v>605000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0</v>
      </c>
      <c r="D129" s="1677">
        <f t="shared" ref="D129:L129" si="15">SUM(D120,D127,D128)</f>
        <v>0</v>
      </c>
      <c r="E129" s="1677">
        <f t="shared" si="15"/>
        <v>329935</v>
      </c>
      <c r="F129" s="1677">
        <f t="shared" si="15"/>
        <v>410623</v>
      </c>
      <c r="G129" s="1677">
        <f t="shared" si="15"/>
        <v>0</v>
      </c>
      <c r="H129" s="1677">
        <f t="shared" si="15"/>
        <v>1920</v>
      </c>
      <c r="I129" s="1677">
        <f t="shared" si="15"/>
        <v>0</v>
      </c>
      <c r="J129" s="1677">
        <f t="shared" si="15"/>
        <v>0</v>
      </c>
      <c r="K129" s="1677">
        <f t="shared" si="15"/>
        <v>742478</v>
      </c>
      <c r="L129" s="1677">
        <f t="shared" si="15"/>
        <v>605000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68" t="s">
        <v>619</v>
      </c>
      <c r="B151" s="2150"/>
      <c r="C151" s="1670">
        <f>SUM(C129,C130,C139,C149,C150)</f>
        <v>0</v>
      </c>
      <c r="D151" s="1670">
        <f t="shared" ref="D151:K151" si="16">SUM(D129,D130,D139,D149,D150)</f>
        <v>0</v>
      </c>
      <c r="E151" s="1670">
        <f t="shared" si="16"/>
        <v>329935</v>
      </c>
      <c r="F151" s="1670">
        <f t="shared" si="16"/>
        <v>410623</v>
      </c>
      <c r="G151" s="1670">
        <f t="shared" si="16"/>
        <v>0</v>
      </c>
      <c r="H151" s="1670">
        <f t="shared" si="16"/>
        <v>1920</v>
      </c>
      <c r="I151" s="1670">
        <f t="shared" si="16"/>
        <v>0</v>
      </c>
      <c r="J151" s="1670">
        <f t="shared" si="16"/>
        <v>0</v>
      </c>
      <c r="K151" s="1670">
        <f t="shared" si="16"/>
        <v>742478</v>
      </c>
      <c r="L151" s="1670">
        <f>SUM(L129,L130,L139,L149,L150)</f>
        <v>605000</v>
      </c>
    </row>
    <row r="152" spans="1:14" ht="12.75" customHeight="1" thickTop="1" x14ac:dyDescent="0.2">
      <c r="A152" s="2171" t="s">
        <v>1177</v>
      </c>
      <c r="B152" s="2172"/>
      <c r="C152" s="618"/>
      <c r="D152" s="618"/>
      <c r="E152" s="618"/>
      <c r="F152" s="618"/>
      <c r="G152" s="618"/>
      <c r="H152" s="618"/>
      <c r="I152" s="618"/>
      <c r="J152" s="616"/>
      <c r="K152" s="1684">
        <f>'Revenues 9-14'!D268-'Expenditures 15-22'!K151</f>
        <v>-125896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620</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666300+14426-2000</f>
        <v>678726</v>
      </c>
      <c r="I169" s="616"/>
      <c r="J169" s="616"/>
      <c r="K169" s="1671">
        <f>SUM(C169:H169)</f>
        <v>678726</v>
      </c>
      <c r="L169" s="656">
        <v>736981</v>
      </c>
    </row>
    <row r="170" spans="1:14" ht="33.75" customHeight="1" x14ac:dyDescent="0.2">
      <c r="A170" s="669" t="s">
        <v>1669</v>
      </c>
      <c r="B170" s="671" t="s">
        <v>31</v>
      </c>
      <c r="C170" s="616"/>
      <c r="D170" s="616"/>
      <c r="E170" s="616"/>
      <c r="F170" s="616"/>
      <c r="G170" s="616"/>
      <c r="H170" s="569">
        <f>64395+2513-14426-2550+460000</f>
        <v>509932</v>
      </c>
      <c r="I170" s="616"/>
      <c r="J170" s="616"/>
      <c r="K170" s="1671">
        <f>SUM(C170:J170)</f>
        <v>509932</v>
      </c>
      <c r="L170" s="569">
        <v>184246</v>
      </c>
    </row>
    <row r="171" spans="1:14" ht="15.75" customHeight="1" x14ac:dyDescent="0.2">
      <c r="A171" s="621" t="s">
        <v>765</v>
      </c>
      <c r="B171" s="672" t="s">
        <v>84</v>
      </c>
      <c r="C171" s="616"/>
      <c r="D171" s="616"/>
      <c r="E171" s="466"/>
      <c r="F171" s="616"/>
      <c r="G171" s="616"/>
      <c r="H171" s="569">
        <f>2000+2550</f>
        <v>4550</v>
      </c>
      <c r="I171" s="477"/>
      <c r="J171" s="616"/>
      <c r="K171" s="1671">
        <f>SUM(C171:J171)</f>
        <v>4550</v>
      </c>
      <c r="L171" s="569"/>
    </row>
    <row r="172" spans="1:14" ht="12.75" customHeight="1" thickBot="1" x14ac:dyDescent="0.25">
      <c r="A172" s="1668" t="s">
        <v>637</v>
      </c>
      <c r="B172" s="1669" t="s">
        <v>491</v>
      </c>
      <c r="C172" s="616"/>
      <c r="D172" s="616"/>
      <c r="E172" s="1677">
        <f>SUM(E168,E169,E170,E171)</f>
        <v>0</v>
      </c>
      <c r="F172" s="616"/>
      <c r="G172" s="616"/>
      <c r="H172" s="1677">
        <f>SUM(H168,H169,H170,H171)</f>
        <v>1193208</v>
      </c>
      <c r="I172" s="638"/>
      <c r="J172" s="616"/>
      <c r="K172" s="1677">
        <f>SUM(K168,K169,K170,K171)</f>
        <v>1193208</v>
      </c>
      <c r="L172" s="1677">
        <f>SUM(L168,L169,L170,L171)</f>
        <v>921227</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1193208</v>
      </c>
      <c r="I174" s="638"/>
      <c r="J174" s="616"/>
      <c r="K174" s="1677">
        <f>SUM(K160,K172,K173)</f>
        <v>1193208</v>
      </c>
      <c r="L174" s="1677">
        <f>SUM(L160,L172,L173)</f>
        <v>921227</v>
      </c>
    </row>
    <row r="175" spans="1:14" ht="13.5" thickTop="1" x14ac:dyDescent="0.2">
      <c r="A175" s="2178" t="s">
        <v>995</v>
      </c>
      <c r="B175" s="2179"/>
      <c r="C175" s="616"/>
      <c r="D175" s="616"/>
      <c r="E175" s="616"/>
      <c r="F175" s="616"/>
      <c r="G175" s="616"/>
      <c r="H175" s="618"/>
      <c r="I175" s="616"/>
      <c r="J175" s="616"/>
      <c r="K175" s="1684">
        <f>'Revenues 9-14'!E268-'Expenditures 15-22'!K174</f>
        <v>-276194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f>59128+150437+107813</f>
        <v>317378</v>
      </c>
      <c r="D182" s="466">
        <f>7112+8298+21926-17</f>
        <v>37319</v>
      </c>
      <c r="E182" s="466">
        <v>16687</v>
      </c>
      <c r="F182" s="466">
        <v>92138</v>
      </c>
      <c r="G182" s="466">
        <v>190765</v>
      </c>
      <c r="H182" s="466"/>
      <c r="I182" s="467"/>
      <c r="J182" s="467"/>
      <c r="K182" s="1671">
        <f>SUM(C182:J182)</f>
        <v>654287</v>
      </c>
      <c r="L182" s="466">
        <v>445000</v>
      </c>
    </row>
    <row r="183" spans="1:14" ht="12.75" customHeight="1" thickBot="1" x14ac:dyDescent="0.25">
      <c r="A183" s="1509" t="s">
        <v>979</v>
      </c>
      <c r="B183" s="677">
        <v>2900</v>
      </c>
      <c r="C183" s="573"/>
      <c r="D183" s="573"/>
      <c r="E183" s="573">
        <v>794</v>
      </c>
      <c r="F183" s="573"/>
      <c r="G183" s="573"/>
      <c r="H183" s="573"/>
      <c r="I183" s="532"/>
      <c r="J183" s="532"/>
      <c r="K183" s="1677">
        <f>SUM(C183:J183)</f>
        <v>794</v>
      </c>
      <c r="L183" s="573"/>
    </row>
    <row r="184" spans="1:14" ht="12.75" customHeight="1" thickTop="1" thickBot="1" x14ac:dyDescent="0.25">
      <c r="A184" s="1691" t="s">
        <v>810</v>
      </c>
      <c r="B184" s="1669" t="s">
        <v>568</v>
      </c>
      <c r="C184" s="1677">
        <f>SUM(C180,C182,C183)</f>
        <v>317378</v>
      </c>
      <c r="D184" s="1677">
        <f t="shared" ref="D184:J184" si="17">SUM(D180,D182,D183)</f>
        <v>37319</v>
      </c>
      <c r="E184" s="1677">
        <f t="shared" si="17"/>
        <v>17481</v>
      </c>
      <c r="F184" s="1677">
        <f t="shared" si="17"/>
        <v>92138</v>
      </c>
      <c r="G184" s="1677">
        <f t="shared" si="17"/>
        <v>190765</v>
      </c>
      <c r="H184" s="1677">
        <f t="shared" si="17"/>
        <v>0</v>
      </c>
      <c r="I184" s="1677">
        <f t="shared" si="17"/>
        <v>0</v>
      </c>
      <c r="J184" s="1677">
        <f t="shared" si="17"/>
        <v>0</v>
      </c>
      <c r="K184" s="1677">
        <f>SUM(K180,K182,K183)</f>
        <v>655081</v>
      </c>
      <c r="L184" s="1677">
        <f>SUM(L180, L182:L183)</f>
        <v>445000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f>285-2</f>
        <v>283</v>
      </c>
      <c r="I195" s="477"/>
      <c r="J195" s="616"/>
      <c r="K195" s="1685">
        <f>SUM(E195,H195)</f>
        <v>283</v>
      </c>
      <c r="L195" s="656"/>
    </row>
    <row r="196" spans="1:14" ht="12.75" customHeight="1" thickBot="1" x14ac:dyDescent="0.25">
      <c r="A196" s="1668" t="s">
        <v>1486</v>
      </c>
      <c r="B196" s="1669" t="s">
        <v>859</v>
      </c>
      <c r="C196" s="616"/>
      <c r="D196" s="616"/>
      <c r="E196" s="1677">
        <f>SUM(E194,E195)</f>
        <v>0</v>
      </c>
      <c r="F196" s="616"/>
      <c r="G196" s="616"/>
      <c r="H196" s="1677">
        <f>SUM(H194,H195)</f>
        <v>283</v>
      </c>
      <c r="I196" s="477"/>
      <c r="J196" s="616"/>
      <c r="K196" s="1677">
        <f>SUM(K194,K195)</f>
        <v>283</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317378</v>
      </c>
      <c r="D210" s="1670">
        <f>SUM(D184,D185)</f>
        <v>37319</v>
      </c>
      <c r="E210" s="1670">
        <f>SUM(E184,E185,E196)</f>
        <v>17481</v>
      </c>
      <c r="F210" s="1670">
        <f>SUM(F184,F185)</f>
        <v>92138</v>
      </c>
      <c r="G210" s="1670">
        <f>SUM(G184,G185)</f>
        <v>190765</v>
      </c>
      <c r="H210" s="1670">
        <f>SUM(H184,H185,H196,H208,H209)</f>
        <v>283</v>
      </c>
      <c r="I210" s="1670">
        <f>SUM(I184,I185)</f>
        <v>0</v>
      </c>
      <c r="J210" s="1670">
        <f>SUM(J184,J185)</f>
        <v>0</v>
      </c>
      <c r="K210" s="1671">
        <f>SUM(K184,K185,K196,K208,K209)</f>
        <v>655364</v>
      </c>
      <c r="L210" s="1670">
        <f>SUM(L184,L185,L196,L208,L209)</f>
        <v>445000</v>
      </c>
    </row>
    <row r="211" spans="1:14" ht="13.5" thickTop="1" x14ac:dyDescent="0.2">
      <c r="A211" s="2178" t="s">
        <v>995</v>
      </c>
      <c r="B211" s="2179"/>
      <c r="C211" s="618"/>
      <c r="D211" s="618"/>
      <c r="E211" s="618"/>
      <c r="F211" s="618"/>
      <c r="G211" s="618"/>
      <c r="H211" s="618"/>
      <c r="I211" s="616"/>
      <c r="J211" s="616"/>
      <c r="K211" s="1684">
        <f>'Revenues 9-14'!F268-'Expenditures 15-22'!K210</f>
        <v>-242020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964</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f>10088+37497+642</f>
        <v>48227</v>
      </c>
      <c r="E215" s="616"/>
      <c r="F215" s="616"/>
      <c r="G215" s="616"/>
      <c r="H215" s="616"/>
      <c r="I215" s="616"/>
      <c r="J215" s="616"/>
      <c r="K215" s="1671">
        <f>D215</f>
        <v>48227</v>
      </c>
      <c r="L215" s="466">
        <v>59400</v>
      </c>
    </row>
    <row r="216" spans="1:14" x14ac:dyDescent="0.2">
      <c r="A216" s="1504" t="s">
        <v>163</v>
      </c>
      <c r="B216" s="614" t="s">
        <v>966</v>
      </c>
      <c r="C216" s="616"/>
      <c r="D216" s="467">
        <f>7091+17976</f>
        <v>25067</v>
      </c>
      <c r="E216" s="616"/>
      <c r="F216" s="616"/>
      <c r="G216" s="616"/>
      <c r="H216" s="616"/>
      <c r="I216" s="616"/>
      <c r="J216" s="616"/>
      <c r="K216" s="1671">
        <f t="shared" ref="K216:K228" si="19">D216</f>
        <v>25067</v>
      </c>
      <c r="L216" s="466">
        <v>35590</v>
      </c>
    </row>
    <row r="217" spans="1:14" x14ac:dyDescent="0.2">
      <c r="A217" s="1504" t="s">
        <v>164</v>
      </c>
      <c r="B217" s="614">
        <v>1200</v>
      </c>
      <c r="C217" s="616"/>
      <c r="D217" s="466">
        <f>19223+18811</f>
        <v>38034</v>
      </c>
      <c r="E217" s="616"/>
      <c r="F217" s="616"/>
      <c r="G217" s="616"/>
      <c r="H217" s="616"/>
      <c r="I217" s="616"/>
      <c r="J217" s="616"/>
      <c r="K217" s="1671">
        <f t="shared" si="19"/>
        <v>38034</v>
      </c>
      <c r="L217" s="466">
        <v>27000</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23129</v>
      </c>
      <c r="E219" s="616"/>
      <c r="F219" s="616"/>
      <c r="G219" s="616"/>
      <c r="H219" s="616"/>
      <c r="I219" s="616"/>
      <c r="J219" s="616"/>
      <c r="K219" s="1671">
        <f t="shared" si="19"/>
        <v>23129</v>
      </c>
      <c r="L219" s="466">
        <v>27385</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3493</v>
      </c>
      <c r="E222" s="616"/>
      <c r="F222" s="616"/>
      <c r="G222" s="616"/>
      <c r="H222" s="616"/>
      <c r="I222" s="616"/>
      <c r="J222" s="616"/>
      <c r="K222" s="1671">
        <f t="shared" si="19"/>
        <v>3493</v>
      </c>
      <c r="L222" s="466">
        <v>1840</v>
      </c>
    </row>
    <row r="223" spans="1:14" x14ac:dyDescent="0.2">
      <c r="A223" s="1504" t="s">
        <v>962</v>
      </c>
      <c r="B223" s="614">
        <v>1500</v>
      </c>
      <c r="C223" s="616"/>
      <c r="D223" s="466">
        <v>4108</v>
      </c>
      <c r="E223" s="616"/>
      <c r="F223" s="616"/>
      <c r="G223" s="616"/>
      <c r="H223" s="616"/>
      <c r="I223" s="616"/>
      <c r="J223" s="616"/>
      <c r="K223" s="1671">
        <f t="shared" si="19"/>
        <v>4108</v>
      </c>
      <c r="L223" s="466"/>
    </row>
    <row r="224" spans="1:14" x14ac:dyDescent="0.2">
      <c r="A224" s="1504" t="s">
        <v>963</v>
      </c>
      <c r="B224" s="614">
        <v>1600</v>
      </c>
      <c r="C224" s="616"/>
      <c r="D224" s="466">
        <f>173+34</f>
        <v>207</v>
      </c>
      <c r="E224" s="616"/>
      <c r="F224" s="616"/>
      <c r="G224" s="616"/>
      <c r="H224" s="616"/>
      <c r="I224" s="616"/>
      <c r="J224" s="616"/>
      <c r="K224" s="1671">
        <f t="shared" si="19"/>
        <v>207</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211</v>
      </c>
      <c r="E226" s="616"/>
      <c r="F226" s="616"/>
      <c r="G226" s="616"/>
      <c r="H226" s="616"/>
      <c r="I226" s="616"/>
      <c r="J226" s="616"/>
      <c r="K226" s="1671">
        <f t="shared" si="19"/>
        <v>211</v>
      </c>
      <c r="L226" s="466"/>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142476</v>
      </c>
      <c r="E229" s="616"/>
      <c r="F229" s="616"/>
      <c r="G229" s="616"/>
      <c r="H229" s="616"/>
      <c r="I229" s="616"/>
      <c r="J229" s="616"/>
      <c r="K229" s="1670">
        <f>SUM(K215:K228)</f>
        <v>142476</v>
      </c>
      <c r="L229" s="1670">
        <f>SUM(L215:L228)</f>
        <v>151215</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f>32+872</f>
        <v>904</v>
      </c>
      <c r="E232" s="616"/>
      <c r="F232" s="616"/>
      <c r="G232" s="616"/>
      <c r="H232" s="616"/>
      <c r="I232" s="616"/>
      <c r="J232" s="616"/>
      <c r="K232" s="1671">
        <f t="shared" ref="K232:K237" si="20">D232</f>
        <v>904</v>
      </c>
      <c r="L232" s="466">
        <v>250</v>
      </c>
    </row>
    <row r="233" spans="1:12" x14ac:dyDescent="0.2">
      <c r="A233" s="1504" t="s">
        <v>1089</v>
      </c>
      <c r="B233" s="614">
        <v>2120</v>
      </c>
      <c r="C233" s="616"/>
      <c r="D233" s="466">
        <v>8418</v>
      </c>
      <c r="E233" s="616"/>
      <c r="F233" s="616"/>
      <c r="G233" s="616"/>
      <c r="H233" s="616"/>
      <c r="I233" s="616"/>
      <c r="J233" s="616"/>
      <c r="K233" s="1671">
        <f t="shared" si="20"/>
        <v>8418</v>
      </c>
      <c r="L233" s="466">
        <v>5723</v>
      </c>
    </row>
    <row r="234" spans="1:12" x14ac:dyDescent="0.2">
      <c r="A234" s="1504" t="s">
        <v>198</v>
      </c>
      <c r="B234" s="614">
        <v>2130</v>
      </c>
      <c r="C234" s="616"/>
      <c r="D234" s="466">
        <v>1931</v>
      </c>
      <c r="E234" s="616"/>
      <c r="F234" s="616"/>
      <c r="G234" s="616"/>
      <c r="H234" s="616"/>
      <c r="I234" s="616"/>
      <c r="J234" s="616"/>
      <c r="K234" s="1671">
        <f t="shared" si="20"/>
        <v>1931</v>
      </c>
      <c r="L234" s="466"/>
    </row>
    <row r="235" spans="1:12" x14ac:dyDescent="0.2">
      <c r="A235" s="1504" t="s">
        <v>199</v>
      </c>
      <c r="B235" s="614">
        <v>2140</v>
      </c>
      <c r="C235" s="616"/>
      <c r="D235" s="466">
        <v>556</v>
      </c>
      <c r="E235" s="616"/>
      <c r="F235" s="616"/>
      <c r="G235" s="616"/>
      <c r="H235" s="616"/>
      <c r="I235" s="616"/>
      <c r="J235" s="616"/>
      <c r="K235" s="1671">
        <f t="shared" si="20"/>
        <v>556</v>
      </c>
      <c r="L235" s="466"/>
    </row>
    <row r="236" spans="1:12" x14ac:dyDescent="0.2">
      <c r="A236" s="1504" t="s">
        <v>200</v>
      </c>
      <c r="B236" s="614">
        <v>2150</v>
      </c>
      <c r="C236" s="616"/>
      <c r="D236" s="466">
        <v>1585</v>
      </c>
      <c r="E236" s="616"/>
      <c r="F236" s="616"/>
      <c r="G236" s="616"/>
      <c r="H236" s="616"/>
      <c r="I236" s="616"/>
      <c r="J236" s="616"/>
      <c r="K236" s="1671">
        <f t="shared" si="20"/>
        <v>1585</v>
      </c>
      <c r="L236" s="466">
        <v>3090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13394</v>
      </c>
      <c r="E238" s="616"/>
      <c r="F238" s="616"/>
      <c r="G238" s="616"/>
      <c r="H238" s="616"/>
      <c r="I238" s="616"/>
      <c r="J238" s="616"/>
      <c r="K238" s="1670">
        <f>SUM(K232:K237)</f>
        <v>13394</v>
      </c>
      <c r="L238" s="1670">
        <f>SUM(L232:L237)</f>
        <v>9063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858</v>
      </c>
      <c r="E241" s="616"/>
      <c r="F241" s="616"/>
      <c r="G241" s="616"/>
      <c r="H241" s="616"/>
      <c r="I241" s="616"/>
      <c r="J241" s="616"/>
      <c r="K241" s="1672">
        <f>D241</f>
        <v>858</v>
      </c>
      <c r="L241" s="466">
        <v>10700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858</v>
      </c>
      <c r="E243" s="616"/>
      <c r="F243" s="616"/>
      <c r="G243" s="616"/>
      <c r="H243" s="616"/>
      <c r="I243" s="616"/>
      <c r="J243" s="616"/>
      <c r="K243" s="1670">
        <f>SUM(K240:K242)</f>
        <v>858</v>
      </c>
      <c r="L243" s="1670">
        <f>SUM(L240:L242)</f>
        <v>10700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9865</v>
      </c>
      <c r="E246" s="616"/>
      <c r="F246" s="616"/>
      <c r="G246" s="616"/>
      <c r="H246" s="616"/>
      <c r="I246" s="616"/>
      <c r="J246" s="616"/>
      <c r="K246" s="1672">
        <f t="shared" ref="K246:K256" si="21">D246</f>
        <v>9865</v>
      </c>
      <c r="L246" s="466">
        <v>20440</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9865</v>
      </c>
      <c r="E257" s="616"/>
      <c r="F257" s="616"/>
      <c r="G257" s="616"/>
      <c r="H257" s="616"/>
      <c r="I257" s="616"/>
      <c r="J257" s="616"/>
      <c r="K257" s="1670">
        <f>SUM(K245:K256)</f>
        <v>9865</v>
      </c>
      <c r="L257" s="1670">
        <f>SUM(L245:L256)</f>
        <v>20440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28293</v>
      </c>
      <c r="E259" s="616"/>
      <c r="F259" s="616"/>
      <c r="G259" s="616"/>
      <c r="H259" s="616"/>
      <c r="I259" s="616"/>
      <c r="J259" s="616"/>
      <c r="K259" s="1672">
        <f>D259</f>
        <v>28293</v>
      </c>
      <c r="L259" s="481">
        <v>33000</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28293</v>
      </c>
      <c r="E261" s="616"/>
      <c r="F261" s="616"/>
      <c r="G261" s="616"/>
      <c r="H261" s="616"/>
      <c r="I261" s="616"/>
      <c r="J261" s="616"/>
      <c r="K261" s="1670">
        <f>SUM(K259:K260)</f>
        <v>28293</v>
      </c>
      <c r="L261" s="1670">
        <f>SUM(L259:L260)</f>
        <v>33000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16834</v>
      </c>
      <c r="E264" s="616"/>
      <c r="F264" s="616"/>
      <c r="G264" s="616"/>
      <c r="H264" s="616"/>
      <c r="I264" s="616"/>
      <c r="J264" s="616"/>
      <c r="K264" s="1672">
        <f t="shared" ref="K264:K269" si="22">D264</f>
        <v>16834</v>
      </c>
      <c r="L264" s="466">
        <v>18170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78210</v>
      </c>
      <c r="E266" s="616"/>
      <c r="F266" s="616"/>
      <c r="G266" s="616"/>
      <c r="H266" s="616"/>
      <c r="I266" s="616"/>
      <c r="J266" s="616"/>
      <c r="K266" s="1672">
        <f t="shared" si="22"/>
        <v>78210</v>
      </c>
      <c r="L266" s="466">
        <v>101200</v>
      </c>
    </row>
    <row r="267" spans="1:14" x14ac:dyDescent="0.2">
      <c r="A267" s="1504" t="s">
        <v>952</v>
      </c>
      <c r="B267" s="614">
        <v>2550</v>
      </c>
      <c r="C267" s="616"/>
      <c r="D267" s="466">
        <f>17897+10793+19533+1</f>
        <v>48224</v>
      </c>
      <c r="E267" s="616"/>
      <c r="F267" s="616"/>
      <c r="G267" s="616"/>
      <c r="H267" s="616"/>
      <c r="I267" s="616"/>
      <c r="J267" s="616"/>
      <c r="K267" s="1672">
        <f t="shared" si="22"/>
        <v>48224</v>
      </c>
      <c r="L267" s="466">
        <v>44340</v>
      </c>
    </row>
    <row r="268" spans="1:14" x14ac:dyDescent="0.2">
      <c r="A268" s="1504" t="s">
        <v>100</v>
      </c>
      <c r="B268" s="614">
        <v>2560</v>
      </c>
      <c r="C268" s="616"/>
      <c r="D268" s="466">
        <v>27234</v>
      </c>
      <c r="E268" s="616"/>
      <c r="F268" s="616"/>
      <c r="G268" s="616"/>
      <c r="H268" s="616"/>
      <c r="I268" s="616"/>
      <c r="J268" s="616"/>
      <c r="K268" s="1672">
        <f t="shared" si="22"/>
        <v>27234</v>
      </c>
      <c r="L268" s="466">
        <v>31900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170502</v>
      </c>
      <c r="E270" s="616"/>
      <c r="F270" s="616"/>
      <c r="G270" s="616"/>
      <c r="H270" s="616"/>
      <c r="I270" s="616"/>
      <c r="J270" s="616"/>
      <c r="K270" s="1670">
        <f>SUM(K263:K269)</f>
        <v>170502</v>
      </c>
      <c r="L270" s="1670">
        <f>SUM(L263:L269)</f>
        <v>195610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v>18039</v>
      </c>
      <c r="E276" s="616"/>
      <c r="F276" s="616"/>
      <c r="G276" s="616"/>
      <c r="H276" s="616"/>
      <c r="I276" s="616"/>
      <c r="J276" s="616"/>
      <c r="K276" s="1672">
        <f>D276</f>
        <v>18039</v>
      </c>
      <c r="L276" s="466">
        <v>19700</v>
      </c>
    </row>
    <row r="277" spans="1:12" ht="12.75" customHeight="1" thickBot="1" x14ac:dyDescent="0.25">
      <c r="A277" s="1691" t="s">
        <v>37</v>
      </c>
      <c r="B277" s="1669" t="s">
        <v>36</v>
      </c>
      <c r="C277" s="616"/>
      <c r="D277" s="1670">
        <f>SUM(D272:D276)</f>
        <v>18039</v>
      </c>
      <c r="E277" s="616"/>
      <c r="F277" s="616"/>
      <c r="G277" s="616"/>
      <c r="H277" s="616"/>
      <c r="I277" s="616"/>
      <c r="J277" s="616"/>
      <c r="K277" s="1670">
        <f>SUM(K272:K276)</f>
        <v>18039</v>
      </c>
      <c r="L277" s="1670">
        <f>SUM(L272:L276)</f>
        <v>19700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240951</v>
      </c>
      <c r="E279" s="616"/>
      <c r="F279" s="616"/>
      <c r="G279" s="616"/>
      <c r="H279" s="616"/>
      <c r="I279" s="616"/>
      <c r="J279" s="616"/>
      <c r="K279" s="1677">
        <f>SUM(K238,K243,K257,K261,K270,K277,K278)</f>
        <v>240951</v>
      </c>
      <c r="L279" s="1677">
        <f>SUM(L238,L243,L257,L261,L270,L277,L278)</f>
        <v>288513</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69" t="s">
        <v>504</v>
      </c>
      <c r="B295" s="2170"/>
      <c r="C295" s="616"/>
      <c r="D295" s="1670">
        <f>SUM(D229,D279,D280,D285)</f>
        <v>383427</v>
      </c>
      <c r="E295" s="616"/>
      <c r="F295" s="616"/>
      <c r="G295" s="616"/>
      <c r="H295" s="1670">
        <f>H293</f>
        <v>0</v>
      </c>
      <c r="I295" s="616"/>
      <c r="J295" s="616"/>
      <c r="K295" s="1670">
        <f>SUM(K229,K279,K280,K285,K293,K294)</f>
        <v>383427</v>
      </c>
      <c r="L295" s="1670">
        <f>SUM(L229,L279,L280,L285,L293,L294)</f>
        <v>439728</v>
      </c>
    </row>
    <row r="296" spans="1:14" ht="13.5" thickTop="1" x14ac:dyDescent="0.2">
      <c r="A296" s="2178" t="s">
        <v>995</v>
      </c>
      <c r="B296" s="2179"/>
      <c r="C296" s="616"/>
      <c r="D296" s="618"/>
      <c r="E296" s="616"/>
      <c r="F296" s="616"/>
      <c r="G296" s="616"/>
      <c r="H296" s="687"/>
      <c r="I296" s="616"/>
      <c r="J296" s="616"/>
      <c r="K296" s="1684">
        <f>'Revenues 9-14'!G268-'Expenditures 15-22'!K295</f>
        <v>71340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v>855766</v>
      </c>
      <c r="F302" s="466">
        <v>44131</v>
      </c>
      <c r="G302" s="466"/>
      <c r="H302" s="466"/>
      <c r="I302" s="467"/>
      <c r="J302" s="467"/>
      <c r="K302" s="1671">
        <f>SUM(C302:J302)</f>
        <v>899897</v>
      </c>
      <c r="L302" s="466">
        <v>955000</v>
      </c>
    </row>
    <row r="303" spans="1:14" ht="12.75" customHeight="1" thickBot="1" x14ac:dyDescent="0.25">
      <c r="A303" s="1668" t="s">
        <v>810</v>
      </c>
      <c r="B303" s="1669" t="s">
        <v>568</v>
      </c>
      <c r="C303" s="1677">
        <f>SUM(C301:C302)</f>
        <v>0</v>
      </c>
      <c r="D303" s="1677">
        <f t="shared" ref="D303:L303" si="23">SUM(D301:D302)</f>
        <v>0</v>
      </c>
      <c r="E303" s="1677">
        <f t="shared" si="23"/>
        <v>855766</v>
      </c>
      <c r="F303" s="1677">
        <f t="shared" si="23"/>
        <v>44131</v>
      </c>
      <c r="G303" s="1677">
        <f t="shared" si="23"/>
        <v>0</v>
      </c>
      <c r="H303" s="1677">
        <f t="shared" si="23"/>
        <v>0</v>
      </c>
      <c r="I303" s="1677">
        <f t="shared" si="23"/>
        <v>0</v>
      </c>
      <c r="J303" s="1677">
        <f t="shared" si="23"/>
        <v>0</v>
      </c>
      <c r="K303" s="1677">
        <f t="shared" si="23"/>
        <v>899897</v>
      </c>
      <c r="L303" s="1677">
        <f t="shared" si="23"/>
        <v>955000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6" t="s">
        <v>276</v>
      </c>
      <c r="B312" s="2167"/>
      <c r="C312" s="1670">
        <f>SUM(C303)</f>
        <v>0</v>
      </c>
      <c r="D312" s="1670">
        <f>SUM(D303)</f>
        <v>0</v>
      </c>
      <c r="E312" s="1670">
        <f>SUM(E303,E310)</f>
        <v>855766</v>
      </c>
      <c r="F312" s="1670">
        <f>SUM(F303)</f>
        <v>44131</v>
      </c>
      <c r="G312" s="1670">
        <f>SUM(G303)</f>
        <v>0</v>
      </c>
      <c r="H312" s="1670">
        <f>SUM(H303,H310)</f>
        <v>0</v>
      </c>
      <c r="I312" s="1670">
        <f>SUM(I303)</f>
        <v>0</v>
      </c>
      <c r="J312" s="1670">
        <f>SUM(J303)</f>
        <v>0</v>
      </c>
      <c r="K312" s="1670">
        <f>SUM(K303,K310,K311)</f>
        <v>899897</v>
      </c>
      <c r="L312" s="1670">
        <f>SUM(L303,L310,L311)</f>
        <v>955000</v>
      </c>
      <c r="M312" s="665"/>
      <c r="N312" s="665"/>
    </row>
    <row r="313" spans="1:14" ht="13.5" thickTop="1" x14ac:dyDescent="0.2">
      <c r="A313" s="2162" t="s">
        <v>995</v>
      </c>
      <c r="B313" s="2163"/>
      <c r="C313" s="626"/>
      <c r="D313" s="626"/>
      <c r="E313" s="626"/>
      <c r="F313" s="626"/>
      <c r="G313" s="626"/>
      <c r="H313" s="626"/>
      <c r="I313" s="626"/>
      <c r="J313" s="626"/>
      <c r="K313" s="1685">
        <f>'Revenues 9-14'!H268-'Expenditures 15-22'!K312</f>
        <v>-583309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897</v>
      </c>
      <c r="B317" s="217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v>38527</v>
      </c>
      <c r="F320" s="467"/>
      <c r="G320" s="467"/>
      <c r="H320" s="467"/>
      <c r="I320" s="467"/>
      <c r="J320" s="467"/>
      <c r="K320" s="1671">
        <f t="shared" ref="K320:K327" si="24">SUM(C320:J320)</f>
        <v>38527</v>
      </c>
      <c r="L320" s="467">
        <v>120000</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v>24622</v>
      </c>
      <c r="F323" s="467"/>
      <c r="G323" s="467"/>
      <c r="H323" s="467"/>
      <c r="I323" s="467"/>
      <c r="J323" s="467"/>
      <c r="K323" s="1671">
        <f t="shared" si="24"/>
        <v>24622</v>
      </c>
      <c r="L323" s="467"/>
      <c r="M323" s="665"/>
      <c r="N323" s="665"/>
    </row>
    <row r="324" spans="1:14" s="674" customFormat="1" x14ac:dyDescent="0.2">
      <c r="A324" s="1519" t="s">
        <v>239</v>
      </c>
      <c r="B324" s="697" t="s">
        <v>285</v>
      </c>
      <c r="C324" s="467"/>
      <c r="D324" s="467"/>
      <c r="E324" s="467">
        <v>33679</v>
      </c>
      <c r="F324" s="467"/>
      <c r="G324" s="467"/>
      <c r="H324" s="467"/>
      <c r="I324" s="467"/>
      <c r="J324" s="467"/>
      <c r="K324" s="1671">
        <f t="shared" si="24"/>
        <v>33679</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v>30000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96828</v>
      </c>
      <c r="F330" s="1670">
        <f t="shared" si="25"/>
        <v>0</v>
      </c>
      <c r="G330" s="1670">
        <f t="shared" si="25"/>
        <v>0</v>
      </c>
      <c r="H330" s="1670">
        <f t="shared" si="25"/>
        <v>0</v>
      </c>
      <c r="I330" s="1670">
        <f t="shared" si="25"/>
        <v>0</v>
      </c>
      <c r="J330" s="1670">
        <f t="shared" si="25"/>
        <v>0</v>
      </c>
      <c r="K330" s="1670">
        <f>SUM(K319:K329)</f>
        <v>96828</v>
      </c>
      <c r="L330" s="1670">
        <f>SUM(L319:L329)</f>
        <v>150000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96828</v>
      </c>
      <c r="F342" s="1670">
        <f>SUM(F330)</f>
        <v>0</v>
      </c>
      <c r="G342" s="1670">
        <f>SUM(G330)</f>
        <v>0</v>
      </c>
      <c r="H342" s="1670">
        <f>SUM(H330,H334,H340)</f>
        <v>0</v>
      </c>
      <c r="I342" s="1670">
        <f>SUM(I330)</f>
        <v>0</v>
      </c>
      <c r="J342" s="1670">
        <f>SUM(J330)</f>
        <v>0</v>
      </c>
      <c r="K342" s="1670">
        <f>SUM(K330,K334,K340)</f>
        <v>96828</v>
      </c>
      <c r="L342" s="1677">
        <f>SUM(L330,L340,L341)</f>
        <v>150000</v>
      </c>
    </row>
    <row r="343" spans="1:14" ht="12.75" customHeight="1" thickTop="1" x14ac:dyDescent="0.2">
      <c r="A343" s="2164" t="s">
        <v>995</v>
      </c>
      <c r="B343" s="2165"/>
      <c r="C343" s="616"/>
      <c r="D343" s="616"/>
      <c r="E343" s="616"/>
      <c r="F343" s="616"/>
      <c r="G343" s="616"/>
      <c r="H343" s="616"/>
      <c r="I343" s="616"/>
      <c r="J343" s="616"/>
      <c r="K343" s="1684">
        <f>'Revenues 9-14'!J268-'Expenditures 15-22'!K342</f>
        <v>75316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965</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8" t="s">
        <v>995</v>
      </c>
      <c r="B368" s="217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6ce3111e-7420-4802-b50a-75d4e9a0b980"/>
    <ds:schemaRef ds:uri="4d435f69-8686-490b-bd6d-b153bf22ab50"/>
    <ds:schemaRef ds:uri="http://www.w3.org/XML/1998/namespace"/>
    <ds:schemaRef ds:uri="d21dc803-237d-4c68-8692-8d731fd29118"/>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2019-09-25T19:27:13Z</cp:lastPrinted>
  <dcterms:created xsi:type="dcterms:W3CDTF">2003-10-29T19:06:34Z</dcterms:created>
  <dcterms:modified xsi:type="dcterms:W3CDTF">2019-12-16T20:37:05Z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